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todariyak\Desktop\Keyur\Catalyst-59 &amp; 60\Learning\"/>
    </mc:Choice>
  </mc:AlternateContent>
  <xr:revisionPtr revIDLastSave="0" documentId="13_ncr:1_{0A24C697-E4C7-44FC-B74A-0EF5648D6EAF}" xr6:coauthVersionLast="41" xr6:coauthVersionMax="41" xr10:uidLastSave="{00000000-0000-0000-0000-000000000000}"/>
  <bookViews>
    <workbookView xWindow="-120" yWindow="-120" windowWidth="24240" windowHeight="13020" activeTab="1" xr2:uid="{00000000-000D-0000-FFFF-FFFF00000000}"/>
  </bookViews>
  <sheets>
    <sheet name="Heat Of Reaction MDNB" sheetId="16" r:id="rId1"/>
    <sheet name="Heat Of Reaction A-151" sheetId="14" r:id="rId2"/>
    <sheet name="4PA" sheetId="7" r:id="rId3"/>
    <sheet name="4POP" sheetId="6" r:id="rId4"/>
    <sheet name="X1" sheetId="8" r:id="rId5"/>
    <sheet name="MDNB" sheetId="9" r:id="rId6"/>
    <sheet name="MPDA" sheetId="15" r:id="rId7"/>
    <sheet name="ONP" sheetId="10" r:id="rId8"/>
    <sheet name="104" sheetId="11" r:id="rId9"/>
    <sheet name="181" sheetId="12" r:id="rId10"/>
    <sheet name="151" sheetId="13" r:id="rId11"/>
  </sheets>
  <definedNames>
    <definedName name="_xlnm._FilterDatabase" localSheetId="1" hidden="1">'Heat Of Reaction A-151'!$J$5:$M$228</definedName>
    <definedName name="_xlnm._FilterDatabase" localSheetId="0" hidden="1">'Heat Of Reaction MDNB'!$I$6:$L$229</definedName>
    <definedName name="_xlnm.Print_Area" localSheetId="3">'4POP'!$A$1:$H$53</definedName>
  </definedNames>
  <calcPr calcId="191029"/>
</workbook>
</file>

<file path=xl/calcChain.xml><?xml version="1.0" encoding="utf-8"?>
<calcChain xmlns="http://schemas.openxmlformats.org/spreadsheetml/2006/main">
  <c r="C20" i="14" l="1"/>
  <c r="G29" i="14" l="1"/>
  <c r="G24" i="14"/>
  <c r="G25" i="14" s="1"/>
  <c r="G26" i="14" s="1"/>
  <c r="G30" i="14" s="1"/>
  <c r="B46" i="14"/>
  <c r="C46" i="16" l="1"/>
  <c r="C47" i="16" s="1"/>
  <c r="C48" i="16" s="1"/>
  <c r="D54" i="16" s="1"/>
  <c r="D53" i="16"/>
  <c r="C26" i="16"/>
  <c r="C27" i="16" s="1"/>
  <c r="C53" i="14"/>
  <c r="B47" i="14"/>
  <c r="B48" i="14" s="1"/>
  <c r="C54" i="14" s="1"/>
  <c r="C29" i="16" l="1"/>
  <c r="C28" i="16"/>
  <c r="C30" i="16"/>
  <c r="C26" i="14" l="1"/>
  <c r="F14" i="16" l="1"/>
  <c r="F11" i="16"/>
  <c r="F12" i="16"/>
  <c r="H133" i="15"/>
  <c r="H132" i="15"/>
  <c r="H131" i="15"/>
  <c r="H129" i="15"/>
  <c r="H128" i="15"/>
  <c r="H127" i="15"/>
  <c r="H126" i="15"/>
  <c r="H125" i="15"/>
  <c r="H124" i="15"/>
  <c r="H123" i="15"/>
  <c r="H122" i="15"/>
  <c r="H121" i="15"/>
  <c r="H119" i="15"/>
  <c r="H118" i="15"/>
  <c r="H117" i="15"/>
  <c r="H116" i="15"/>
  <c r="H115" i="15"/>
  <c r="H114" i="15"/>
  <c r="H113" i="15"/>
  <c r="Q83" i="15" s="1"/>
  <c r="J142" i="15" s="1"/>
  <c r="H112" i="15"/>
  <c r="H111" i="15"/>
  <c r="H110" i="15"/>
  <c r="H108" i="15"/>
  <c r="H107" i="15"/>
  <c r="H106" i="15"/>
  <c r="H105" i="15"/>
  <c r="H103" i="15"/>
  <c r="H102" i="15"/>
  <c r="H101" i="15"/>
  <c r="H100" i="15"/>
  <c r="H99" i="15"/>
  <c r="H97" i="15"/>
  <c r="H96" i="15"/>
  <c r="H95" i="15"/>
  <c r="H94" i="15"/>
  <c r="T83" i="15" s="1"/>
  <c r="J145" i="15" s="1"/>
  <c r="H93" i="15"/>
  <c r="H92" i="15"/>
  <c r="H91" i="15"/>
  <c r="H90" i="15"/>
  <c r="H89" i="15"/>
  <c r="H88" i="15"/>
  <c r="C20" i="16" l="1"/>
  <c r="L83" i="15"/>
  <c r="G38" i="15" s="1"/>
  <c r="M83" i="15"/>
  <c r="G35" i="15" s="1"/>
  <c r="U83" i="15"/>
  <c r="G45" i="15" s="1"/>
  <c r="Y83" i="15"/>
  <c r="G34" i="15" s="1"/>
  <c r="N83" i="15"/>
  <c r="G41" i="15" s="1"/>
  <c r="V83" i="15"/>
  <c r="O83" i="15"/>
  <c r="G42" i="15" s="1"/>
  <c r="W83" i="15"/>
  <c r="J148" i="15" s="1"/>
  <c r="P83" i="15"/>
  <c r="G43" i="15" s="1"/>
  <c r="X83" i="15"/>
  <c r="J149" i="15" s="1"/>
  <c r="R83" i="15"/>
  <c r="J143" i="15" s="1"/>
  <c r="G49" i="15" s="1"/>
  <c r="Z83" i="15"/>
  <c r="J83" i="15"/>
  <c r="K83" i="15"/>
  <c r="S83" i="15"/>
  <c r="J144" i="15" s="1"/>
  <c r="F11" i="14"/>
  <c r="F12" i="14"/>
  <c r="F14" i="14"/>
  <c r="C27" i="14" s="1"/>
  <c r="C30" i="14" l="1"/>
  <c r="C28" i="14"/>
  <c r="C29" i="14"/>
  <c r="G37" i="15"/>
  <c r="G51" i="15"/>
  <c r="G36" i="15"/>
  <c r="G48" i="15" s="1"/>
  <c r="H133" i="13"/>
  <c r="H132" i="13"/>
  <c r="H131" i="13"/>
  <c r="H129" i="13"/>
  <c r="H128" i="13"/>
  <c r="H127" i="13"/>
  <c r="H126" i="13"/>
  <c r="H125" i="13"/>
  <c r="H124" i="13"/>
  <c r="H123" i="13"/>
  <c r="H122" i="13"/>
  <c r="H121" i="13"/>
  <c r="M83" i="13" s="1"/>
  <c r="G35" i="13" s="1"/>
  <c r="H119" i="13"/>
  <c r="H118" i="13"/>
  <c r="H117" i="13"/>
  <c r="H116" i="13"/>
  <c r="H115" i="13"/>
  <c r="H114" i="13"/>
  <c r="H113" i="13"/>
  <c r="H112" i="13"/>
  <c r="H111" i="13"/>
  <c r="H110" i="13"/>
  <c r="H108" i="13"/>
  <c r="H107" i="13"/>
  <c r="H106" i="13"/>
  <c r="H105" i="13"/>
  <c r="H103" i="13"/>
  <c r="H102" i="13"/>
  <c r="H101" i="13"/>
  <c r="H100" i="13"/>
  <c r="H99" i="13"/>
  <c r="H97" i="13"/>
  <c r="H96" i="13"/>
  <c r="H95" i="13"/>
  <c r="H94" i="13"/>
  <c r="H93" i="13"/>
  <c r="H92" i="13"/>
  <c r="H91" i="13"/>
  <c r="H90" i="13"/>
  <c r="H89" i="13"/>
  <c r="H88" i="13"/>
  <c r="H133" i="12"/>
  <c r="H132" i="12"/>
  <c r="H131" i="12"/>
  <c r="H129" i="12"/>
  <c r="H128" i="12"/>
  <c r="H127" i="12"/>
  <c r="H126" i="12"/>
  <c r="H125" i="12"/>
  <c r="H124" i="12"/>
  <c r="H123" i="12"/>
  <c r="H122" i="12"/>
  <c r="H121" i="12"/>
  <c r="H119" i="12"/>
  <c r="H118" i="12"/>
  <c r="H117" i="12"/>
  <c r="H116" i="12"/>
  <c r="H115" i="12"/>
  <c r="H114" i="12"/>
  <c r="H113" i="12"/>
  <c r="H112" i="12"/>
  <c r="H111" i="12"/>
  <c r="H110" i="12"/>
  <c r="H108" i="12"/>
  <c r="H107" i="12"/>
  <c r="H106" i="12"/>
  <c r="H105" i="12"/>
  <c r="H103" i="12"/>
  <c r="H102" i="12"/>
  <c r="H101" i="12"/>
  <c r="H100" i="12"/>
  <c r="H99" i="12"/>
  <c r="H97" i="12"/>
  <c r="H96" i="12"/>
  <c r="H95" i="12"/>
  <c r="H94" i="12"/>
  <c r="H93" i="12"/>
  <c r="H92" i="12"/>
  <c r="H91" i="12"/>
  <c r="H90" i="12"/>
  <c r="H89" i="12"/>
  <c r="H88" i="12"/>
  <c r="J138" i="15" l="1"/>
  <c r="G44" i="15"/>
  <c r="G50" i="15" s="1"/>
  <c r="G52" i="15"/>
  <c r="J137" i="15"/>
  <c r="G39" i="15"/>
  <c r="T83" i="13"/>
  <c r="J145" i="13" s="1"/>
  <c r="U83" i="13"/>
  <c r="G45" i="13" s="1"/>
  <c r="N83" i="13"/>
  <c r="G41" i="13" s="1"/>
  <c r="V83" i="13"/>
  <c r="W83" i="13"/>
  <c r="J148" i="13" s="1"/>
  <c r="P83" i="13"/>
  <c r="G43" i="13" s="1"/>
  <c r="X83" i="13"/>
  <c r="J149" i="13" s="1"/>
  <c r="O83" i="13"/>
  <c r="G42" i="13" s="1"/>
  <c r="Q83" i="13"/>
  <c r="J142" i="13" s="1"/>
  <c r="Y83" i="13"/>
  <c r="G34" i="13" s="1"/>
  <c r="J83" i="13"/>
  <c r="G36" i="13" s="1"/>
  <c r="R83" i="13"/>
  <c r="J143" i="13" s="1"/>
  <c r="Z83" i="13"/>
  <c r="K83" i="13"/>
  <c r="S83" i="13"/>
  <c r="J144" i="13" s="1"/>
  <c r="L83" i="13"/>
  <c r="G38" i="13" s="1"/>
  <c r="V83" i="12"/>
  <c r="T83" i="12"/>
  <c r="J145" i="12" s="1"/>
  <c r="N83" i="12"/>
  <c r="G41" i="12" s="1"/>
  <c r="S83" i="12"/>
  <c r="J144" i="12" s="1"/>
  <c r="J83" i="12"/>
  <c r="L83" i="12"/>
  <c r="G38" i="12" s="1"/>
  <c r="M83" i="12"/>
  <c r="G35" i="12" s="1"/>
  <c r="U83" i="12"/>
  <c r="G45" i="12" s="1"/>
  <c r="O83" i="12"/>
  <c r="G42" i="12" s="1"/>
  <c r="W83" i="12"/>
  <c r="J148" i="12" s="1"/>
  <c r="P83" i="12"/>
  <c r="G43" i="12" s="1"/>
  <c r="X83" i="12"/>
  <c r="J149" i="12" s="1"/>
  <c r="Y83" i="12"/>
  <c r="G34" i="12" s="1"/>
  <c r="Q83" i="12"/>
  <c r="J142" i="12" s="1"/>
  <c r="Z83" i="12"/>
  <c r="K83" i="12"/>
  <c r="R83" i="12"/>
  <c r="J143" i="12" s="1"/>
  <c r="H133" i="10"/>
  <c r="H132" i="10"/>
  <c r="H131" i="10"/>
  <c r="H129" i="10"/>
  <c r="H128" i="10"/>
  <c r="H127" i="10"/>
  <c r="H126" i="10"/>
  <c r="H125" i="10"/>
  <c r="H124" i="10"/>
  <c r="H123" i="10"/>
  <c r="H122" i="10"/>
  <c r="H121" i="10"/>
  <c r="H119" i="10"/>
  <c r="H118" i="10"/>
  <c r="H117" i="10"/>
  <c r="H116" i="10"/>
  <c r="H115" i="10"/>
  <c r="H114" i="10"/>
  <c r="H113" i="10"/>
  <c r="H112" i="10"/>
  <c r="H111" i="10"/>
  <c r="H110" i="10"/>
  <c r="H108" i="10"/>
  <c r="H107" i="10"/>
  <c r="H106" i="10"/>
  <c r="H105" i="10"/>
  <c r="H103" i="10"/>
  <c r="H102" i="10"/>
  <c r="H101" i="10"/>
  <c r="H100" i="10"/>
  <c r="H99" i="10"/>
  <c r="H97" i="10"/>
  <c r="H96" i="10"/>
  <c r="H95" i="10"/>
  <c r="H94" i="10"/>
  <c r="H93" i="10"/>
  <c r="H92" i="10"/>
  <c r="H91" i="10"/>
  <c r="H90" i="10"/>
  <c r="H89" i="10"/>
  <c r="H88" i="10"/>
  <c r="J139" i="15" l="1"/>
  <c r="G40" i="15" s="1"/>
  <c r="G53" i="15" s="1"/>
  <c r="G37" i="13"/>
  <c r="G39" i="13" s="1"/>
  <c r="G48" i="13"/>
  <c r="J138" i="13"/>
  <c r="G51" i="13"/>
  <c r="G49" i="13"/>
  <c r="G51" i="12"/>
  <c r="G37" i="12"/>
  <c r="G36" i="12"/>
  <c r="G48" i="12" s="1"/>
  <c r="G49" i="12"/>
  <c r="W83" i="10"/>
  <c r="J148" i="10" s="1"/>
  <c r="T83" i="10"/>
  <c r="J145" i="10" s="1"/>
  <c r="Q83" i="10"/>
  <c r="J142" i="10" s="1"/>
  <c r="U83" i="10"/>
  <c r="G45" i="10" s="1"/>
  <c r="M83" i="10"/>
  <c r="G35" i="10" s="1"/>
  <c r="J83" i="10"/>
  <c r="N83" i="10"/>
  <c r="G41" i="10" s="1"/>
  <c r="R83" i="10"/>
  <c r="J143" i="10" s="1"/>
  <c r="V83" i="10"/>
  <c r="X83" i="10"/>
  <c r="J149" i="10" s="1"/>
  <c r="O83" i="10"/>
  <c r="G42" i="10" s="1"/>
  <c r="S83" i="10"/>
  <c r="J144" i="10" s="1"/>
  <c r="Y83" i="10"/>
  <c r="G34" i="10" s="1"/>
  <c r="K83" i="10"/>
  <c r="L83" i="10"/>
  <c r="G38" i="10" s="1"/>
  <c r="P83" i="10"/>
  <c r="G43" i="10" s="1"/>
  <c r="Z83" i="10"/>
  <c r="H133" i="9"/>
  <c r="H132" i="9"/>
  <c r="H131" i="9"/>
  <c r="H129" i="9"/>
  <c r="H128" i="9"/>
  <c r="H127" i="9"/>
  <c r="H126" i="9"/>
  <c r="H125" i="9"/>
  <c r="H124" i="9"/>
  <c r="H123" i="9"/>
  <c r="H122" i="9"/>
  <c r="H121" i="9"/>
  <c r="H119" i="9"/>
  <c r="H118" i="9"/>
  <c r="H117" i="9"/>
  <c r="H116" i="9"/>
  <c r="H115" i="9"/>
  <c r="H114" i="9"/>
  <c r="H113" i="9"/>
  <c r="H112" i="9"/>
  <c r="H111" i="9"/>
  <c r="V83" i="9" s="1"/>
  <c r="H110" i="9"/>
  <c r="H108" i="9"/>
  <c r="H107" i="9"/>
  <c r="H106" i="9"/>
  <c r="H105" i="9"/>
  <c r="H103" i="9"/>
  <c r="H102" i="9"/>
  <c r="P83" i="9" s="1"/>
  <c r="G43" i="9" s="1"/>
  <c r="H101" i="9"/>
  <c r="H100" i="9"/>
  <c r="H99" i="9"/>
  <c r="H97" i="9"/>
  <c r="H96" i="9"/>
  <c r="H95" i="9"/>
  <c r="H94" i="9"/>
  <c r="H93" i="9"/>
  <c r="H92" i="9"/>
  <c r="H91" i="9"/>
  <c r="H90" i="9"/>
  <c r="H89" i="9"/>
  <c r="H88" i="9"/>
  <c r="G44" i="13" l="1"/>
  <c r="G50" i="13" s="1"/>
  <c r="J137" i="13"/>
  <c r="J139" i="13" s="1"/>
  <c r="G40" i="13" s="1"/>
  <c r="G53" i="13" s="1"/>
  <c r="G52" i="13"/>
  <c r="J138" i="12"/>
  <c r="J137" i="12"/>
  <c r="G39" i="12"/>
  <c r="G52" i="12" s="1"/>
  <c r="G44" i="12"/>
  <c r="G50" i="12" s="1"/>
  <c r="G36" i="10"/>
  <c r="G37" i="10"/>
  <c r="J137" i="10" s="1"/>
  <c r="G51" i="10"/>
  <c r="G49" i="10"/>
  <c r="G48" i="10"/>
  <c r="J138" i="10"/>
  <c r="J139" i="10" s="1"/>
  <c r="G40" i="10" s="1"/>
  <c r="G53" i="10" s="1"/>
  <c r="O83" i="9"/>
  <c r="G42" i="9" s="1"/>
  <c r="L83" i="9"/>
  <c r="G38" i="9" s="1"/>
  <c r="Y83" i="9"/>
  <c r="G34" i="9" s="1"/>
  <c r="S83" i="9"/>
  <c r="J144" i="9" s="1"/>
  <c r="K83" i="9"/>
  <c r="T83" i="9"/>
  <c r="J145" i="9" s="1"/>
  <c r="M83" i="9"/>
  <c r="G35" i="9" s="1"/>
  <c r="Q83" i="9"/>
  <c r="J142" i="9" s="1"/>
  <c r="U83" i="9"/>
  <c r="G45" i="9" s="1"/>
  <c r="W83" i="9"/>
  <c r="J148" i="9" s="1"/>
  <c r="J83" i="9"/>
  <c r="N83" i="9"/>
  <c r="G41" i="9" s="1"/>
  <c r="R83" i="9"/>
  <c r="J143" i="9" s="1"/>
  <c r="X83" i="9"/>
  <c r="J149" i="9" s="1"/>
  <c r="Z83" i="9"/>
  <c r="H133" i="7"/>
  <c r="H132" i="7"/>
  <c r="H131" i="7"/>
  <c r="H129" i="7"/>
  <c r="H128" i="7"/>
  <c r="H127" i="7"/>
  <c r="H126" i="7"/>
  <c r="H125" i="7"/>
  <c r="H124" i="7"/>
  <c r="H123" i="7"/>
  <c r="H122" i="7"/>
  <c r="H121" i="7"/>
  <c r="H119" i="7"/>
  <c r="H118" i="7"/>
  <c r="H117" i="7"/>
  <c r="H116" i="7"/>
  <c r="H115" i="7"/>
  <c r="H114" i="7"/>
  <c r="H113" i="7"/>
  <c r="H112" i="7"/>
  <c r="H111" i="7"/>
  <c r="H110" i="7"/>
  <c r="H108" i="7"/>
  <c r="H107" i="7"/>
  <c r="H106" i="7"/>
  <c r="H105" i="7"/>
  <c r="H103" i="7"/>
  <c r="H102" i="7"/>
  <c r="H101" i="7"/>
  <c r="H100" i="7"/>
  <c r="H99" i="7"/>
  <c r="H97" i="7"/>
  <c r="H96" i="7"/>
  <c r="H95" i="7"/>
  <c r="H94" i="7"/>
  <c r="H93" i="7"/>
  <c r="H92" i="7"/>
  <c r="H91" i="7"/>
  <c r="H90" i="7"/>
  <c r="H89" i="7"/>
  <c r="W83" i="7" s="1"/>
  <c r="J148" i="7" s="1"/>
  <c r="H88" i="7"/>
  <c r="J139" i="12" l="1"/>
  <c r="G40" i="12" s="1"/>
  <c r="G53" i="12" s="1"/>
  <c r="L83" i="7"/>
  <c r="G38" i="7" s="1"/>
  <c r="G44" i="10"/>
  <c r="G50" i="10" s="1"/>
  <c r="G39" i="10"/>
  <c r="G52" i="10" s="1"/>
  <c r="Y83" i="7"/>
  <c r="G34" i="7" s="1"/>
  <c r="U83" i="7"/>
  <c r="G45" i="7" s="1"/>
  <c r="O83" i="7"/>
  <c r="G42" i="7" s="1"/>
  <c r="G49" i="9"/>
  <c r="G37" i="9"/>
  <c r="J137" i="9" s="1"/>
  <c r="G36" i="9"/>
  <c r="G48" i="9" s="1"/>
  <c r="G51" i="9"/>
  <c r="Q83" i="7"/>
  <c r="J142" i="7" s="1"/>
  <c r="Z83" i="7"/>
  <c r="T83" i="7"/>
  <c r="J145" i="7" s="1"/>
  <c r="S83" i="7"/>
  <c r="J144" i="7" s="1"/>
  <c r="M83" i="7"/>
  <c r="G35" i="7" s="1"/>
  <c r="V83" i="7"/>
  <c r="K83" i="7"/>
  <c r="P83" i="7"/>
  <c r="G43" i="7" s="1"/>
  <c r="J83" i="7"/>
  <c r="G36" i="7" s="1"/>
  <c r="G48" i="7" s="1"/>
  <c r="N83" i="7"/>
  <c r="G41" i="7" s="1"/>
  <c r="R83" i="7"/>
  <c r="J143" i="7" s="1"/>
  <c r="X83" i="7"/>
  <c r="J149" i="7" s="1"/>
  <c r="G51" i="7" s="1"/>
  <c r="H132" i="6"/>
  <c r="H133" i="6"/>
  <c r="H131" i="6"/>
  <c r="H122" i="6"/>
  <c r="H123" i="6"/>
  <c r="H124" i="6"/>
  <c r="H125" i="6"/>
  <c r="H126" i="6"/>
  <c r="H127" i="6"/>
  <c r="H128" i="6"/>
  <c r="H129" i="6"/>
  <c r="H121" i="6"/>
  <c r="H111" i="6"/>
  <c r="H112" i="6"/>
  <c r="H113" i="6"/>
  <c r="H114" i="6"/>
  <c r="H115" i="6"/>
  <c r="H116" i="6"/>
  <c r="H117" i="6"/>
  <c r="H118" i="6"/>
  <c r="H119" i="6"/>
  <c r="H110" i="6"/>
  <c r="H106" i="6"/>
  <c r="H107" i="6"/>
  <c r="H108" i="6"/>
  <c r="H105" i="6"/>
  <c r="H100" i="6"/>
  <c r="H101" i="6"/>
  <c r="H102" i="6"/>
  <c r="H103" i="6"/>
  <c r="H99" i="6"/>
  <c r="H89" i="6"/>
  <c r="H90" i="6"/>
  <c r="H91" i="6"/>
  <c r="H92" i="6"/>
  <c r="H93" i="6"/>
  <c r="H94" i="6"/>
  <c r="H95" i="6"/>
  <c r="H96" i="6"/>
  <c r="H97" i="6"/>
  <c r="H88" i="6"/>
  <c r="G37" i="7" l="1"/>
  <c r="J137" i="7" s="1"/>
  <c r="J138" i="9"/>
  <c r="J139" i="9" s="1"/>
  <c r="G40" i="9" s="1"/>
  <c r="G53" i="9" s="1"/>
  <c r="G44" i="9"/>
  <c r="G50" i="9" s="1"/>
  <c r="G39" i="9"/>
  <c r="G52" i="9" s="1"/>
  <c r="G49" i="7"/>
  <c r="G39" i="7"/>
  <c r="G52" i="7" s="1"/>
  <c r="G44" i="7"/>
  <c r="G50" i="7" s="1"/>
  <c r="J138" i="7"/>
  <c r="J139" i="7" s="1"/>
  <c r="G40" i="7" s="1"/>
  <c r="G53" i="7" s="1"/>
  <c r="Y83" i="6"/>
  <c r="G34" i="6" s="1"/>
  <c r="S83" i="6"/>
  <c r="J144" i="6" s="1"/>
  <c r="N83" i="6"/>
  <c r="G41" i="6" s="1"/>
  <c r="Q83" i="6"/>
  <c r="J142" i="6" s="1"/>
  <c r="M83" i="6"/>
  <c r="G35" i="6" s="1"/>
  <c r="U83" i="6"/>
  <c r="G45" i="6" s="1"/>
  <c r="T83" i="6"/>
  <c r="J145" i="6" s="1"/>
  <c r="P83" i="6"/>
  <c r="G43" i="6" s="1"/>
  <c r="L83" i="6"/>
  <c r="G38" i="6" s="1"/>
  <c r="X83" i="6"/>
  <c r="J149" i="6" s="1"/>
  <c r="O83" i="6"/>
  <c r="G42" i="6" s="1"/>
  <c r="K83" i="6"/>
  <c r="W83" i="6"/>
  <c r="J148" i="6" s="1"/>
  <c r="R83" i="6"/>
  <c r="J143" i="6" s="1"/>
  <c r="Z83" i="6"/>
  <c r="V83" i="6"/>
  <c r="J83" i="6"/>
  <c r="G37" i="6" l="1"/>
  <c r="G36" i="6"/>
  <c r="G48" i="6" s="1"/>
  <c r="G44" i="6"/>
  <c r="G50" i="6" s="1"/>
  <c r="G49" i="6"/>
  <c r="J137" i="6"/>
  <c r="G51" i="6"/>
  <c r="G39" i="6" l="1"/>
  <c r="G52" i="6" s="1"/>
  <c r="J138" i="6"/>
  <c r="J139" i="6" s="1"/>
  <c r="G40" i="6" s="1"/>
  <c r="G53" i="6" s="1"/>
</calcChain>
</file>

<file path=xl/sharedStrings.xml><?xml version="1.0" encoding="utf-8"?>
<sst xmlns="http://schemas.openxmlformats.org/spreadsheetml/2006/main" count="3737" uniqueCount="941">
  <si>
    <t>Group</t>
  </si>
  <si>
    <r>
      <t>T</t>
    </r>
    <r>
      <rPr>
        <b/>
        <vertAlign val="subscript"/>
        <sz val="11"/>
        <color theme="1"/>
        <rFont val="Calibri"/>
        <family val="2"/>
        <scheme val="minor"/>
      </rPr>
      <t>c</t>
    </r>
  </si>
  <si>
    <r>
      <t>P</t>
    </r>
    <r>
      <rPr>
        <b/>
        <vertAlign val="subscript"/>
        <sz val="11"/>
        <color theme="1"/>
        <rFont val="Calibri"/>
        <family val="2"/>
        <scheme val="minor"/>
      </rPr>
      <t>c</t>
    </r>
  </si>
  <si>
    <r>
      <t>V</t>
    </r>
    <r>
      <rPr>
        <b/>
        <vertAlign val="subscript"/>
        <sz val="11"/>
        <color theme="1"/>
        <rFont val="Calibri"/>
        <family val="2"/>
        <scheme val="minor"/>
      </rPr>
      <t>c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</si>
  <si>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b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</si>
  <si>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m</t>
    </r>
  </si>
  <si>
    <r>
      <t>H</t>
    </r>
    <r>
      <rPr>
        <b/>
        <vertAlign val="subscript"/>
        <sz val="11"/>
        <color theme="1"/>
        <rFont val="Calibri"/>
        <family val="2"/>
        <scheme val="minor"/>
      </rPr>
      <t>form</t>
    </r>
  </si>
  <si>
    <r>
      <t>G</t>
    </r>
    <r>
      <rPr>
        <b/>
        <vertAlign val="subscript"/>
        <sz val="11"/>
        <color theme="1"/>
        <rFont val="Calibri"/>
        <family val="2"/>
        <scheme val="minor"/>
      </rPr>
      <t>form</t>
    </r>
  </si>
  <si>
    <t>a</t>
  </si>
  <si>
    <t>b</t>
  </si>
  <si>
    <t>c</t>
  </si>
  <si>
    <t>d</t>
  </si>
  <si>
    <r>
      <t>H</t>
    </r>
    <r>
      <rPr>
        <b/>
        <vertAlign val="subscript"/>
        <sz val="11"/>
        <color theme="1"/>
        <rFont val="Calibri"/>
        <family val="2"/>
        <scheme val="minor"/>
      </rPr>
      <t>fusion</t>
    </r>
  </si>
  <si>
    <r>
      <t>H</t>
    </r>
    <r>
      <rPr>
        <b/>
        <vertAlign val="subscript"/>
        <sz val="11"/>
        <color theme="1"/>
        <rFont val="Calibri"/>
        <family val="2"/>
        <scheme val="minor"/>
      </rPr>
      <t>vap</t>
    </r>
  </si>
  <si>
    <t>Critical State Data</t>
  </si>
  <si>
    <t>Temperatures</t>
  </si>
  <si>
    <t>of Phase Transitions</t>
  </si>
  <si>
    <t>Chemical Caloric</t>
  </si>
  <si>
    <t>Properties</t>
  </si>
  <si>
    <t>Ideal Gas Heat Capacities</t>
  </si>
  <si>
    <t>Enthalpies</t>
  </si>
  <si>
    <t>Dynamic Viscosity</t>
  </si>
  <si>
    <t>Non-ring groups</t>
  </si>
  <si>
    <r>
      <t>-CH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</t>
    </r>
  </si>
  <si>
    <t>&gt;CH-</t>
  </si>
  <si>
    <t>&gt;C&lt;</t>
  </si>
  <si>
    <t>=CH-</t>
  </si>
  <si>
    <t>=C&lt;</t>
  </si>
  <si>
    <t>n. a.</t>
  </si>
  <si>
    <t>=C=</t>
  </si>
  <si>
    <t>≡CH</t>
  </si>
  <si>
    <t>≡C-</t>
  </si>
  <si>
    <t>Ring groups</t>
  </si>
  <si>
    <t>0.0082</t>
  </si>
  <si>
    <t>Halogen groups</t>
  </si>
  <si>
    <t>-F</t>
  </si>
  <si>
    <t>-Cl</t>
  </si>
  <si>
    <t>-Br</t>
  </si>
  <si>
    <t>-I</t>
  </si>
  <si>
    <t>Oxygen groups</t>
  </si>
  <si>
    <t>-OH (alcohol)</t>
  </si>
  <si>
    <t>-OH (phenol)</t>
  </si>
  <si>
    <t>-O- (nonring)</t>
  </si>
  <si>
    <t>-O- (ring)</t>
  </si>
  <si>
    <t>&gt;C=O (nonring)</t>
  </si>
  <si>
    <t>&gt;C=O (ring)</t>
  </si>
  <si>
    <t>O=CH- (aldehyde)</t>
  </si>
  <si>
    <t>-COOH (acid)</t>
  </si>
  <si>
    <t>-COO- (ester)</t>
  </si>
  <si>
    <t>0.0143</t>
  </si>
  <si>
    <t>Nitrogen groups</t>
  </si>
  <si>
    <t>&gt;NH (non-ring)</t>
  </si>
  <si>
    <t>&gt;NH (ring)</t>
  </si>
  <si>
    <t>&gt;N-(nonring)</t>
  </si>
  <si>
    <t>-N= (nonring)</t>
  </si>
  <si>
    <t>-N= (ring)</t>
  </si>
  <si>
    <t>-CN</t>
  </si>
  <si>
    <t>Sulfur groups</t>
  </si>
  <si>
    <t>-SH</t>
  </si>
  <si>
    <t>-S- (nonring)</t>
  </si>
  <si>
    <t>-S- (ring)</t>
  </si>
  <si>
    <t>=O (other than above)</t>
  </si>
  <si>
    <t>=NH</t>
  </si>
  <si>
    <r>
      <t>-CH</t>
    </r>
    <r>
      <rPr>
        <vertAlign val="subscript"/>
        <sz val="11"/>
        <color theme="1"/>
        <rFont val="Calibri"/>
        <family val="2"/>
        <scheme val="minor"/>
      </rPr>
      <t>3</t>
    </r>
  </si>
  <si>
    <t>-NH2</t>
  </si>
  <si>
    <t>-NO2</t>
  </si>
  <si>
    <t>C</t>
  </si>
  <si>
    <t>kJ/mol</t>
  </si>
  <si>
    <t>Pc</t>
  </si>
  <si>
    <t>Property Estimation - Joback Method</t>
  </si>
  <si>
    <t>No. of</t>
  </si>
  <si>
    <t>Atoms</t>
  </si>
  <si>
    <t>Molecular</t>
  </si>
  <si>
    <t>Weight</t>
  </si>
  <si>
    <t>Molecular Weight</t>
  </si>
  <si>
    <t>g/mol</t>
  </si>
  <si>
    <t>Critical Temperature, Tc</t>
  </si>
  <si>
    <t>Date</t>
  </si>
  <si>
    <t>By</t>
  </si>
  <si>
    <t>bar</t>
  </si>
  <si>
    <t>Critical Volume, Vc</t>
  </si>
  <si>
    <t>Critical Pressure, Pc</t>
  </si>
  <si>
    <t>cm³/mol</t>
  </si>
  <si>
    <t>Critical Compressibility, Zc</t>
  </si>
  <si>
    <t>atm</t>
  </si>
  <si>
    <t>Tr</t>
  </si>
  <si>
    <t>ω</t>
  </si>
  <si>
    <t>Freezing Point</t>
  </si>
  <si>
    <t>Heat of Formation, (Ideal Gas 298 K)</t>
  </si>
  <si>
    <t>Gibbs Energy of Formation</t>
  </si>
  <si>
    <t>Normal Boiling Point, Tnbp</t>
  </si>
  <si>
    <t>Heat of Vaporization at Tnbp</t>
  </si>
  <si>
    <t>Heat of Fusion</t>
  </si>
  <si>
    <t>Accentric Factor Estimation</t>
  </si>
  <si>
    <t>Heat Capacity, Ideal Gas</t>
  </si>
  <si>
    <t>A</t>
  </si>
  <si>
    <t>B</t>
  </si>
  <si>
    <t>D</t>
  </si>
  <si>
    <t>Properties at Temperature</t>
  </si>
  <si>
    <t>Heat Capacity, Ideal Gas, Cp</t>
  </si>
  <si>
    <t>J/mol.K</t>
  </si>
  <si>
    <t>K</t>
  </si>
  <si>
    <t>Heat of Vaporization</t>
  </si>
  <si>
    <t>Liquid Viscosity</t>
  </si>
  <si>
    <t>Pa.s</t>
  </si>
  <si>
    <t>Liquid Density</t>
  </si>
  <si>
    <t>g/cm³</t>
  </si>
  <si>
    <t>Vapor Pressure</t>
  </si>
  <si>
    <t>Reduced Temperature, Tr</t>
  </si>
  <si>
    <t>PHYSICAL PROPERTIES</t>
  </si>
  <si>
    <r>
      <t xml:space="preserve">Acentric Factor, </t>
    </r>
    <r>
      <rPr>
        <sz val="11"/>
        <color theme="1"/>
        <rFont val="Calibri"/>
        <family val="2"/>
      </rPr>
      <t>ω</t>
    </r>
  </si>
  <si>
    <r>
      <t>=CH</t>
    </r>
    <r>
      <rPr>
        <vertAlign val="subscript"/>
        <sz val="11"/>
        <color theme="1"/>
        <rFont val="Calibri"/>
        <family val="2"/>
        <scheme val="minor"/>
      </rPr>
      <t>2</t>
    </r>
  </si>
  <si>
    <t>DHANANJAY PATIL</t>
  </si>
  <si>
    <t>C12H10O2</t>
  </si>
  <si>
    <t>C12H11NO</t>
  </si>
  <si>
    <t>Property</t>
  </si>
  <si>
    <t>Value</t>
  </si>
  <si>
    <t>Name</t>
  </si>
  <si>
    <t>4-Phenoxyphenol</t>
  </si>
  <si>
    <t>CAS</t>
  </si>
  <si>
    <t>831-82-3</t>
  </si>
  <si>
    <t>IUPAC InChI</t>
  </si>
  <si>
    <t>InChI=1S/C12H10O2/c13-10-6-8-12(9-7-10)14-11-4-2-1-3-5-11/h1-9,13H</t>
  </si>
  <si>
    <t>IUPAC InChI Key</t>
  </si>
  <si>
    <t>ZSBDGXGICLIJGD-UHFFFAOYSA-N</t>
  </si>
  <si>
    <t>Chemical Formula</t>
  </si>
  <si>
    <t>SMILES</t>
  </si>
  <si>
    <t>Oc1ccc(Oc2ccccc2)cc1</t>
  </si>
  <si>
    <t>Calculated Molecular Weight</t>
  </si>
  <si>
    <t>Other name</t>
  </si>
  <si>
    <t>4-Hydroxydiphenyl ether</t>
  </si>
  <si>
    <t>Phenol, p-phenoxy-</t>
  </si>
  <si>
    <t>p-Hydroxydiphenyl ether</t>
  </si>
  <si>
    <t>p-Phenoxyphenol</t>
  </si>
  <si>
    <t>Uncertainty</t>
  </si>
  <si>
    <t>Unit</t>
  </si>
  <si>
    <t>ΔfG°</t>
  </si>
  <si>
    <t>ΔfH°gas</t>
  </si>
  <si>
    <t>ΔfusH°</t>
  </si>
  <si>
    <t>ΔvapH°</t>
  </si>
  <si>
    <t>logPoct/wat</t>
  </si>
  <si>
    <t>kPa</t>
  </si>
  <si>
    <t>Tboil</t>
  </si>
  <si>
    <t>Tc</t>
  </si>
  <si>
    <t>Tfus</t>
  </si>
  <si>
    <t>Vc</t>
  </si>
  <si>
    <t>m3/kg-mol</t>
  </si>
  <si>
    <t>Temperature (K)</t>
  </si>
  <si>
    <t>Cp,gas</t>
  </si>
  <si>
    <t>J/mol×K</t>
  </si>
  <si>
    <t>η</t>
  </si>
  <si>
    <t>Pa×s</t>
  </si>
  <si>
    <t>Legend</t>
  </si>
  <si>
    <t>Ideal gas heat capacity</t>
  </si>
  <si>
    <t>Dynamic viscosity</t>
  </si>
  <si>
    <t>Standard Gibbs free energy of formation</t>
  </si>
  <si>
    <t>Enthalpy of formation at standard conditions</t>
  </si>
  <si>
    <t>Enthalpy of fusion at standard conditions</t>
  </si>
  <si>
    <t>Enthalpy of vaporization at standard conditions</t>
  </si>
  <si>
    <t>Octanol/Water partition coefficient</t>
  </si>
  <si>
    <t>Critical Pressure</t>
  </si>
  <si>
    <t>Normal Boiling Point Temperature</t>
  </si>
  <si>
    <t>Critical Temperature</t>
  </si>
  <si>
    <t>Normal melting (fusion) point</t>
  </si>
  <si>
    <t>Critical Volume</t>
  </si>
  <si>
    <t>FOR ALL 4PA PROPERTIES CLICK HERE</t>
  </si>
  <si>
    <t>#'X1'!A1</t>
  </si>
  <si>
    <t>10.08.2022</t>
  </si>
  <si>
    <t>3-Pyridinecarbonitrile</t>
  </si>
  <si>
    <t>100-54-9</t>
  </si>
  <si>
    <t>InChI=1S/C6H4N2/c7-4-6-2-1-3-8-5-6/h1-3,5H</t>
  </si>
  <si>
    <t>GZPHSAQLYPIAIN-UHFFFAOYSA-N</t>
  </si>
  <si>
    <t>C6H4N2</t>
  </si>
  <si>
    <t>N#Cc1cccnc1</t>
  </si>
  <si>
    <t>3-Azabenzonitrile</t>
  </si>
  <si>
    <t>3-Cyanopyridine</t>
  </si>
  <si>
    <t>3-Cyjanopirydyna</t>
  </si>
  <si>
    <t>3-Pyridinenitrile</t>
  </si>
  <si>
    <t>3-Pyridyl cyanide</t>
  </si>
  <si>
    <t>3-Pyridylcarbonitrile</t>
  </si>
  <si>
    <t>NSC 17558</t>
  </si>
  <si>
    <t>Nicotinic acid nitrile</t>
  </si>
  <si>
    <t>Nicotinonitrile</t>
  </si>
  <si>
    <t>Nitryl kwasu nikotynowego</t>
  </si>
  <si>
    <t>Pyridine-3-carbonitrile</t>
  </si>
  <si>
    <t>PAff</t>
  </si>
  <si>
    <t>BasG</t>
  </si>
  <si>
    <t>ΔcH°solid</t>
  </si>
  <si>
    <t>ΔfH°solid</t>
  </si>
  <si>
    <t>ΔsubH°</t>
  </si>
  <si>
    <t>IE</t>
  </si>
  <si>
    <t>eV</t>
  </si>
  <si>
    <t>ΔvapH</t>
  </si>
  <si>
    <t>Proton affinity</t>
  </si>
  <si>
    <t>Gas basicity</t>
  </si>
  <si>
    <t>Standard solid enthalpy of combustion</t>
  </si>
  <si>
    <t>Solid phase enthalpy of formation at standard conditions</t>
  </si>
  <si>
    <t>Enthalpy of sublimation at standard conditions</t>
  </si>
  <si>
    <t>Enthalpy of vaporization at a given temperature</t>
  </si>
  <si>
    <t>Ionization energy</t>
  </si>
  <si>
    <t>Sources</t>
  </si>
  <si>
    <t>crippen</t>
  </si>
  <si>
    <t>http://pubs.acs.org/doi/abs/10.1021/ci990307l</t>
  </si>
  <si>
    <t>nist-webbook</t>
  </si>
  <si>
    <t>http://webbook.nist.gov/cgi/cbook.cgi?ID=C100549&amp;Mask=2</t>
  </si>
  <si>
    <t>http://webbook.nist.gov/cgi/cbook.cgi?ID=C100549&amp;Mask=4</t>
  </si>
  <si>
    <t>http://webbook.nist.gov/cgi/cbook.cgi?ID=C100549&amp;Mask=2000</t>
  </si>
  <si>
    <t>http://webbook.nist.gov/cgi/cbook.cgi?ID=C100549&amp;Mask=20</t>
  </si>
  <si>
    <t>http://webbook.nist.gov/cgi/cbook.cgi?Str2File=C100549</t>
  </si>
  <si>
    <t>http://webbook.nist.gov/cgi/cbook.cgi?ID=C100549&amp;Mask=1</t>
  </si>
  <si>
    <t>http://webbook.nist.gov/cgi/cbook.cgi?Str3File=C100549</t>
  </si>
  <si>
    <t>Download the latest version from:</t>
  </si>
  <si>
    <t>https://old.chemeo.com/cid/21-891-9/3-Pyridinecarbonitrile</t>
  </si>
  <si>
    <t>Excel export generated by Cheméo</t>
  </si>
  <si>
    <t>https://www.chemeo.com</t>
  </si>
  <si>
    <t>TO FILL DATA</t>
  </si>
  <si>
    <t>ANSWERS</t>
  </si>
  <si>
    <t>PRODUCTS</t>
  </si>
  <si>
    <t>REACTANTS</t>
  </si>
  <si>
    <t>NO. OF MOLES REACTANTS</t>
  </si>
  <si>
    <t>ENTAHLPY OF FORMATION REACTANTS</t>
  </si>
  <si>
    <t>KJ/MOL</t>
  </si>
  <si>
    <t>NO. OF MOLES PRODUCTS</t>
  </si>
  <si>
    <t>ENTAHLPY OF FORMATION PRODUCTS</t>
  </si>
  <si>
    <r>
      <t>ΔH°</t>
    </r>
    <r>
      <rPr>
        <b/>
        <sz val="9"/>
        <color rgb="FF444444"/>
        <rFont val="Courier New"/>
        <family val="3"/>
      </rPr>
      <t>reaction</t>
    </r>
    <r>
      <rPr>
        <b/>
        <sz val="12"/>
        <color rgb="FF444444"/>
        <rFont val="Courier New"/>
        <family val="3"/>
      </rPr>
      <t> = ∑ΔH°</t>
    </r>
    <r>
      <rPr>
        <b/>
        <sz val="9"/>
        <color rgb="FF444444"/>
        <rFont val="Courier New"/>
        <family val="3"/>
      </rPr>
      <t>f</t>
    </r>
    <r>
      <rPr>
        <b/>
        <sz val="12"/>
        <color rgb="FF444444"/>
        <rFont val="Courier New"/>
        <family val="3"/>
      </rPr>
      <t>(products) - ∑ΔH°</t>
    </r>
    <r>
      <rPr>
        <b/>
        <sz val="9"/>
        <color rgb="FF444444"/>
        <rFont val="Courier New"/>
        <family val="3"/>
      </rPr>
      <t>f</t>
    </r>
    <r>
      <rPr>
        <b/>
        <sz val="12"/>
        <color rgb="FF444444"/>
        <rFont val="Courier New"/>
        <family val="3"/>
      </rPr>
      <t>(reactants)</t>
    </r>
  </si>
  <si>
    <t>Species</t>
  </si>
  <si>
    <t>Phase</t>
  </si>
  <si>
    <t>Chemical formula</t>
  </si>
  <si>
    <t>Aluminium</t>
  </si>
  <si>
    <t>Solid</t>
  </si>
  <si>
    <t>Al</t>
  </si>
  <si>
    <t>Aluminium chloride</t>
  </si>
  <si>
    <t>−705.63</t>
  </si>
  <si>
    <t>Aluminium oxide</t>
  </si>
  <si>
    <t>−1675.5</t>
  </si>
  <si>
    <t>Aluminium hydroxide</t>
  </si>
  <si>
    <t>−1277</t>
  </si>
  <si>
    <t>Aluminium sulphate</t>
  </si>
  <si>
    <t>−3440</t>
  </si>
  <si>
    <t>Barium</t>
  </si>
  <si>
    <t>Barium chloride</t>
  </si>
  <si>
    <t>−858.6</t>
  </si>
  <si>
    <t>Barium carbonate</t>
  </si>
  <si>
    <t>−1216</t>
  </si>
  <si>
    <t>Barium hydroxide</t>
  </si>
  <si>
    <t>−944.7</t>
  </si>
  <si>
    <t>Barium oxide</t>
  </si>
  <si>
    <t>BaO</t>
  </si>
  <si>
    <t>−548.1</t>
  </si>
  <si>
    <t>Barium sulfate</t>
  </si>
  <si>
    <t>−1473.3</t>
  </si>
  <si>
    <t>Beryllium</t>
  </si>
  <si>
    <t>Be</t>
  </si>
  <si>
    <t>Beryllium hydroxide</t>
  </si>
  <si>
    <t>−903</t>
  </si>
  <si>
    <t>Beryllium oxide</t>
  </si>
  <si>
    <t>BeO</t>
  </si>
  <si>
    <t>−609.4</t>
  </si>
  <si>
    <t>Boron</t>
  </si>
  <si>
    <t>Boron trichloride</t>
  </si>
  <si>
    <t>−402.96</t>
  </si>
  <si>
    <t>Bromine</t>
  </si>
  <si>
    <t>Liquid</t>
  </si>
  <si>
    <t>Bromide ion</t>
  </si>
  <si>
    <t>Aqueous</t>
  </si>
  <si>
    <t>−121</t>
  </si>
  <si>
    <t>Gas</t>
  </si>
  <si>
    <t>Br</t>
  </si>
  <si>
    <t>Bromine trifluoride</t>
  </si>
  <si>
    <t>−255.60</t>
  </si>
  <si>
    <t>Hydrogen bromide</t>
  </si>
  <si>
    <t>HBr</t>
  </si>
  <si>
    <t>−36.29</t>
  </si>
  <si>
    <t>Cadmium</t>
  </si>
  <si>
    <t>Cd</t>
  </si>
  <si>
    <t>Cadmium oxide</t>
  </si>
  <si>
    <t>CdO</t>
  </si>
  <si>
    <t>−258</t>
  </si>
  <si>
    <t>Cadmium hydroxide</t>
  </si>
  <si>
    <t>−561</t>
  </si>
  <si>
    <t>Cadmium sulfide</t>
  </si>
  <si>
    <t>CdS</t>
  </si>
  <si>
    <t>−162</t>
  </si>
  <si>
    <t>Cadmium sulfate</t>
  </si>
  <si>
    <t>−935</t>
  </si>
  <si>
    <t>Caesium</t>
  </si>
  <si>
    <t>Cs</t>
  </si>
  <si>
    <t>Caesium(I) ion</t>
  </si>
  <si>
    <t>Caesium chloride</t>
  </si>
  <si>
    <t>CsCl</t>
  </si>
  <si>
    <t>−443.04</t>
  </si>
  <si>
    <t>Calcium</t>
  </si>
  <si>
    <t>Ca</t>
  </si>
  <si>
    <t>Calcium(II) ion</t>
  </si>
  <si>
    <t>−542.7</t>
  </si>
  <si>
    <t>Calcium carbide</t>
  </si>
  <si>
    <t>−59.8</t>
  </si>
  <si>
    <t>−1206.9</t>
  </si>
  <si>
    <t>Calcium chloride</t>
  </si>
  <si>
    <t>−795.8</t>
  </si>
  <si>
    <t>−877.3</t>
  </si>
  <si>
    <t>Calcium phosphate</t>
  </si>
  <si>
    <t>−4132</t>
  </si>
  <si>
    <t>Calcium fluoride</t>
  </si>
  <si>
    <t>−1219.6</t>
  </si>
  <si>
    <t>Calcium hydride</t>
  </si>
  <si>
    <t>−186.2</t>
  </si>
  <si>
    <t>Calcium hydroxide</t>
  </si>
  <si>
    <t>−986.09</t>
  </si>
  <si>
    <t>−1002.82</t>
  </si>
  <si>
    <t>Calcium oxide</t>
  </si>
  <si>
    <t>CaO</t>
  </si>
  <si>
    <t>−635.09</t>
  </si>
  <si>
    <t>Calcium sulfate</t>
  </si>
  <si>
    <t>−1434.52</t>
  </si>
  <si>
    <t>Calcium sulfide</t>
  </si>
  <si>
    <t>CaS</t>
  </si>
  <si>
    <t>−482.4</t>
  </si>
  <si>
    <t>Wollastonite</t>
  </si>
  <si>
    <t>−1630</t>
  </si>
  <si>
    <t>Carbon</t>
  </si>
  <si>
    <t>Carbon dioxide</t>
  </si>
  <si>
    <t>−393.509</t>
  </si>
  <si>
    <t>Carbon disulfide</t>
  </si>
  <si>
    <t>Carbon monoxide</t>
  </si>
  <si>
    <t>CO</t>
  </si>
  <si>
    <t>−110.525</t>
  </si>
  <si>
    <t>−218.8</t>
  </si>
  <si>
    <t>Carbon dioxide (un–ionized)</t>
  </si>
  <si>
    <t>−419.26</t>
  </si>
  <si>
    <t>Bicarbonate ion</t>
  </si>
  <si>
    <t>−689.93</t>
  </si>
  <si>
    <t>Carbonate ion</t>
  </si>
  <si>
    <t>−675.23</t>
  </si>
  <si>
    <t>Chlorine</t>
  </si>
  <si>
    <t>Monatomic chlorine</t>
  </si>
  <si>
    <t>Cl</t>
  </si>
  <si>
    <t>Chloride ion</t>
  </si>
  <si>
    <t>−167.2</t>
  </si>
  <si>
    <t>Chromium</t>
  </si>
  <si>
    <t>Cr</t>
  </si>
  <si>
    <t>Copper</t>
  </si>
  <si>
    <t>Cu</t>
  </si>
  <si>
    <t>Copper(II) oxide</t>
  </si>
  <si>
    <t>CuO</t>
  </si>
  <si>
    <t>−155.2</t>
  </si>
  <si>
    <t>Copper(II) sulfate</t>
  </si>
  <si>
    <t>−769.98</t>
  </si>
  <si>
    <t>Fluorine</t>
  </si>
  <si>
    <t>Hydrogen</t>
  </si>
  <si>
    <t>Monatomic hydrogen</t>
  </si>
  <si>
    <t>H</t>
  </si>
  <si>
    <t>Water</t>
  </si>
  <si>
    <t>−241.818</t>
  </si>
  <si>
    <t>−285.8</t>
  </si>
  <si>
    <t>Hydrogen ion</t>
  </si>
  <si>
    <t>Hydroxide ion</t>
  </si>
  <si>
    <t>−230</t>
  </si>
  <si>
    <t>Hydrogen peroxide</t>
  </si>
  <si>
    <t>−187.8</t>
  </si>
  <si>
    <t>Phosphoric acid</t>
  </si>
  <si>
    <t>−1288</t>
  </si>
  <si>
    <t>Hydrogen cyanide</t>
  </si>
  <si>
    <t>HCN</t>
  </si>
  <si>
    <t>−36.3</t>
  </si>
  <si>
    <t>Hydrogen chloride</t>
  </si>
  <si>
    <t>HCl</t>
  </si>
  <si>
    <t>−92.30</t>
  </si>
  <si>
    <t>Hydrogen fluoride</t>
  </si>
  <si>
    <t>HF</t>
  </si>
  <si>
    <t>−273.3</t>
  </si>
  <si>
    <t>Hydrogen iodide</t>
  </si>
  <si>
    <t>HI</t>
  </si>
  <si>
    <t>Iodine</t>
  </si>
  <si>
    <t>Iodide ion</t>
  </si>
  <si>
    <t>−55</t>
  </si>
  <si>
    <t>Iron</t>
  </si>
  <si>
    <t>Fe</t>
  </si>
  <si>
    <t>Iron carbide (Cementite)</t>
  </si>
  <si>
    <t>Iron(II) carbonate (Siderite)</t>
  </si>
  <si>
    <t>−750.6</t>
  </si>
  <si>
    <t>Iron(III) chloride</t>
  </si>
  <si>
    <t>−399.4</t>
  </si>
  <si>
    <t>FeO</t>
  </si>
  <si>
    <t>−272</t>
  </si>
  <si>
    <t>−1118.4</t>
  </si>
  <si>
    <t>−824.2</t>
  </si>
  <si>
    <t>Iron(II) sulfate</t>
  </si>
  <si>
    <t>−929</t>
  </si>
  <si>
    <t>Iron(III) sulfate</t>
  </si>
  <si>
    <t>−2583</t>
  </si>
  <si>
    <t>Iron(II) sulfide</t>
  </si>
  <si>
    <t>FeS</t>
  </si>
  <si>
    <t>−102</t>
  </si>
  <si>
    <t>Pyrite</t>
  </si>
  <si>
    <t>−178</t>
  </si>
  <si>
    <t>Lead</t>
  </si>
  <si>
    <t>Pb</t>
  </si>
  <si>
    <t>Lead dioxide</t>
  </si>
  <si>
    <t>−277</t>
  </si>
  <si>
    <t>Lead sulfide</t>
  </si>
  <si>
    <t>PbS</t>
  </si>
  <si>
    <t>−100</t>
  </si>
  <si>
    <t>Lead sulfate</t>
  </si>
  <si>
    <t>−920</t>
  </si>
  <si>
    <t>Lead(II) nitrate</t>
  </si>
  <si>
    <t>−452</t>
  </si>
  <si>
    <t>Lead(II) sulfate</t>
  </si>
  <si>
    <t>Lithium</t>
  </si>
  <si>
    <t>Lithium fluoride</t>
  </si>
  <si>
    <t>LiF</t>
  </si>
  <si>
    <t>−616.93</t>
  </si>
  <si>
    <t>Magnesium</t>
  </si>
  <si>
    <t>Mg</t>
  </si>
  <si>
    <t>Magnesium ion</t>
  </si>
  <si>
    <t>−466.85</t>
  </si>
  <si>
    <t>Magnesium carbonate</t>
  </si>
  <si>
    <t>−1095.797</t>
  </si>
  <si>
    <t>Magnesium chloride</t>
  </si>
  <si>
    <t>−641.8</t>
  </si>
  <si>
    <t>Magnesium hydroxide</t>
  </si>
  <si>
    <t>−924.54</t>
  </si>
  <si>
    <t>−926.8</t>
  </si>
  <si>
    <t>Magnesium oxide</t>
  </si>
  <si>
    <t>MgO</t>
  </si>
  <si>
    <t>−601.6</t>
  </si>
  <si>
    <t>Magnesium sulfate</t>
  </si>
  <si>
    <t>−1278.2</t>
  </si>
  <si>
    <t>Manganese</t>
  </si>
  <si>
    <t>Mn</t>
  </si>
  <si>
    <t>Manganese(II) oxide</t>
  </si>
  <si>
    <t>MnO</t>
  </si>
  <si>
    <t>−384.9</t>
  </si>
  <si>
    <t>Manganese(IV) oxide</t>
  </si>
  <si>
    <t>−519.7</t>
  </si>
  <si>
    <t>Manganese(III) oxide</t>
  </si>
  <si>
    <t>−971</t>
  </si>
  <si>
    <t>Manganese(II,III) oxide</t>
  </si>
  <si>
    <t>−1387</t>
  </si>
  <si>
    <t>Permanganate</t>
  </si>
  <si>
    <t>−543</t>
  </si>
  <si>
    <t>Mercury</t>
  </si>
  <si>
    <t>Mercury(II) oxide (red)</t>
  </si>
  <si>
    <t>HgO</t>
  </si>
  <si>
    <t>−90.83</t>
  </si>
  <si>
    <t>HgS</t>
  </si>
  <si>
    <t>−58.2</t>
  </si>
  <si>
    <t>Nitrogen</t>
  </si>
  <si>
    <t>Ammonia (ammonium hydroxide)</t>
  </si>
  <si>
    <t>−80.8</t>
  </si>
  <si>
    <t>Ammonia</t>
  </si>
  <si>
    <t>−46.1</t>
  </si>
  <si>
    <t>Ammonium nitrate</t>
  </si>
  <si>
    <t>−365.6</t>
  </si>
  <si>
    <t>Ammonium chloride</t>
  </si>
  <si>
    <t>−314.55</t>
  </si>
  <si>
    <t>Nitrogen dioxide</t>
  </si>
  <si>
    <t>Hydrazine</t>
  </si>
  <si>
    <t>Nitrous oxide</t>
  </si>
  <si>
    <t>Nitric oxide</t>
  </si>
  <si>
    <t>NO</t>
  </si>
  <si>
    <t>Dinitrogen tetroxide</t>
  </si>
  <si>
    <t>Dinitrogen pentoxide</t>
  </si>
  <si>
    <t>−43.1</t>
  </si>
  <si>
    <t>Nitric acid</t>
  </si>
  <si>
    <t>−207</t>
  </si>
  <si>
    <t>Oxygen</t>
  </si>
  <si>
    <t>Monatomic oxygen</t>
  </si>
  <si>
    <t>O</t>
  </si>
  <si>
    <t>Ozone</t>
  </si>
  <si>
    <t>Phosphorus</t>
  </si>
  <si>
    <t>White phosphorus</t>
  </si>
  <si>
    <t>Red phosphorus</t>
  </si>
  <si>
    <t>P</t>
  </si>
  <si>
    <t>−17.4[5]</t>
  </si>
  <si>
    <t>Black phosphorus</t>
  </si>
  <si>
    <t>−39.3[5]</t>
  </si>
  <si>
    <t>Phosphorus trichloride</t>
  </si>
  <si>
    <t>−319.7</t>
  </si>
  <si>
    <t>−278</t>
  </si>
  <si>
    <t>Phosphorus pentachloride</t>
  </si>
  <si>
    <t>−440</t>
  </si>
  <si>
    <t>−321</t>
  </si>
  <si>
    <t>Phosphorus pentoxide</t>
  </si>
  <si>
    <t>−1505.5[6]</t>
  </si>
  <si>
    <t>Potassium</t>
  </si>
  <si>
    <t>Potassium bromide</t>
  </si>
  <si>
    <t>KBr</t>
  </si>
  <si>
    <t>−392.2</t>
  </si>
  <si>
    <t>Potassium carbonate</t>
  </si>
  <si>
    <t>−1150</t>
  </si>
  <si>
    <t>Potassium chlorate</t>
  </si>
  <si>
    <t>−391.4</t>
  </si>
  <si>
    <t>Potassium chloride</t>
  </si>
  <si>
    <t>KCl</t>
  </si>
  <si>
    <t>−436.68</t>
  </si>
  <si>
    <t>Potassium fluoride</t>
  </si>
  <si>
    <t>KF</t>
  </si>
  <si>
    <t>−562.6</t>
  </si>
  <si>
    <t>Potassium oxide</t>
  </si>
  <si>
    <t>−363</t>
  </si>
  <si>
    <t>Potassium nitrate</t>
  </si>
  <si>
    <t>−494.5</t>
  </si>
  <si>
    <t>Potassium perchlorate</t>
  </si>
  <si>
    <t>−430.12</t>
  </si>
  <si>
    <t>Silicon</t>
  </si>
  <si>
    <t>Si</t>
  </si>
  <si>
    <t>Silicon carbide</t>
  </si>
  <si>
    <t>SiC</t>
  </si>
  <si>
    <t>Silicon tetrachloride</t>
  </si>
  <si>
    <t>−640.1</t>
  </si>
  <si>
    <t>−910.86</t>
  </si>
  <si>
    <t>Silver</t>
  </si>
  <si>
    <t>Silver bromide</t>
  </si>
  <si>
    <t>AgBr</t>
  </si>
  <si>
    <t>−99.5</t>
  </si>
  <si>
    <t>Silver chloride</t>
  </si>
  <si>
    <t>AgCl</t>
  </si>
  <si>
    <t>−127.01</t>
  </si>
  <si>
    <t>Silver iodide</t>
  </si>
  <si>
    <t>AgI</t>
  </si>
  <si>
    <t>−62.4</t>
  </si>
  <si>
    <t>Silver oxide</t>
  </si>
  <si>
    <t>−31.1</t>
  </si>
  <si>
    <t>Silver sulfide</t>
  </si>
  <si>
    <t>−31.8</t>
  </si>
  <si>
    <t>Sodium</t>
  </si>
  <si>
    <t>Na</t>
  </si>
  <si>
    <t>Sodium bicarbonate</t>
  </si>
  <si>
    <t>−950.8</t>
  </si>
  <si>
    <t>Sodium carbonate</t>
  </si>
  <si>
    <t>−1130.77</t>
  </si>
  <si>
    <t>Sodium chloride</t>
  </si>
  <si>
    <t>NaCl</t>
  </si>
  <si>
    <t>−407.27</t>
  </si>
  <si>
    <t>−411.12</t>
  </si>
  <si>
    <t>−385.92</t>
  </si>
  <si>
    <t>−181.42</t>
  </si>
  <si>
    <t>Sodium chlorate</t>
  </si>
  <si>
    <t>−365.4</t>
  </si>
  <si>
    <t>Sodium fluoride</t>
  </si>
  <si>
    <t>NaF</t>
  </si>
  <si>
    <t>−569.0</t>
  </si>
  <si>
    <t>Sodium hydroxide</t>
  </si>
  <si>
    <t>NaOH</t>
  </si>
  <si>
    <t>−469.15</t>
  </si>
  <si>
    <t>−425.93</t>
  </si>
  <si>
    <t>Sodium hypochlorite</t>
  </si>
  <si>
    <t>NaOCl</t>
  </si>
  <si>
    <t>−347.1</t>
  </si>
  <si>
    <t>Sodium nitrate</t>
  </si>
  <si>
    <t>−446.2</t>
  </si>
  <si>
    <t>−424.8</t>
  </si>
  <si>
    <t>Sodium oxide</t>
  </si>
  <si>
    <t>−414.2</t>
  </si>
  <si>
    <t>Sulfur</t>
  </si>
  <si>
    <t>Sulfur (monoclinic)</t>
  </si>
  <si>
    <t>Sulfur (rhombic)</t>
  </si>
  <si>
    <t>Hydrogen sulfide</t>
  </si>
  <si>
    <t>−20.63</t>
  </si>
  <si>
    <t>Sulfur dioxide</t>
  </si>
  <si>
    <t>−296.84</t>
  </si>
  <si>
    <t>Sulfur trioxide</t>
  </si>
  <si>
    <t>−395.7</t>
  </si>
  <si>
    <t>Sulfuric acid</t>
  </si>
  <si>
    <t>−814</t>
  </si>
  <si>
    <t>Tin</t>
  </si>
  <si>
    <t>Titanium</t>
  </si>
  <si>
    <t>Ti</t>
  </si>
  <si>
    <t>Titanium tetrachloride</t>
  </si>
  <si>
    <t>−763.2</t>
  </si>
  <si>
    <t>−804.2</t>
  </si>
  <si>
    <t>Titanium dioxide</t>
  </si>
  <si>
    <t>Zinc</t>
  </si>
  <si>
    <t>Zn</t>
  </si>
  <si>
    <t>Zinc chloride</t>
  </si>
  <si>
    <t>−415.1</t>
  </si>
  <si>
    <t>Zinc oxide</t>
  </si>
  <si>
    <t>ZnO</t>
  </si>
  <si>
    <t>−348.0</t>
  </si>
  <si>
    <t>Zinc sulfate</t>
  </si>
  <si>
    <t>−980.14</t>
  </si>
  <si>
    <t>Aliphatic hydrocarbons[edit]</t>
  </si>
  <si>
    <t>Formula</t>
  </si>
  <si>
    <t>Straight-chain</t>
  </si>
  <si>
    <t>Methane</t>
  </si>
  <si>
    <t>−17.9</t>
  </si>
  <si>
    <t>−74.9</t>
  </si>
  <si>
    <t>Ethane</t>
  </si>
  <si>
    <t>−20.0</t>
  </si>
  <si>
    <t>−83.7</t>
  </si>
  <si>
    <t>Ethylene</t>
  </si>
  <si>
    <t>Acetylene</t>
  </si>
  <si>
    <t>Propane</t>
  </si>
  <si>
    <t>−25.0</t>
  </si>
  <si>
    <t>−104.6</t>
  </si>
  <si>
    <t>n-Butane</t>
  </si>
  <si>
    <t>−30.0</t>
  </si>
  <si>
    <t>−125.5</t>
  </si>
  <si>
    <t>n-Pentane</t>
  </si>
  <si>
    <t>−35.1</t>
  </si>
  <si>
    <t>−146.9</t>
  </si>
  <si>
    <t>n-Hexane</t>
  </si>
  <si>
    <t>−40.0</t>
  </si>
  <si>
    <t>−167.4</t>
  </si>
  <si>
    <t>n-Heptane</t>
  </si>
  <si>
    <t>−44.9</t>
  </si>
  <si>
    <t>−187.9</t>
  </si>
  <si>
    <t>n-Octane</t>
  </si>
  <si>
    <t>−49.8</t>
  </si>
  <si>
    <t>−208.4</t>
  </si>
  <si>
    <t>n-Nonane</t>
  </si>
  <si>
    <t>−54.8</t>
  </si>
  <si>
    <t>−229.3</t>
  </si>
  <si>
    <t>n-Decane</t>
  </si>
  <si>
    <t>−59.6</t>
  </si>
  <si>
    <t>−249.4</t>
  </si>
  <si>
    <t>Isobutane (methylpropane)</t>
  </si>
  <si>
    <t>−32.1</t>
  </si>
  <si>
    <t>−134.3</t>
  </si>
  <si>
    <t>Neopentane (dimethylpropane)</t>
  </si>
  <si>
    <t>−40.1</t>
  </si>
  <si>
    <t>−167.8</t>
  </si>
  <si>
    <t>Isopentane (methylbutane)</t>
  </si>
  <si>
    <t>−36.9</t>
  </si>
  <si>
    <t>−154.4</t>
  </si>
  <si>
    <t>2,2-Dimethylbutane</t>
  </si>
  <si>
    <t>−44.5</t>
  </si>
  <si>
    <t>2,3-Dimethylbutane</t>
  </si>
  <si>
    <t>−42.5</t>
  </si>
  <si>
    <t>−177.8</t>
  </si>
  <si>
    <t>2-Methylpentane (isohexane)</t>
  </si>
  <si>
    <t>−41.8</t>
  </si>
  <si>
    <t>−174.9</t>
  </si>
  <si>
    <t>3-Methylpentane</t>
  </si>
  <si>
    <t>−41.1</t>
  </si>
  <si>
    <t>−172.0</t>
  </si>
  <si>
    <t>2,2-Dimethylpentane</t>
  </si>
  <si>
    <t>−49.2</t>
  </si>
  <si>
    <t>−205.9</t>
  </si>
  <si>
    <t>2,2,3-Trimethylbutane</t>
  </si>
  <si>
    <t>−49.0</t>
  </si>
  <si>
    <t>−205.0</t>
  </si>
  <si>
    <t>3,3-Dimethylpentane</t>
  </si>
  <si>
    <t>−48.1</t>
  </si>
  <si>
    <t>−201.3</t>
  </si>
  <si>
    <t>2,3-Dimethylpentane</t>
  </si>
  <si>
    <t>−47.3</t>
  </si>
  <si>
    <t>−197.9</t>
  </si>
  <si>
    <t>2,4-Dimethylpentane</t>
  </si>
  <si>
    <t>−48.2</t>
  </si>
  <si>
    <t>−201.7</t>
  </si>
  <si>
    <t>2-Methylhexane</t>
  </si>
  <si>
    <t>−46.5</t>
  </si>
  <si>
    <t>−194.6</t>
  </si>
  <si>
    <t>3-Methylhexane</t>
  </si>
  <si>
    <t>−45.7</t>
  </si>
  <si>
    <t>−191.2</t>
  </si>
  <si>
    <t>3-Ethylpentane</t>
  </si>
  <si>
    <t>−45.3</t>
  </si>
  <si>
    <t>−189.5</t>
  </si>
  <si>
    <t>2,3-Dimethylhexane</t>
  </si>
  <si>
    <t>−55.1</t>
  </si>
  <si>
    <t>−230.5</t>
  </si>
  <si>
    <t>2,2,3,3-Tetramethylbutane</t>
  </si>
  <si>
    <t>−53.9</t>
  </si>
  <si>
    <t>−225.5</t>
  </si>
  <si>
    <t>2,2-Dimethylhexane</t>
  </si>
  <si>
    <t>−53.7</t>
  </si>
  <si>
    <t>−224.7</t>
  </si>
  <si>
    <t>2,2,4-Trimethylpentane (isooctane)</t>
  </si>
  <si>
    <t>−53.5</t>
  </si>
  <si>
    <t>−223.8</t>
  </si>
  <si>
    <t>2,5-Dimethylhexane</t>
  </si>
  <si>
    <t>−53.2</t>
  </si>
  <si>
    <t>−222.6</t>
  </si>
  <si>
    <t>2,2,3-Trimethylpentane</t>
  </si>
  <si>
    <t>−52.6</t>
  </si>
  <si>
    <t>−220.1</t>
  </si>
  <si>
    <t>3,3-Dimethylhexane</t>
  </si>
  <si>
    <t>2,4-Dimethylhexane</t>
  </si>
  <si>
    <t>−52.4</t>
  </si>
  <si>
    <t>−219.2</t>
  </si>
  <si>
    <t>2,3,4-Trimethylpentane</t>
  </si>
  <si>
    <t>−51.9</t>
  </si>
  <si>
    <t>−217.1</t>
  </si>
  <si>
    <t>2,3,3-Trimethylpentane</t>
  </si>
  <si>
    <t>−51.7</t>
  </si>
  <si>
    <t>−216.3</t>
  </si>
  <si>
    <t>2-Methylheptane</t>
  </si>
  <si>
    <t>−51.5</t>
  </si>
  <si>
    <t>−215.5</t>
  </si>
  <si>
    <t>3-Ethyl-3-Methylpentane</t>
  </si>
  <si>
    <t>−51.4</t>
  </si>
  <si>
    <t>−215.1</t>
  </si>
  <si>
    <t>3,4-Dimethylhexane</t>
  </si>
  <si>
    <t>−50.9</t>
  </si>
  <si>
    <t>−213.0</t>
  </si>
  <si>
    <t>3-Ethyl-2-Methylpentane</t>
  </si>
  <si>
    <t>−50.4</t>
  </si>
  <si>
    <t>−210.9</t>
  </si>
  <si>
    <t>3-Methylheptane</t>
  </si>
  <si>
    <t>−60.3</t>
  </si>
  <si>
    <t>−252.5</t>
  </si>
  <si>
    <t>4-Methylheptane</t>
  </si>
  <si>
    <t>?</t>
  </si>
  <si>
    <t>3-Ethylhexane</t>
  </si>
  <si>
    <t>2,2,4,4-Tetramethylpentane</t>
  </si>
  <si>
    <t>−57.8</t>
  </si>
  <si>
    <t>−241.8</t>
  </si>
  <si>
    <t>2,2,3,3-Tetramethylpentane</t>
  </si>
  <si>
    <t>−56.7</t>
  </si>
  <si>
    <t>−237.2</t>
  </si>
  <si>
    <t>2,2,3,4-Tetramethylpentane</t>
  </si>
  <si>
    <t>−56.6</t>
  </si>
  <si>
    <t>−236.8</t>
  </si>
  <si>
    <t>2,3,3,4-Tetramethylpentane</t>
  </si>
  <si>
    <t>−56.4</t>
  </si>
  <si>
    <t>−236.0</t>
  </si>
  <si>
    <t>3,3-Diethylpentane</t>
  </si>
  <si>
    <t>−55.7</t>
  </si>
  <si>
    <t>−233.0</t>
  </si>
  <si>
    <t>Other organic compounds[edit]</t>
  </si>
  <si>
    <t>Acetone</t>
  </si>
  <si>
    <t>−248.4</t>
  </si>
  <si>
    <t>Benzene</t>
  </si>
  <si>
    <t>Benzoic acid</t>
  </si>
  <si>
    <t>−385.2</t>
  </si>
  <si>
    <t>Carbon tetrachloride</t>
  </si>
  <si>
    <t>−135.4</t>
  </si>
  <si>
    <t>−95.98</t>
  </si>
  <si>
    <t>Ethanol</t>
  </si>
  <si>
    <t>−277.0</t>
  </si>
  <si>
    <t>−235.3</t>
  </si>
  <si>
    <t>Glucose</t>
  </si>
  <si>
    <t>−1271</t>
  </si>
  <si>
    <t>Isopropanol</t>
  </si>
  <si>
    <t>−318.1</t>
  </si>
  <si>
    <t>Methanol (methyl alcohol)</t>
  </si>
  <si>
    <t>−238.4</t>
  </si>
  <si>
    <t>−201.0</t>
  </si>
  <si>
    <t>−356.3</t>
  </si>
  <si>
    <t>Sucrose</t>
  </si>
  <si>
    <t>−2226.1</t>
  </si>
  <si>
    <t>−134.47</t>
  </si>
  <si>
    <t>−103.18</t>
  </si>
  <si>
    <t>Vinyl chloride</t>
  </si>
  <si>
    <t>−94.12</t>
  </si>
  <si>
    <t>ΔfH⦵ /(kJ/mol)</t>
  </si>
  <si>
    <t>AlCl3</t>
  </si>
  <si>
    <t>Al2O3</t>
  </si>
  <si>
    <t>Al(OH)3</t>
  </si>
  <si>
    <t>Al2(SO4)3</t>
  </si>
  <si>
    <t>BaCl2</t>
  </si>
  <si>
    <t>BaCO3</t>
  </si>
  <si>
    <t>Ba(OH)2</t>
  </si>
  <si>
    <t>BaSO4</t>
  </si>
  <si>
    <t>Be(OH)2</t>
  </si>
  <si>
    <t>BCl3</t>
  </si>
  <si>
    <t>Br2</t>
  </si>
  <si>
    <t>Br−</t>
  </si>
  <si>
    <t>BrF3</t>
  </si>
  <si>
    <t>Cd(OH)2</t>
  </si>
  <si>
    <t>CdSO4</t>
  </si>
  <si>
    <t>Cs+</t>
  </si>
  <si>
    <t>Ca2+</t>
  </si>
  <si>
    <t>CaC2</t>
  </si>
  <si>
    <t>Calcium carbonate (Calcite)</t>
  </si>
  <si>
    <t>CaCO3</t>
  </si>
  <si>
    <t>CaCl2</t>
  </si>
  <si>
    <t>Ca3(PO4)2</t>
  </si>
  <si>
    <t>CaF2</t>
  </si>
  <si>
    <t>CaH2</t>
  </si>
  <si>
    <t>Ca(OH)2</t>
  </si>
  <si>
    <t>CaSO4</t>
  </si>
  <si>
    <t>CaSiO3</t>
  </si>
  <si>
    <t>Carbon (Graphite)</t>
  </si>
  <si>
    <t>Carbon (Diamond)</t>
  </si>
  <si>
    <t>CO2</t>
  </si>
  <si>
    <t>CS2</t>
  </si>
  <si>
    <t>Carbonyl chloride (Phosgene)</t>
  </si>
  <si>
    <t>COCl2</t>
  </si>
  <si>
    <t>CO2(aq)</t>
  </si>
  <si>
    <t>HCO3–</t>
  </si>
  <si>
    <t>CO32–</t>
  </si>
  <si>
    <t>Cl−</t>
  </si>
  <si>
    <t>Cl2</t>
  </si>
  <si>
    <t>CuSO4</t>
  </si>
  <si>
    <t>F2</t>
  </si>
  <si>
    <t>H2</t>
  </si>
  <si>
    <t>H2O</t>
  </si>
  <si>
    <t>H+</t>
  </si>
  <si>
    <t>OH−</t>
  </si>
  <si>
    <t>H2O2</t>
  </si>
  <si>
    <t>H3PO4</t>
  </si>
  <si>
    <t>I2</t>
  </si>
  <si>
    <t>I−</t>
  </si>
  <si>
    <t>Fe3C</t>
  </si>
  <si>
    <t>FeCO3</t>
  </si>
  <si>
    <t>FeCl3</t>
  </si>
  <si>
    <t>Iron(II) oxide (Wüstite)</t>
  </si>
  <si>
    <t>Iron(II,III) oxide (Magnetite)</t>
  </si>
  <si>
    <t>Fe3O4</t>
  </si>
  <si>
    <t>Iron(III) oxide (Hematite)</t>
  </si>
  <si>
    <t>Fe2O3</t>
  </si>
  <si>
    <t>FeSO4</t>
  </si>
  <si>
    <t>Fe2(SO4)3</t>
  </si>
  <si>
    <t>FeS2</t>
  </si>
  <si>
    <t>PbO2</t>
  </si>
  <si>
    <t>PbSO4</t>
  </si>
  <si>
    <t>Pb(NO3)2</t>
  </si>
  <si>
    <t>Mg2+</t>
  </si>
  <si>
    <t>MgCO3</t>
  </si>
  <si>
    <t>MgCl2</t>
  </si>
  <si>
    <t>Mg(OH)2</t>
  </si>
  <si>
    <t>MgSO4</t>
  </si>
  <si>
    <t>MnO2</t>
  </si>
  <si>
    <t>Mn2O3</t>
  </si>
  <si>
    <t>Mn3O4</t>
  </si>
  <si>
    <t>MnO−</t>
  </si>
  <si>
    <t>Mercury sulfide (red, cinnabar)</t>
  </si>
  <si>
    <t>N2</t>
  </si>
  <si>
    <t>NH3 (NH4OH)</t>
  </si>
  <si>
    <t>NH3</t>
  </si>
  <si>
    <t>NH4NO3</t>
  </si>
  <si>
    <t>NH4Cl</t>
  </si>
  <si>
    <t>NO2</t>
  </si>
  <si>
    <t>N2H4</t>
  </si>
  <si>
    <t>N2O</t>
  </si>
  <si>
    <t>N2O4</t>
  </si>
  <si>
    <t>N2O5</t>
  </si>
  <si>
    <t>HNO3</t>
  </si>
  <si>
    <t>O2</t>
  </si>
  <si>
    <t>O3</t>
  </si>
  <si>
    <t>P4</t>
  </si>
  <si>
    <t>PCl3</t>
  </si>
  <si>
    <t>PCl5</t>
  </si>
  <si>
    <t>P2O5</t>
  </si>
  <si>
    <t>K2CO3</t>
  </si>
  <si>
    <t>KClO3</t>
  </si>
  <si>
    <t>K2O</t>
  </si>
  <si>
    <t>KNO3</t>
  </si>
  <si>
    <t>KClO4</t>
  </si>
  <si>
    <t>−74.4,[7] −71.5[8]</t>
  </si>
  <si>
    <t>SiCl4</t>
  </si>
  <si>
    <t>Silica (Quartz)</t>
  </si>
  <si>
    <t>SiO2</t>
  </si>
  <si>
    <t>Ag2O</t>
  </si>
  <si>
    <t>Ag2S</t>
  </si>
  <si>
    <t>NaHCO3</t>
  </si>
  <si>
    <t>Na2CO3</t>
  </si>
  <si>
    <t>NaClO3</t>
  </si>
  <si>
    <t>NaNO3</t>
  </si>
  <si>
    <t>Na2O</t>
  </si>
  <si>
    <t>S8</t>
  </si>
  <si>
    <t>H2S</t>
  </si>
  <si>
    <t>SO2</t>
  </si>
  <si>
    <t>SO3</t>
  </si>
  <si>
    <t>H2SO4</t>
  </si>
  <si>
    <t>TiCl4</t>
  </si>
  <si>
    <t>TiO2</t>
  </si>
  <si>
    <t>ZnCl2</t>
  </si>
  <si>
    <t>ZnSO4</t>
  </si>
  <si>
    <t>ΔfH⦵ /(kcal/mol)</t>
  </si>
  <si>
    <t>CH4</t>
  </si>
  <si>
    <t>C2H6</t>
  </si>
  <si>
    <t>C2H4</t>
  </si>
  <si>
    <t>C2H2</t>
  </si>
  <si>
    <t>C3H8</t>
  </si>
  <si>
    <t>C4H10</t>
  </si>
  <si>
    <t>C5H12</t>
  </si>
  <si>
    <t>C6H14</t>
  </si>
  <si>
    <t>C7H16</t>
  </si>
  <si>
    <t>C8H18</t>
  </si>
  <si>
    <t>C9H20</t>
  </si>
  <si>
    <t>C10H22</t>
  </si>
  <si>
    <t>C4 Alkane branched isomers</t>
  </si>
  <si>
    <t>C5 Alkane branched isomers</t>
  </si>
  <si>
    <t>C6 Alkane branched isomers</t>
  </si>
  <si>
    <t>C7 Alkane branched isomers</t>
  </si>
  <si>
    <t>C8 Alkane branched isomers</t>
  </si>
  <si>
    <t>C9 Alkane branched isomers (selected)</t>
  </si>
  <si>
    <t>C3H6O</t>
  </si>
  <si>
    <t>C6H6</t>
  </si>
  <si>
    <t>C7H6O2</t>
  </si>
  <si>
    <t>CCl4</t>
  </si>
  <si>
    <t>C2H5OH</t>
  </si>
  <si>
    <t>C6H12O6</t>
  </si>
  <si>
    <t>C3H7OH</t>
  </si>
  <si>
    <t>CH3OH</t>
  </si>
  <si>
    <t>Methyl linoleate (Biodiesel)</t>
  </si>
  <si>
    <t>C19H34O2</t>
  </si>
  <si>
    <t>C12H22O11</t>
  </si>
  <si>
    <t>Trichloromethane (Chloroform)</t>
  </si>
  <si>
    <t>CHCl3</t>
  </si>
  <si>
    <t>C2H3Cl</t>
  </si>
  <si>
    <t>https://www.chemeo.com/cid/40-386-9/2-Amino-3-methylbenzoic%20acid</t>
  </si>
  <si>
    <t>25.09.2022</t>
  </si>
  <si>
    <t xml:space="preserve">DATA BANK OF ENTAHLPY OF FORMATION </t>
  </si>
  <si>
    <t>Prepared By</t>
  </si>
  <si>
    <t>KEYUR ATODARIYA &amp; DHANANJAY PATIL</t>
  </si>
  <si>
    <t>ΔH°reaction for Single  Mole</t>
  </si>
  <si>
    <t>Heat Of Reaction A-151</t>
  </si>
  <si>
    <t>M.W. OF KSM</t>
  </si>
  <si>
    <t>QTY OF KSM</t>
  </si>
  <si>
    <t>NO. OF MOLES OF KSM</t>
  </si>
  <si>
    <t>MOLES</t>
  </si>
  <si>
    <t>KG</t>
  </si>
  <si>
    <t>-</t>
  </si>
  <si>
    <t>KJ/BATCH</t>
  </si>
  <si>
    <t>NO. OF COEFICIENTS REACTANTS</t>
  </si>
  <si>
    <t>NO. OF COEFICIENTS PRODUCTS</t>
  </si>
  <si>
    <t>Inorganic substances</t>
  </si>
  <si>
    <t>KCAL/BATCH</t>
  </si>
  <si>
    <t>ΔH°reaction = ∑ΔH°f(products) - ∑ΔH°f(reactants)</t>
  </si>
  <si>
    <t>Q</t>
  </si>
  <si>
    <t>M</t>
  </si>
  <si>
    <t>KJ/Mol</t>
  </si>
  <si>
    <t>Q=m*L</t>
  </si>
  <si>
    <t>KJ/Hr</t>
  </si>
  <si>
    <t>Q=M*Cp*T</t>
  </si>
  <si>
    <t>M=Q/Cp/T</t>
  </si>
  <si>
    <t>Cp</t>
  </si>
  <si>
    <t>Kj/Kg.K</t>
  </si>
  <si>
    <t>T</t>
  </si>
  <si>
    <t>Kg/hr</t>
  </si>
  <si>
    <t>M3/Hr</t>
  </si>
  <si>
    <t>Reaction Mass</t>
  </si>
  <si>
    <t>KJ/kg Per Batch</t>
  </si>
  <si>
    <t xml:space="preserve">Reaction Time </t>
  </si>
  <si>
    <t xml:space="preserve"> Total Hydrogen</t>
  </si>
  <si>
    <t>Hydrogen Flow Rate</t>
  </si>
  <si>
    <t>Cooling Flow Rate</t>
  </si>
  <si>
    <t>Hrs</t>
  </si>
  <si>
    <t>Kg</t>
  </si>
  <si>
    <t>Kg/hrs</t>
  </si>
  <si>
    <t>M3/hrs</t>
  </si>
  <si>
    <t>Q of Reaction Mass</t>
  </si>
  <si>
    <t>Flow of Co</t>
  </si>
  <si>
    <t>COOLING WATER FLOW RATE CALCULATION</t>
  </si>
  <si>
    <t>KJ/Kg.K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</si>
</sst>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000000"/>
    <numFmt numFmtId="166" formatCode="0.00000"/>
    <numFmt numFmtId="167" formatCode="0.0000E+00"/>
    <numFmt numFmtId="168" formatCode="0.0000"/>
    <numFmt numFmtId="169" formatCode="0.000E+00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6" tint="-0.499984740745262"/>
      <name val="Calibri"/>
      <family val="2"/>
      <scheme val="minor"/>
    </font>
    <font>
      <sz val="11"/>
      <color rgb="FF7030A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rgb="FF7030A0"/>
      <name val="Calibri"/>
      <family val="2"/>
    </font>
    <font>
      <b/>
      <i/>
      <sz val="11"/>
      <color theme="5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i/>
      <sz val="11"/>
      <color theme="6" tint="-0.499984740745262"/>
      <name val="Calibri"/>
      <family val="2"/>
      <scheme val="minor"/>
    </font>
    <font>
      <b/>
      <i/>
      <sz val="16"/>
      <color theme="6" tint="-0.499984740745262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24"/>
      <color rgb="FF202124"/>
      <name val="Arial"/>
      <family val="2"/>
    </font>
    <font>
      <sz val="36"/>
      <color rgb="FF202124"/>
      <name val="Arial"/>
      <family val="2"/>
    </font>
    <font>
      <b/>
      <sz val="12"/>
      <color rgb="FF444444"/>
      <name val="Courier New"/>
      <family val="3"/>
    </font>
    <font>
      <b/>
      <sz val="9"/>
      <color rgb="FF444444"/>
      <name val="Courier New"/>
      <family val="3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rgb="FF444444"/>
      <name val="Calibri"/>
      <family val="2"/>
      <scheme val="minor"/>
    </font>
    <font>
      <b/>
      <sz val="18"/>
      <color theme="1"/>
      <name val="Comic Sans MS"/>
      <family val="4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54">
    <xf numFmtId="0" fontId="0" fillId="0" borderId="0" xfId="0"/>
    <xf numFmtId="0" fontId="0" fillId="0" borderId="0" xfId="0" quotePrefix="1" applyAlignment="1">
      <alignment horizontal="left" vertical="center" wrapText="1"/>
    </xf>
    <xf numFmtId="2" fontId="0" fillId="0" borderId="0" xfId="0" applyNumberFormat="1"/>
    <xf numFmtId="164" fontId="0" fillId="0" borderId="0" xfId="0" applyNumberFormat="1"/>
    <xf numFmtId="167" fontId="0" fillId="0" borderId="0" xfId="0" applyNumberFormat="1"/>
    <xf numFmtId="0" fontId="0" fillId="0" borderId="0" xfId="0" applyAlignment="1">
      <alignment horizontal="left" vertical="center"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3" borderId="0" xfId="0" applyFill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/>
    <xf numFmtId="168" fontId="0" fillId="0" borderId="0" xfId="0" applyNumberFormat="1"/>
    <xf numFmtId="0" fontId="10" fillId="0" borderId="0" xfId="0" applyFont="1"/>
    <xf numFmtId="0" fontId="0" fillId="0" borderId="0" xfId="0" quotePrefix="1"/>
    <xf numFmtId="164" fontId="6" fillId="0" borderId="0" xfId="1" applyNumberFormat="1" applyFont="1" applyProtection="1"/>
    <xf numFmtId="169" fontId="0" fillId="0" borderId="0" xfId="0" applyNumberFormat="1"/>
    <xf numFmtId="164" fontId="0" fillId="0" borderId="0" xfId="0" applyNumberFormat="1" applyFill="1"/>
    <xf numFmtId="15" fontId="9" fillId="3" borderId="0" xfId="0" applyNumberFormat="1" applyFont="1" applyFill="1" applyAlignment="1">
      <alignment horizontal="left"/>
    </xf>
    <xf numFmtId="0" fontId="9" fillId="3" borderId="0" xfId="0" applyFont="1" applyFill="1" applyAlignment="1">
      <alignment horizontal="left"/>
    </xf>
    <xf numFmtId="0" fontId="11" fillId="0" borderId="1" xfId="0" applyFont="1" applyBorder="1" applyAlignment="1">
      <alignment horizontal="center"/>
    </xf>
    <xf numFmtId="0" fontId="12" fillId="0" borderId="1" xfId="0" applyFont="1" applyBorder="1"/>
    <xf numFmtId="0" fontId="0" fillId="0" borderId="0" xfId="0" applyBorder="1"/>
    <xf numFmtId="0" fontId="8" fillId="0" borderId="0" xfId="0" applyFont="1" applyBorder="1" applyAlignment="1">
      <alignment horizontal="center"/>
    </xf>
    <xf numFmtId="2" fontId="0" fillId="0" borderId="0" xfId="0" applyNumberFormat="1" applyBorder="1"/>
    <xf numFmtId="0" fontId="0" fillId="0" borderId="2" xfId="0" applyBorder="1"/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0" fillId="0" borderId="2" xfId="0" quotePrefix="1" applyBorder="1" applyAlignment="1">
      <alignment horizontal="left" vertical="center"/>
    </xf>
    <xf numFmtId="0" fontId="0" fillId="0" borderId="2" xfId="0" applyBorder="1" applyAlignment="1">
      <alignment horizontal="right" vertical="center"/>
    </xf>
    <xf numFmtId="11" fontId="0" fillId="0" borderId="2" xfId="0" applyNumberFormat="1" applyBorder="1" applyAlignment="1">
      <alignment horizontal="right" vertical="center"/>
    </xf>
    <xf numFmtId="166" fontId="0" fillId="0" borderId="2" xfId="0" applyNumberFormat="1" applyBorder="1"/>
    <xf numFmtId="0" fontId="0" fillId="0" borderId="2" xfId="0" applyBorder="1" applyAlignment="1">
      <alignment horizontal="left" vertical="center"/>
    </xf>
    <xf numFmtId="165" fontId="0" fillId="0" borderId="2" xfId="0" applyNumberFormat="1" applyBorder="1"/>
    <xf numFmtId="0" fontId="0" fillId="0" borderId="0" xfId="0" applyFont="1"/>
    <xf numFmtId="0" fontId="0" fillId="0" borderId="0" xfId="0" applyFont="1" applyBorder="1"/>
    <xf numFmtId="0" fontId="0" fillId="3" borderId="1" xfId="0" applyFont="1" applyFill="1" applyBorder="1"/>
    <xf numFmtId="168" fontId="0" fillId="0" borderId="2" xfId="0" applyNumberFormat="1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164" fontId="7" fillId="0" borderId="0" xfId="0" applyNumberFormat="1" applyFont="1" applyAlignment="1" applyProtection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 applyAlignme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6" fillId="0" borderId="0" xfId="1" applyBorder="1" applyAlignment="1"/>
    <xf numFmtId="0" fontId="1" fillId="8" borderId="3" xfId="0" applyFont="1" applyFill="1" applyBorder="1"/>
    <xf numFmtId="0" fontId="1" fillId="8" borderId="13" xfId="0" applyFont="1" applyFill="1" applyBorder="1"/>
    <xf numFmtId="0" fontId="1" fillId="8" borderId="4" xfId="0" applyFont="1" applyFill="1" applyBorder="1"/>
    <xf numFmtId="0" fontId="6" fillId="8" borderId="13" xfId="1" applyFill="1" applyBorder="1"/>
    <xf numFmtId="0" fontId="16" fillId="0" borderId="0" xfId="0" applyFont="1" applyBorder="1"/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6" fillId="0" borderId="0" xfId="0" applyFont="1"/>
    <xf numFmtId="0" fontId="0" fillId="9" borderId="5" xfId="0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8" xfId="0" applyFill="1" applyBorder="1"/>
    <xf numFmtId="0" fontId="0" fillId="9" borderId="0" xfId="0" applyFill="1" applyBorder="1"/>
    <xf numFmtId="0" fontId="0" fillId="9" borderId="9" xfId="0" applyFill="1" applyBorder="1"/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7" fillId="0" borderId="0" xfId="0" applyFont="1"/>
    <xf numFmtId="0" fontId="0" fillId="7" borderId="0" xfId="0" applyFill="1"/>
    <xf numFmtId="0" fontId="18" fillId="0" borderId="0" xfId="0" applyFont="1"/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0" xfId="0" applyFill="1" applyBorder="1"/>
    <xf numFmtId="0" fontId="0" fillId="0" borderId="9" xfId="0" applyFill="1" applyBorder="1"/>
    <xf numFmtId="0" fontId="0" fillId="0" borderId="0" xfId="0" applyFill="1" applyBorder="1" applyAlignment="1"/>
    <xf numFmtId="0" fontId="0" fillId="0" borderId="9" xfId="0" applyFill="1" applyBorder="1" applyAlignment="1"/>
    <xf numFmtId="0" fontId="6" fillId="0" borderId="8" xfId="1" applyBorder="1"/>
    <xf numFmtId="0" fontId="17" fillId="0" borderId="10" xfId="0" applyFont="1" applyBorder="1"/>
    <xf numFmtId="0" fontId="0" fillId="10" borderId="20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10" borderId="21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1" fillId="9" borderId="17" xfId="0" applyFont="1" applyFill="1" applyBorder="1" applyAlignment="1">
      <alignment horizontal="center" vertical="center"/>
    </xf>
    <xf numFmtId="0" fontId="19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1" fillId="11" borderId="4" xfId="0" applyFont="1" applyFill="1" applyBorder="1" applyAlignment="1">
      <alignment horizontal="center" vertical="center"/>
    </xf>
    <xf numFmtId="0" fontId="21" fillId="11" borderId="22" xfId="0" applyFont="1" applyFill="1" applyBorder="1" applyAlignment="1">
      <alignment horizontal="center" vertical="center"/>
    </xf>
    <xf numFmtId="0" fontId="1" fillId="10" borderId="25" xfId="0" applyFont="1" applyFill="1" applyBorder="1" applyAlignment="1">
      <alignment horizontal="center" vertical="center"/>
    </xf>
    <xf numFmtId="0" fontId="1" fillId="9" borderId="26" xfId="0" applyFont="1" applyFill="1" applyBorder="1" applyAlignment="1">
      <alignment horizontal="center" vertical="center"/>
    </xf>
    <xf numFmtId="0" fontId="26" fillId="0" borderId="0" xfId="0" applyFont="1"/>
    <xf numFmtId="0" fontId="25" fillId="9" borderId="22" xfId="0" applyFont="1" applyFill="1" applyBorder="1" applyAlignment="1">
      <alignment horizontal="center"/>
    </xf>
    <xf numFmtId="0" fontId="25" fillId="9" borderId="4" xfId="0" applyFont="1" applyFill="1" applyBorder="1" applyAlignment="1">
      <alignment horizontal="center"/>
    </xf>
    <xf numFmtId="0" fontId="1" fillId="10" borderId="2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6" fillId="0" borderId="8" xfId="0" applyFont="1" applyBorder="1"/>
    <xf numFmtId="0" fontId="26" fillId="0" borderId="0" xfId="0" applyFont="1" applyBorder="1" applyAlignment="1">
      <alignment horizontal="center"/>
    </xf>
    <xf numFmtId="0" fontId="26" fillId="0" borderId="0" xfId="0" applyFont="1" applyBorder="1"/>
    <xf numFmtId="0" fontId="0" fillId="0" borderId="11" xfId="0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10" borderId="1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4" fillId="0" borderId="9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9" borderId="15" xfId="0" applyFont="1" applyFill="1" applyBorder="1" applyAlignment="1">
      <alignment horizontal="center"/>
    </xf>
    <xf numFmtId="0" fontId="1" fillId="0" borderId="24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0" borderId="27" xfId="0" applyFont="1" applyFill="1" applyBorder="1" applyAlignment="1">
      <alignment horizontal="center" vertical="center"/>
    </xf>
    <xf numFmtId="0" fontId="1" fillId="10" borderId="28" xfId="0" applyFont="1" applyFill="1" applyBorder="1" applyAlignment="1">
      <alignment horizontal="center" vertical="center"/>
    </xf>
    <xf numFmtId="0" fontId="1" fillId="0" borderId="30" xfId="0" applyFont="1" applyBorder="1"/>
    <xf numFmtId="0" fontId="1" fillId="9" borderId="16" xfId="0" applyFont="1" applyFill="1" applyBorder="1"/>
    <xf numFmtId="0" fontId="1" fillId="12" borderId="0" xfId="0" applyFont="1" applyFill="1" applyAlignment="1">
      <alignment horizontal="center"/>
    </xf>
    <xf numFmtId="0" fontId="0" fillId="12" borderId="0" xfId="0" applyFont="1" applyFill="1"/>
    <xf numFmtId="0" fontId="0" fillId="12" borderId="0" xfId="0" applyFill="1"/>
    <xf numFmtId="0" fontId="8" fillId="12" borderId="0" xfId="0" applyFont="1" applyFill="1" applyAlignment="1">
      <alignment horizontal="center"/>
    </xf>
    <xf numFmtId="2" fontId="0" fillId="12" borderId="0" xfId="0" applyNumberFormat="1" applyFill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5" xfId="0" applyFont="1" applyBorder="1"/>
    <xf numFmtId="0" fontId="0" fillId="0" borderId="6" xfId="0" applyFont="1" applyBorder="1"/>
    <xf numFmtId="0" fontId="0" fillId="0" borderId="6" xfId="0" applyFont="1" applyBorder="1" applyAlignment="1">
      <alignment horizontal="center" vertical="center"/>
    </xf>
    <xf numFmtId="0" fontId="0" fillId="0" borderId="7" xfId="0" applyFont="1" applyBorder="1"/>
    <xf numFmtId="0" fontId="0" fillId="0" borderId="8" xfId="0" applyFont="1" applyBorder="1"/>
    <xf numFmtId="0" fontId="0" fillId="0" borderId="0" xfId="0" applyFont="1" applyBorder="1" applyAlignment="1">
      <alignment horizontal="center" vertical="center"/>
    </xf>
    <xf numFmtId="0" fontId="0" fillId="0" borderId="9" xfId="0" applyFont="1" applyBorder="1"/>
    <xf numFmtId="0" fontId="0" fillId="0" borderId="14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9" xfId="0" applyFont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10" borderId="15" xfId="0" applyFont="1" applyFill="1" applyBorder="1" applyAlignment="1">
      <alignment horizontal="center" vertical="center"/>
    </xf>
    <xf numFmtId="0" fontId="0" fillId="10" borderId="2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10" borderId="17" xfId="0" applyFont="1" applyFill="1" applyBorder="1" applyAlignment="1">
      <alignment horizontal="center" vertical="center"/>
    </xf>
    <xf numFmtId="0" fontId="0" fillId="10" borderId="18" xfId="0" applyFont="1" applyFill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0" fillId="0" borderId="10" xfId="0" applyFont="1" applyBorder="1"/>
    <xf numFmtId="0" fontId="0" fillId="0" borderId="16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23" fillId="6" borderId="5" xfId="0" applyFont="1" applyFill="1" applyBorder="1" applyAlignment="1">
      <alignment horizontal="center" vertical="center"/>
    </xf>
    <xf numFmtId="0" fontId="23" fillId="6" borderId="6" xfId="0" applyFont="1" applyFill="1" applyBorder="1" applyAlignment="1">
      <alignment horizontal="center" vertical="center"/>
    </xf>
    <xf numFmtId="0" fontId="23" fillId="6" borderId="7" xfId="0" applyFont="1" applyFill="1" applyBorder="1" applyAlignment="1">
      <alignment horizontal="center" vertical="center"/>
    </xf>
    <xf numFmtId="0" fontId="23" fillId="6" borderId="10" xfId="0" applyFont="1" applyFill="1" applyBorder="1" applyAlignment="1">
      <alignment horizontal="center" vertical="center"/>
    </xf>
    <xf numFmtId="0" fontId="23" fillId="6" borderId="11" xfId="0" applyFont="1" applyFill="1" applyBorder="1" applyAlignment="1">
      <alignment horizontal="center" vertical="center"/>
    </xf>
    <xf numFmtId="0" fontId="23" fillId="6" borderId="12" xfId="0" applyFont="1" applyFill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23" fillId="0" borderId="6" xfId="0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7" fillId="6" borderId="3" xfId="0" applyFont="1" applyFill="1" applyBorder="1" applyAlignment="1">
      <alignment horizontal="center" vertical="center"/>
    </xf>
    <xf numFmtId="0" fontId="27" fillId="6" borderId="13" xfId="0" applyFont="1" applyFill="1" applyBorder="1" applyAlignment="1">
      <alignment horizontal="center" vertical="center"/>
    </xf>
    <xf numFmtId="0" fontId="27" fillId="6" borderId="4" xfId="0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164" fontId="14" fillId="6" borderId="3" xfId="0" applyNumberFormat="1" applyFont="1" applyFill="1" applyBorder="1" applyAlignment="1" applyProtection="1">
      <alignment horizontal="center" vertical="center"/>
    </xf>
    <xf numFmtId="164" fontId="14" fillId="6" borderId="4" xfId="0" applyNumberFormat="1" applyFont="1" applyFill="1" applyBorder="1" applyAlignment="1" applyProtection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vertical="center"/>
    </xf>
    <xf numFmtId="164" fontId="15" fillId="7" borderId="3" xfId="0" applyNumberFormat="1" applyFont="1" applyFill="1" applyBorder="1" applyAlignment="1" applyProtection="1">
      <alignment horizontal="center" vertical="center"/>
    </xf>
    <xf numFmtId="164" fontId="15" fillId="7" borderId="4" xfId="0" applyNumberFormat="1" applyFont="1" applyFill="1" applyBorder="1" applyAlignment="1" applyProtection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Font="1" applyAlignment="1"/>
    <xf numFmtId="0" fontId="1" fillId="0" borderId="30" xfId="0" applyFont="1" applyBorder="1" applyAlignment="1">
      <alignment horizontal="center"/>
    </xf>
    <xf numFmtId="2" fontId="0" fillId="0" borderId="2" xfId="0" applyNumberFormat="1" applyBorder="1"/>
    <xf numFmtId="0" fontId="0" fillId="0" borderId="0" xfId="0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0" fillId="0" borderId="15" xfId="0" applyBorder="1"/>
    <xf numFmtId="0" fontId="0" fillId="0" borderId="18" xfId="0" applyBorder="1"/>
    <xf numFmtId="2" fontId="0" fillId="0" borderId="18" xfId="0" applyNumberFormat="1" applyBorder="1"/>
    <xf numFmtId="0" fontId="0" fillId="0" borderId="17" xfId="0" applyBorder="1"/>
    <xf numFmtId="0" fontId="0" fillId="0" borderId="0" xfId="0" applyAlignment="1">
      <alignment vertical="center"/>
    </xf>
    <xf numFmtId="0" fontId="1" fillId="10" borderId="31" xfId="0" applyFont="1" applyFill="1" applyBorder="1" applyAlignment="1">
      <alignment horizontal="center" vertical="center"/>
    </xf>
    <xf numFmtId="0" fontId="1" fillId="9" borderId="28" xfId="0" applyFont="1" applyFill="1" applyBorder="1" applyAlignment="1">
      <alignment horizontal="center" vertical="center"/>
    </xf>
    <xf numFmtId="0" fontId="1" fillId="9" borderId="32" xfId="0" applyFont="1" applyFill="1" applyBorder="1"/>
    <xf numFmtId="0" fontId="1" fillId="9" borderId="28" xfId="0" applyFont="1" applyFill="1" applyBorder="1" applyAlignment="1">
      <alignment horizontal="center"/>
    </xf>
    <xf numFmtId="0" fontId="1" fillId="9" borderId="32" xfId="0" applyFont="1" applyFill="1" applyBorder="1" applyAlignment="1">
      <alignment horizontal="center" vertical="center"/>
    </xf>
    <xf numFmtId="0" fontId="22" fillId="6" borderId="5" xfId="0" applyFont="1" applyFill="1" applyBorder="1" applyAlignment="1">
      <alignment horizontal="center" vertical="center"/>
    </xf>
    <xf numFmtId="0" fontId="22" fillId="6" borderId="6" xfId="0" applyFont="1" applyFill="1" applyBorder="1" applyAlignment="1">
      <alignment horizontal="center" vertical="center"/>
    </xf>
    <xf numFmtId="0" fontId="22" fillId="6" borderId="7" xfId="0" applyFont="1" applyFill="1" applyBorder="1" applyAlignment="1">
      <alignment horizontal="center" vertical="center"/>
    </xf>
    <xf numFmtId="0" fontId="22" fillId="6" borderId="10" xfId="0" applyFont="1" applyFill="1" applyBorder="1" applyAlignment="1">
      <alignment horizontal="center" vertical="center"/>
    </xf>
    <xf numFmtId="0" fontId="22" fillId="6" borderId="11" xfId="0" applyFont="1" applyFill="1" applyBorder="1" applyAlignment="1">
      <alignment horizontal="center" vertical="center"/>
    </xf>
    <xf numFmtId="0" fontId="22" fillId="6" borderId="1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/>
    </xf>
    <xf numFmtId="0" fontId="28" fillId="10" borderId="22" xfId="0" applyFont="1" applyFill="1" applyBorder="1" applyAlignment="1">
      <alignment horizontal="center" vertical="center"/>
    </xf>
    <xf numFmtId="0" fontId="28" fillId="9" borderId="22" xfId="0" applyFont="1" applyFill="1" applyBorder="1" applyAlignment="1">
      <alignment horizontal="center" vertical="center"/>
    </xf>
    <xf numFmtId="0" fontId="29" fillId="7" borderId="22" xfId="0" applyFont="1" applyFill="1" applyBorder="1" applyAlignment="1">
      <alignment horizontal="center" vertical="center"/>
    </xf>
    <xf numFmtId="0" fontId="29" fillId="7" borderId="4" xfId="0" applyFont="1" applyFill="1" applyBorder="1" applyAlignment="1">
      <alignment horizontal="center" vertical="center"/>
    </xf>
    <xf numFmtId="0" fontId="0" fillId="13" borderId="14" xfId="0" applyFont="1" applyFill="1" applyBorder="1" applyAlignment="1">
      <alignment horizontal="center"/>
    </xf>
    <xf numFmtId="0" fontId="0" fillId="13" borderId="2" xfId="0" applyFont="1" applyFill="1" applyBorder="1" applyAlignment="1">
      <alignment horizontal="center"/>
    </xf>
    <xf numFmtId="0" fontId="0" fillId="13" borderId="15" xfId="0" applyFont="1" applyFill="1" applyBorder="1" applyAlignment="1">
      <alignment horizontal="center"/>
    </xf>
    <xf numFmtId="0" fontId="25" fillId="6" borderId="3" xfId="0" applyFont="1" applyFill="1" applyBorder="1" applyAlignment="1">
      <alignment horizontal="center" vertical="center"/>
    </xf>
    <xf numFmtId="0" fontId="25" fillId="6" borderId="13" xfId="0" applyFont="1" applyFill="1" applyBorder="1" applyAlignment="1">
      <alignment horizontal="center" vertical="center"/>
    </xf>
    <xf numFmtId="0" fontId="25" fillId="6" borderId="4" xfId="0" applyFont="1" applyFill="1" applyBorder="1" applyAlignment="1">
      <alignment horizontal="center" vertical="center"/>
    </xf>
    <xf numFmtId="0" fontId="1" fillId="0" borderId="33" xfId="0" applyFont="1" applyBorder="1" applyAlignment="1">
      <alignment horizontal="center"/>
    </xf>
    <xf numFmtId="0" fontId="1" fillId="9" borderId="33" xfId="0" applyFont="1" applyFill="1" applyBorder="1" applyAlignment="1">
      <alignment horizontal="center" vertical="center"/>
    </xf>
    <xf numFmtId="0" fontId="24" fillId="9" borderId="32" xfId="0" applyFont="1" applyFill="1" applyBorder="1" applyAlignment="1">
      <alignment horizontal="center" vertical="center"/>
    </xf>
    <xf numFmtId="0" fontId="24" fillId="9" borderId="22" xfId="0" applyFont="1" applyFill="1" applyBorder="1" applyAlignment="1">
      <alignment horizontal="center" vertical="center"/>
    </xf>
    <xf numFmtId="0" fontId="24" fillId="0" borderId="30" xfId="0" applyFont="1" applyBorder="1" applyAlignment="1">
      <alignment horizontal="center" vertical="center"/>
    </xf>
    <xf numFmtId="0" fontId="24" fillId="9" borderId="32" xfId="0" applyFont="1" applyFill="1" applyBorder="1" applyAlignment="1">
      <alignment vertical="center"/>
    </xf>
    <xf numFmtId="0" fontId="30" fillId="0" borderId="11" xfId="0" applyFont="1" applyBorder="1" applyAlignment="1">
      <alignment vertical="center"/>
    </xf>
    <xf numFmtId="0" fontId="24" fillId="0" borderId="22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409575</xdr:colOff>
      <xdr:row>7</xdr:row>
      <xdr:rowOff>76200</xdr:rowOff>
    </xdr:from>
    <xdr:to>
      <xdr:col>16</xdr:col>
      <xdr:colOff>448531</xdr:colOff>
      <xdr:row>17</xdr:row>
      <xdr:rowOff>57442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81625" y="1419225"/>
          <a:ext cx="6134956" cy="2010067"/>
        </a:xfrm>
        <a:prstGeom prst="rect">
          <a:avLst/>
        </a:prstGeom>
      </xdr:spPr>
    </xdr:pic>
    <xdr:clientData/>
  </xdr:twoCellAnchor>
  <xdr:twoCellAnchor editAs="oneCell">
    <xdr:from>
      <xdr:col>8</xdr:col>
      <xdr:colOff>857250</xdr:colOff>
      <xdr:row>1</xdr:row>
      <xdr:rowOff>76200</xdr:rowOff>
    </xdr:from>
    <xdr:to>
      <xdr:col>10</xdr:col>
      <xdr:colOff>114300</xdr:colOff>
      <xdr:row>6</xdr:row>
      <xdr:rowOff>104774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29300" y="190500"/>
          <a:ext cx="1695450" cy="10667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409575</xdr:colOff>
      <xdr:row>3</xdr:row>
      <xdr:rowOff>114300</xdr:rowOff>
    </xdr:from>
    <xdr:to>
      <xdr:col>17</xdr:col>
      <xdr:colOff>38939</xdr:colOff>
      <xdr:row>13</xdr:row>
      <xdr:rowOff>162204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81625" y="561975"/>
          <a:ext cx="6011114" cy="20005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57150</xdr:colOff>
      <xdr:row>0</xdr:row>
      <xdr:rowOff>0</xdr:rowOff>
    </xdr:from>
    <xdr:to>
      <xdr:col>12</xdr:col>
      <xdr:colOff>0</xdr:colOff>
      <xdr:row>12</xdr:row>
      <xdr:rowOff>95250</xdr:rowOff>
    </xdr:to>
    <xdr:pic>
      <xdr:nvPicPr>
        <xdr:cNvPr id="2" name="Picture 1" descr="2d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72225" y="0"/>
          <a:ext cx="2381250" cy="23812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676275</xdr:colOff>
      <xdr:row>8</xdr:row>
      <xdr:rowOff>152400</xdr:rowOff>
    </xdr:from>
    <xdr:to>
      <xdr:col>17</xdr:col>
      <xdr:colOff>796</xdr:colOff>
      <xdr:row>17</xdr:row>
      <xdr:rowOff>85960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48325" y="1514475"/>
          <a:ext cx="5706271" cy="1733785"/>
        </a:xfrm>
        <a:prstGeom prst="rect">
          <a:avLst/>
        </a:prstGeom>
      </xdr:spPr>
    </xdr:pic>
    <xdr:clientData/>
  </xdr:twoCellAnchor>
  <xdr:twoCellAnchor editAs="oneCell">
    <xdr:from>
      <xdr:col>10</xdr:col>
      <xdr:colOff>409575</xdr:colOff>
      <xdr:row>1</xdr:row>
      <xdr:rowOff>57150</xdr:rowOff>
    </xdr:from>
    <xdr:to>
      <xdr:col>13</xdr:col>
      <xdr:colOff>190500</xdr:colOff>
      <xdr:row>8</xdr:row>
      <xdr:rowOff>3475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96175" y="171450"/>
          <a:ext cx="1609725" cy="11941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676275</xdr:colOff>
      <xdr:row>8</xdr:row>
      <xdr:rowOff>152400</xdr:rowOff>
    </xdr:from>
    <xdr:to>
      <xdr:col>17</xdr:col>
      <xdr:colOff>796</xdr:colOff>
      <xdr:row>17</xdr:row>
      <xdr:rowOff>85960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008E6B-234B-47D2-8A35-4435815B8E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48325" y="1514475"/>
          <a:ext cx="5706271" cy="1733785"/>
        </a:xfrm>
        <a:prstGeom prst="rect">
          <a:avLst/>
        </a:prstGeom>
      </xdr:spPr>
    </xdr:pic>
    <xdr:clientData/>
  </xdr:twoCellAnchor>
  <xdr:twoCellAnchor editAs="oneCell">
    <xdr:from>
      <xdr:col>10</xdr:col>
      <xdr:colOff>409575</xdr:colOff>
      <xdr:row>1</xdr:row>
      <xdr:rowOff>57150</xdr:rowOff>
    </xdr:from>
    <xdr:to>
      <xdr:col>13</xdr:col>
      <xdr:colOff>190500</xdr:colOff>
      <xdr:row>8</xdr:row>
      <xdr:rowOff>3475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D3FB167-64F9-40D4-8D13-AB1950AAED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96175" y="171450"/>
          <a:ext cx="1609725" cy="11941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704850</xdr:colOff>
      <xdr:row>7</xdr:row>
      <xdr:rowOff>47625</xdr:rowOff>
    </xdr:from>
    <xdr:to>
      <xdr:col>17</xdr:col>
      <xdr:colOff>153214</xdr:colOff>
      <xdr:row>17</xdr:row>
      <xdr:rowOff>57428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76900" y="1181100"/>
          <a:ext cx="5830114" cy="2038628"/>
        </a:xfrm>
        <a:prstGeom prst="rect">
          <a:avLst/>
        </a:prstGeom>
      </xdr:spPr>
    </xdr:pic>
    <xdr:clientData/>
  </xdr:twoCellAnchor>
  <xdr:twoCellAnchor editAs="oneCell">
    <xdr:from>
      <xdr:col>11</xdr:col>
      <xdr:colOff>180975</xdr:colOff>
      <xdr:row>1</xdr:row>
      <xdr:rowOff>38100</xdr:rowOff>
    </xdr:from>
    <xdr:to>
      <xdr:col>13</xdr:col>
      <xdr:colOff>66675</xdr:colOff>
      <xdr:row>7</xdr:row>
      <xdr:rowOff>61679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77175" y="152400"/>
          <a:ext cx="1104900" cy="104275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76199</xdr:colOff>
      <xdr:row>0</xdr:row>
      <xdr:rowOff>85724</xdr:rowOff>
    </xdr:from>
    <xdr:to>
      <xdr:col>11</xdr:col>
      <xdr:colOff>504825</xdr:colOff>
      <xdr:row>15</xdr:row>
      <xdr:rowOff>95250</xdr:rowOff>
    </xdr:to>
    <xdr:pic>
      <xdr:nvPicPr>
        <xdr:cNvPr id="2" name="Picture 1" descr="2d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81674" y="85724"/>
          <a:ext cx="2867026" cy="286702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557006</xdr:colOff>
      <xdr:row>3</xdr:row>
      <xdr:rowOff>7993</xdr:rowOff>
    </xdr:from>
    <xdr:to>
      <xdr:col>17</xdr:col>
      <xdr:colOff>226730</xdr:colOff>
      <xdr:row>15</xdr:row>
      <xdr:rowOff>58751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69B25EE-95F9-4B1A-84E4-C24B747D31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0800000">
          <a:off x="8233035" y="456228"/>
          <a:ext cx="3300430" cy="2381582"/>
        </a:xfrm>
        <a:prstGeom prst="rect">
          <a:avLst/>
        </a:prstGeom>
      </xdr:spPr>
    </xdr:pic>
    <xdr:clientData/>
  </xdr:twoCellAnchor>
  <xdr:twoCellAnchor editAs="oneCell">
    <xdr:from>
      <xdr:col>8</xdr:col>
      <xdr:colOff>616323</xdr:colOff>
      <xdr:row>1</xdr:row>
      <xdr:rowOff>44824</xdr:rowOff>
    </xdr:from>
    <xdr:to>
      <xdr:col>12</xdr:col>
      <xdr:colOff>100852</xdr:colOff>
      <xdr:row>17</xdr:row>
      <xdr:rowOff>44824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BA5CD18-8AC0-46AA-A015-ABC27A537C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80529" y="156883"/>
          <a:ext cx="2801470" cy="3048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638175</xdr:colOff>
      <xdr:row>5</xdr:row>
      <xdr:rowOff>57150</xdr:rowOff>
    </xdr:from>
    <xdr:to>
      <xdr:col>12</xdr:col>
      <xdr:colOff>590550</xdr:colOff>
      <xdr:row>22</xdr:row>
      <xdr:rowOff>38100</xdr:rowOff>
    </xdr:to>
    <xdr:pic>
      <xdr:nvPicPr>
        <xdr:cNvPr id="6" name="Picture 5" descr="2-Amino-3-methylbenzoic Acid 4389-45-1 | TCI Chemicals (India) Pvt. Ltd.">
          <a:extLst>
            <a:ext uri="{FF2B5EF4-FFF2-40B4-BE49-F238E27FC236}">
              <a16:creationId xmlns:a16="http://schemas.microsoft.com/office/drawing/2014/main" id="{A5096355-D086-4133-9C61-B573CE0217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0225" y="904875"/>
          <a:ext cx="3286125" cy="3286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hyperlink" Target="https://www.chemeo.com/cid/40-386-9/2-Amino-3-methylbenzoic%20aci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webbook.nist.gov/cgi/cbook.cgi?Str3File=C100549" TargetMode="External"/><Relationship Id="rId3" Type="http://schemas.openxmlformats.org/officeDocument/2006/relationships/hyperlink" Target="http://webbook.nist.gov/cgi/cbook.cgi?ID=C100549&amp;Mask=4" TargetMode="External"/><Relationship Id="rId7" Type="http://schemas.openxmlformats.org/officeDocument/2006/relationships/hyperlink" Target="http://webbook.nist.gov/cgi/cbook.cgi?ID=C100549&amp;Mask=1" TargetMode="External"/><Relationship Id="rId2" Type="http://schemas.openxmlformats.org/officeDocument/2006/relationships/hyperlink" Target="http://webbook.nist.gov/cgi/cbook.cgi?ID=C100549&amp;Mask=2" TargetMode="External"/><Relationship Id="rId1" Type="http://schemas.openxmlformats.org/officeDocument/2006/relationships/hyperlink" Target="http://pubs.acs.org/doi/abs/10.1021/ci990307l" TargetMode="External"/><Relationship Id="rId6" Type="http://schemas.openxmlformats.org/officeDocument/2006/relationships/hyperlink" Target="http://webbook.nist.gov/cgi/cbook.cgi?Str2File=C100549" TargetMode="External"/><Relationship Id="rId11" Type="http://schemas.openxmlformats.org/officeDocument/2006/relationships/drawing" Target="../drawings/drawing7.xml"/><Relationship Id="rId5" Type="http://schemas.openxmlformats.org/officeDocument/2006/relationships/hyperlink" Target="http://webbook.nist.gov/cgi/cbook.cgi?ID=C100549&amp;Mask=20" TargetMode="External"/><Relationship Id="rId10" Type="http://schemas.openxmlformats.org/officeDocument/2006/relationships/hyperlink" Target="https://www.chemeo.com/" TargetMode="External"/><Relationship Id="rId4" Type="http://schemas.openxmlformats.org/officeDocument/2006/relationships/hyperlink" Target="http://webbook.nist.gov/cgi/cbook.cgi?ID=C100549&amp;Mask=2000" TargetMode="External"/><Relationship Id="rId9" Type="http://schemas.openxmlformats.org/officeDocument/2006/relationships/hyperlink" Target="https://old.chemeo.com/cid/21-891-9/3-Pyridinecarbonitri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627A8-2746-4ED5-A196-E90AA136B376}">
  <dimension ref="A1:L309"/>
  <sheetViews>
    <sheetView showGridLines="0" topLeftCell="A16" zoomScale="80" zoomScaleNormal="80" workbookViewId="0">
      <selection activeCell="E34" sqref="E34"/>
    </sheetView>
  </sheetViews>
  <sheetFormatPr defaultRowHeight="15" x14ac:dyDescent="0.25"/>
  <cols>
    <col min="1" max="1" width="6.5703125" style="75" bestFit="1" customWidth="1"/>
    <col min="2" max="2" width="67.5703125" style="75" bestFit="1" customWidth="1"/>
    <col min="3" max="3" width="13.7109375" style="75" bestFit="1" customWidth="1"/>
    <col min="4" max="4" width="15.28515625" style="75" bestFit="1" customWidth="1"/>
    <col min="5" max="5" width="37.7109375" style="75" bestFit="1" customWidth="1"/>
    <col min="6" max="6" width="41.5703125" style="75" bestFit="1" customWidth="1"/>
    <col min="7" max="7" width="8" style="75" bestFit="1" customWidth="1"/>
    <col min="8" max="8" width="9" style="75" customWidth="1"/>
    <col min="9" max="9" width="40.140625" style="75" bestFit="1" customWidth="1"/>
    <col min="10" max="10" width="36" style="75" customWidth="1"/>
    <col min="11" max="11" width="18.7109375" style="75" bestFit="1" customWidth="1"/>
    <col min="12" max="12" width="17.140625" style="75" bestFit="1" customWidth="1"/>
    <col min="13" max="16384" width="9.140625" style="75"/>
  </cols>
  <sheetData>
    <row r="1" spans="2:12" ht="15.75" thickBot="1" x14ac:dyDescent="0.3"/>
    <row r="2" spans="2:12" ht="28.5" customHeight="1" x14ac:dyDescent="0.25">
      <c r="B2" s="125"/>
      <c r="C2" s="116"/>
      <c r="D2" s="116"/>
      <c r="E2" s="116"/>
      <c r="F2" s="116"/>
      <c r="G2" s="126"/>
      <c r="I2" s="174" t="s">
        <v>898</v>
      </c>
      <c r="J2" s="175"/>
      <c r="K2" s="175"/>
      <c r="L2" s="176"/>
    </row>
    <row r="3" spans="2:12" ht="15.75" thickBot="1" x14ac:dyDescent="0.3">
      <c r="B3" s="98"/>
      <c r="C3" s="117"/>
      <c r="D3" s="117"/>
      <c r="E3" s="117"/>
      <c r="F3" s="117"/>
      <c r="G3" s="76"/>
      <c r="I3" s="177"/>
      <c r="J3" s="178"/>
      <c r="K3" s="178"/>
      <c r="L3" s="179"/>
    </row>
    <row r="4" spans="2:12" ht="15.75" thickBot="1" x14ac:dyDescent="0.3">
      <c r="B4" s="98"/>
      <c r="C4" s="117"/>
      <c r="D4" s="117"/>
      <c r="E4" s="117"/>
      <c r="F4" s="117"/>
      <c r="G4" s="76"/>
      <c r="I4" s="92" t="s">
        <v>912</v>
      </c>
      <c r="J4" s="106"/>
      <c r="K4" s="106"/>
      <c r="L4" s="94"/>
    </row>
    <row r="5" spans="2:12" ht="19.5" thickBot="1" x14ac:dyDescent="0.3">
      <c r="B5" s="98"/>
      <c r="C5" s="110" t="s">
        <v>215</v>
      </c>
      <c r="D5" s="117"/>
      <c r="E5" s="109" t="s">
        <v>899</v>
      </c>
      <c r="F5" s="108" t="s">
        <v>900</v>
      </c>
      <c r="G5" s="127"/>
      <c r="I5" s="95"/>
      <c r="J5" s="80"/>
      <c r="K5" s="80"/>
      <c r="L5" s="97"/>
    </row>
    <row r="6" spans="2:12" ht="15.75" thickBot="1" x14ac:dyDescent="0.3">
      <c r="B6" s="98"/>
      <c r="C6" s="111" t="s">
        <v>216</v>
      </c>
      <c r="D6" s="117"/>
      <c r="E6" s="117"/>
      <c r="F6" s="117"/>
      <c r="G6" s="76"/>
      <c r="I6" s="95" t="s">
        <v>225</v>
      </c>
      <c r="J6" s="80" t="s">
        <v>226</v>
      </c>
      <c r="K6" s="80" t="s">
        <v>227</v>
      </c>
      <c r="L6" s="97" t="s">
        <v>748</v>
      </c>
    </row>
    <row r="7" spans="2:12" x14ac:dyDescent="0.25">
      <c r="B7" s="98"/>
      <c r="C7" s="117"/>
      <c r="D7" s="117"/>
      <c r="E7" s="117"/>
      <c r="F7" s="117"/>
      <c r="G7" s="76"/>
      <c r="I7" s="95" t="s">
        <v>228</v>
      </c>
      <c r="J7" s="80"/>
      <c r="K7" s="80"/>
      <c r="L7" s="97"/>
    </row>
    <row r="8" spans="2:12" ht="15.75" thickBot="1" x14ac:dyDescent="0.3">
      <c r="B8" s="98"/>
      <c r="C8" s="117"/>
      <c r="D8" s="117"/>
      <c r="E8" s="117"/>
      <c r="F8" s="117"/>
      <c r="G8" s="76"/>
      <c r="I8" s="95" t="s">
        <v>228</v>
      </c>
      <c r="J8" s="80" t="s">
        <v>229</v>
      </c>
      <c r="K8" s="80" t="s">
        <v>230</v>
      </c>
      <c r="L8" s="97">
        <v>0</v>
      </c>
    </row>
    <row r="9" spans="2:12" ht="15.75" customHeight="1" x14ac:dyDescent="0.25">
      <c r="B9" s="180" t="s">
        <v>217</v>
      </c>
      <c r="C9" s="182"/>
      <c r="D9" s="117"/>
      <c r="E9" s="180" t="s">
        <v>218</v>
      </c>
      <c r="F9" s="181"/>
      <c r="G9" s="182"/>
      <c r="I9" s="95" t="s">
        <v>231</v>
      </c>
      <c r="J9" s="80" t="s">
        <v>229</v>
      </c>
      <c r="K9" s="80" t="s">
        <v>749</v>
      </c>
      <c r="L9" s="97" t="s">
        <v>232</v>
      </c>
    </row>
    <row r="10" spans="2:12" ht="15.75" thickBot="1" x14ac:dyDescent="0.3">
      <c r="B10" s="183"/>
      <c r="C10" s="185"/>
      <c r="D10" s="117"/>
      <c r="E10" s="183"/>
      <c r="F10" s="184"/>
      <c r="G10" s="185"/>
      <c r="I10" s="95" t="s">
        <v>233</v>
      </c>
      <c r="J10" s="80" t="s">
        <v>229</v>
      </c>
      <c r="K10" s="80" t="s">
        <v>750</v>
      </c>
      <c r="L10" s="97" t="s">
        <v>234</v>
      </c>
    </row>
    <row r="11" spans="2:12" x14ac:dyDescent="0.25">
      <c r="B11" s="92" t="s">
        <v>219</v>
      </c>
      <c r="C11" s="91">
        <v>1</v>
      </c>
      <c r="D11" s="117">
        <v>168</v>
      </c>
      <c r="E11" s="92" t="s">
        <v>220</v>
      </c>
      <c r="F11" s="93">
        <f>MDNB!G42</f>
        <v>36.370000000000019</v>
      </c>
      <c r="G11" s="94" t="s">
        <v>221</v>
      </c>
      <c r="I11" s="95" t="s">
        <v>235</v>
      </c>
      <c r="J11" s="80" t="s">
        <v>229</v>
      </c>
      <c r="K11" s="80" t="s">
        <v>751</v>
      </c>
      <c r="L11" s="97" t="s">
        <v>236</v>
      </c>
    </row>
    <row r="12" spans="2:12" x14ac:dyDescent="0.25">
      <c r="B12" s="95" t="s">
        <v>219</v>
      </c>
      <c r="C12" s="77">
        <v>6</v>
      </c>
      <c r="D12" s="117">
        <v>12</v>
      </c>
      <c r="E12" s="95" t="s">
        <v>220</v>
      </c>
      <c r="F12" s="96">
        <f>L88</f>
        <v>0</v>
      </c>
      <c r="G12" s="97" t="s">
        <v>221</v>
      </c>
      <c r="I12" s="95" t="s">
        <v>237</v>
      </c>
      <c r="J12" s="80" t="s">
        <v>229</v>
      </c>
      <c r="K12" s="80" t="s">
        <v>752</v>
      </c>
      <c r="L12" s="97" t="s">
        <v>238</v>
      </c>
    </row>
    <row r="13" spans="2:12" x14ac:dyDescent="0.25">
      <c r="B13" s="98"/>
      <c r="C13" s="76"/>
      <c r="D13" s="117"/>
      <c r="E13" s="98"/>
      <c r="F13" s="117"/>
      <c r="G13" s="76"/>
      <c r="I13" s="95" t="s">
        <v>239</v>
      </c>
      <c r="J13" s="80"/>
      <c r="K13" s="80"/>
      <c r="L13" s="97"/>
    </row>
    <row r="14" spans="2:12" x14ac:dyDescent="0.25">
      <c r="B14" s="95" t="s">
        <v>222</v>
      </c>
      <c r="C14" s="77">
        <v>1</v>
      </c>
      <c r="D14" s="117">
        <v>108</v>
      </c>
      <c r="E14" s="95" t="s">
        <v>223</v>
      </c>
      <c r="F14" s="96">
        <f>MPDA!G42</f>
        <v>125.47</v>
      </c>
      <c r="G14" s="97" t="s">
        <v>221</v>
      </c>
      <c r="I14" s="95" t="s">
        <v>240</v>
      </c>
      <c r="J14" s="80" t="s">
        <v>229</v>
      </c>
      <c r="K14" s="80" t="s">
        <v>753</v>
      </c>
      <c r="L14" s="97" t="s">
        <v>241</v>
      </c>
    </row>
    <row r="15" spans="2:12" ht="15.75" thickBot="1" x14ac:dyDescent="0.3">
      <c r="B15" s="99" t="s">
        <v>222</v>
      </c>
      <c r="C15" s="78">
        <v>4</v>
      </c>
      <c r="D15" s="117">
        <v>72</v>
      </c>
      <c r="E15" s="99" t="s">
        <v>223</v>
      </c>
      <c r="F15" s="100">
        <v>-285.8</v>
      </c>
      <c r="G15" s="101" t="s">
        <v>221</v>
      </c>
      <c r="I15" s="95" t="s">
        <v>242</v>
      </c>
      <c r="J15" s="80" t="s">
        <v>229</v>
      </c>
      <c r="K15" s="80" t="s">
        <v>754</v>
      </c>
      <c r="L15" s="97" t="s">
        <v>243</v>
      </c>
    </row>
    <row r="16" spans="2:12" ht="15.75" thickBot="1" x14ac:dyDescent="0.3">
      <c r="B16" s="98"/>
      <c r="C16" s="117"/>
      <c r="D16" s="117"/>
      <c r="E16" s="117"/>
      <c r="F16" s="117"/>
      <c r="G16" s="76"/>
      <c r="I16" s="95" t="s">
        <v>244</v>
      </c>
      <c r="J16" s="80" t="s">
        <v>229</v>
      </c>
      <c r="K16" s="80" t="s">
        <v>755</v>
      </c>
      <c r="L16" s="97" t="s">
        <v>245</v>
      </c>
    </row>
    <row r="17" spans="1:12" ht="17.25" thickBot="1" x14ac:dyDescent="0.3">
      <c r="B17" s="104" t="s">
        <v>224</v>
      </c>
      <c r="C17" s="79"/>
      <c r="D17" s="79"/>
      <c r="E17" s="105"/>
      <c r="F17" s="117"/>
      <c r="G17" s="76"/>
      <c r="I17" s="95" t="s">
        <v>246</v>
      </c>
      <c r="J17" s="80" t="s">
        <v>229</v>
      </c>
      <c r="K17" s="80" t="s">
        <v>247</v>
      </c>
      <c r="L17" s="97" t="s">
        <v>248</v>
      </c>
    </row>
    <row r="18" spans="1:12" x14ac:dyDescent="0.25">
      <c r="B18" s="98"/>
      <c r="C18" s="117"/>
      <c r="D18" s="117"/>
      <c r="E18" s="117"/>
      <c r="F18" s="117"/>
      <c r="G18" s="76"/>
      <c r="I18" s="95" t="s">
        <v>249</v>
      </c>
      <c r="J18" s="80" t="s">
        <v>229</v>
      </c>
      <c r="K18" s="80" t="s">
        <v>756</v>
      </c>
      <c r="L18" s="97" t="s">
        <v>250</v>
      </c>
    </row>
    <row r="19" spans="1:12" ht="15.75" thickBot="1" x14ac:dyDescent="0.3">
      <c r="B19" s="98"/>
      <c r="C19" s="117"/>
      <c r="D19" s="117"/>
      <c r="E19" s="117"/>
      <c r="F19" s="117"/>
      <c r="G19" s="76"/>
      <c r="I19" s="95" t="s">
        <v>251</v>
      </c>
      <c r="J19" s="80"/>
      <c r="K19" s="80"/>
      <c r="L19" s="97"/>
    </row>
    <row r="20" spans="1:12" ht="24" thickBot="1" x14ac:dyDescent="0.4">
      <c r="B20" s="113" t="s">
        <v>901</v>
      </c>
      <c r="C20" s="114">
        <f>(C14*F14)+(C15*F15)-(C11*F11)-(C12*F12)</f>
        <v>-1054.1000000000001</v>
      </c>
      <c r="D20" s="114" t="s">
        <v>221</v>
      </c>
      <c r="E20" s="117"/>
      <c r="F20" s="117"/>
      <c r="G20" s="76"/>
      <c r="I20" s="95" t="s">
        <v>251</v>
      </c>
      <c r="J20" s="80" t="s">
        <v>229</v>
      </c>
      <c r="K20" s="80" t="s">
        <v>252</v>
      </c>
      <c r="L20" s="97">
        <v>0</v>
      </c>
    </row>
    <row r="21" spans="1:12" ht="15.75" customHeight="1" thickBot="1" x14ac:dyDescent="0.3">
      <c r="B21" s="98"/>
      <c r="C21" s="117"/>
      <c r="D21" s="117"/>
      <c r="E21" s="117"/>
      <c r="F21" s="117"/>
      <c r="G21" s="76"/>
      <c r="I21" s="95" t="s">
        <v>253</v>
      </c>
      <c r="J21" s="80" t="s">
        <v>229</v>
      </c>
      <c r="K21" s="80" t="s">
        <v>757</v>
      </c>
      <c r="L21" s="97" t="s">
        <v>254</v>
      </c>
    </row>
    <row r="22" spans="1:12" ht="15.75" customHeight="1" x14ac:dyDescent="0.25">
      <c r="B22" s="186" t="s">
        <v>902</v>
      </c>
      <c r="C22" s="187"/>
      <c r="D22" s="188"/>
      <c r="E22" s="117"/>
      <c r="F22" s="117"/>
      <c r="G22" s="76"/>
      <c r="I22" s="95" t="s">
        <v>255</v>
      </c>
      <c r="J22" s="80" t="s">
        <v>229</v>
      </c>
      <c r="K22" s="80" t="s">
        <v>256</v>
      </c>
      <c r="L22" s="97" t="s">
        <v>257</v>
      </c>
    </row>
    <row r="23" spans="1:12" ht="15.75" customHeight="1" thickBot="1" x14ac:dyDescent="0.3">
      <c r="A23" s="117"/>
      <c r="B23" s="189"/>
      <c r="C23" s="190"/>
      <c r="D23" s="191"/>
      <c r="E23" s="117"/>
      <c r="F23" s="117"/>
      <c r="G23" s="76"/>
      <c r="I23" s="95" t="s">
        <v>258</v>
      </c>
      <c r="J23" s="80"/>
      <c r="K23" s="80"/>
      <c r="L23" s="97"/>
    </row>
    <row r="24" spans="1:12" x14ac:dyDescent="0.25">
      <c r="A24" s="117"/>
      <c r="B24" s="131" t="s">
        <v>903</v>
      </c>
      <c r="C24" s="133">
        <v>168</v>
      </c>
      <c r="D24" s="115" t="s">
        <v>908</v>
      </c>
      <c r="E24" s="117"/>
      <c r="F24" s="117"/>
      <c r="G24" s="76"/>
      <c r="I24" s="95" t="s">
        <v>259</v>
      </c>
      <c r="J24" s="80" t="s">
        <v>229</v>
      </c>
      <c r="K24" s="80" t="s">
        <v>758</v>
      </c>
      <c r="L24" s="97" t="s">
        <v>260</v>
      </c>
    </row>
    <row r="25" spans="1:12" x14ac:dyDescent="0.25">
      <c r="A25" s="117"/>
      <c r="B25" s="132" t="s">
        <v>904</v>
      </c>
      <c r="C25" s="134">
        <v>5300</v>
      </c>
      <c r="D25" s="124" t="s">
        <v>907</v>
      </c>
      <c r="E25" s="117"/>
      <c r="F25" s="117"/>
      <c r="G25" s="76"/>
      <c r="I25" s="95" t="s">
        <v>261</v>
      </c>
      <c r="J25" s="80"/>
      <c r="K25" s="80"/>
      <c r="L25" s="97"/>
    </row>
    <row r="26" spans="1:12" x14ac:dyDescent="0.25">
      <c r="A26" s="117"/>
      <c r="B26" s="132" t="s">
        <v>905</v>
      </c>
      <c r="C26" s="102">
        <f>C25/C24</f>
        <v>31.547619047619047</v>
      </c>
      <c r="D26" s="130" t="s">
        <v>906</v>
      </c>
      <c r="E26" s="117"/>
      <c r="F26" s="117"/>
      <c r="G26" s="76"/>
      <c r="I26" s="95" t="s">
        <v>261</v>
      </c>
      <c r="J26" s="80" t="s">
        <v>262</v>
      </c>
      <c r="K26" s="80" t="s">
        <v>759</v>
      </c>
      <c r="L26" s="97">
        <v>0</v>
      </c>
    </row>
    <row r="27" spans="1:12" x14ac:dyDescent="0.25">
      <c r="A27" s="117"/>
      <c r="B27" s="132"/>
      <c r="C27" s="102">
        <f>C26*C20</f>
        <v>-33254.345238095244</v>
      </c>
      <c r="D27" s="130" t="s">
        <v>917</v>
      </c>
      <c r="E27" s="117"/>
      <c r="F27" s="117"/>
      <c r="G27" s="76"/>
      <c r="I27" s="95" t="s">
        <v>263</v>
      </c>
      <c r="J27" s="80" t="s">
        <v>264</v>
      </c>
      <c r="K27" s="80" t="s">
        <v>760</v>
      </c>
      <c r="L27" s="97" t="s">
        <v>265</v>
      </c>
    </row>
    <row r="28" spans="1:12" x14ac:dyDescent="0.25">
      <c r="A28" s="117"/>
      <c r="B28" s="132"/>
      <c r="C28" s="102">
        <f>C27/4.184</f>
        <v>-7947.9792634070845</v>
      </c>
      <c r="D28" s="130" t="s">
        <v>909</v>
      </c>
      <c r="E28" s="117"/>
      <c r="F28" s="117"/>
      <c r="G28" s="76"/>
      <c r="I28" s="95" t="s">
        <v>261</v>
      </c>
      <c r="J28" s="80" t="s">
        <v>266</v>
      </c>
      <c r="K28" s="80" t="s">
        <v>267</v>
      </c>
      <c r="L28" s="97">
        <v>111.884</v>
      </c>
    </row>
    <row r="29" spans="1:12" ht="15.75" thickBot="1" x14ac:dyDescent="0.3">
      <c r="A29" s="117"/>
      <c r="B29" s="135"/>
      <c r="C29" s="136">
        <f>C27*4.184</f>
        <v>-139136.18047619049</v>
      </c>
      <c r="D29" s="103" t="s">
        <v>913</v>
      </c>
      <c r="E29" s="117"/>
      <c r="F29" s="117"/>
      <c r="G29" s="76"/>
      <c r="I29" s="95" t="s">
        <v>261</v>
      </c>
      <c r="J29" s="80" t="s">
        <v>266</v>
      </c>
      <c r="K29" s="80" t="s">
        <v>759</v>
      </c>
      <c r="L29" s="97">
        <v>30.91</v>
      </c>
    </row>
    <row r="30" spans="1:12" ht="15.75" thickBot="1" x14ac:dyDescent="0.3">
      <c r="B30" s="214" t="s">
        <v>915</v>
      </c>
      <c r="C30" s="136">
        <f>C27*1000</f>
        <v>-33254345.238095243</v>
      </c>
      <c r="D30" s="103" t="s">
        <v>928</v>
      </c>
      <c r="E30" s="117"/>
      <c r="F30" s="117"/>
      <c r="G30" s="76"/>
      <c r="I30" s="95" t="s">
        <v>268</v>
      </c>
      <c r="J30" s="80" t="s">
        <v>266</v>
      </c>
      <c r="K30" s="80" t="s">
        <v>761</v>
      </c>
      <c r="L30" s="97" t="s">
        <v>269</v>
      </c>
    </row>
    <row r="31" spans="1:12" ht="15.75" thickBot="1" x14ac:dyDescent="0.3">
      <c r="B31" s="128"/>
      <c r="C31" s="121"/>
      <c r="D31" s="121"/>
      <c r="E31" s="121"/>
      <c r="F31" s="121"/>
      <c r="G31" s="129"/>
      <c r="I31" s="95" t="s">
        <v>270</v>
      </c>
      <c r="J31" s="80" t="s">
        <v>266</v>
      </c>
      <c r="K31" s="80" t="s">
        <v>271</v>
      </c>
      <c r="L31" s="97" t="s">
        <v>272</v>
      </c>
    </row>
    <row r="32" spans="1:12" x14ac:dyDescent="0.25">
      <c r="I32" s="95" t="s">
        <v>273</v>
      </c>
      <c r="J32" s="80"/>
      <c r="K32" s="80"/>
      <c r="L32" s="97"/>
    </row>
    <row r="33" spans="2:12" ht="15" customHeight="1" thickBot="1" x14ac:dyDescent="0.3">
      <c r="E33" s="122"/>
      <c r="F33" s="122"/>
      <c r="I33" s="95" t="s">
        <v>273</v>
      </c>
      <c r="J33" s="80" t="s">
        <v>229</v>
      </c>
      <c r="K33" s="80" t="s">
        <v>274</v>
      </c>
      <c r="L33" s="97">
        <v>0</v>
      </c>
    </row>
    <row r="34" spans="2:12" ht="15.75" customHeight="1" thickBot="1" x14ac:dyDescent="0.3">
      <c r="B34" s="205"/>
      <c r="C34" s="206"/>
      <c r="D34" s="206"/>
      <c r="E34" s="207"/>
      <c r="F34" s="122"/>
      <c r="I34" s="95" t="s">
        <v>275</v>
      </c>
      <c r="J34" s="80" t="s">
        <v>229</v>
      </c>
      <c r="K34" s="80" t="s">
        <v>276</v>
      </c>
      <c r="L34" s="97" t="s">
        <v>277</v>
      </c>
    </row>
    <row r="35" spans="2:12" ht="15.75" thickBot="1" x14ac:dyDescent="0.3">
      <c r="B35" s="208"/>
      <c r="C35" s="209" t="s">
        <v>927</v>
      </c>
      <c r="D35" s="210"/>
      <c r="E35" s="211"/>
      <c r="F35" s="122"/>
      <c r="I35" s="95" t="s">
        <v>278</v>
      </c>
      <c r="J35" s="80" t="s">
        <v>229</v>
      </c>
      <c r="K35" s="80" t="s">
        <v>762</v>
      </c>
      <c r="L35" s="97" t="s">
        <v>279</v>
      </c>
    </row>
    <row r="36" spans="2:12" x14ac:dyDescent="0.25">
      <c r="B36" s="208"/>
      <c r="C36" s="24"/>
      <c r="D36" s="24"/>
      <c r="E36" s="47"/>
      <c r="F36" s="122"/>
      <c r="I36" s="95" t="s">
        <v>280</v>
      </c>
      <c r="J36" s="80" t="s">
        <v>229</v>
      </c>
      <c r="K36" s="80" t="s">
        <v>281</v>
      </c>
      <c r="L36" s="97" t="s">
        <v>282</v>
      </c>
    </row>
    <row r="37" spans="2:12" x14ac:dyDescent="0.25">
      <c r="B37" s="208"/>
      <c r="C37" s="24"/>
      <c r="D37" s="24"/>
      <c r="E37" s="47"/>
      <c r="F37" s="122"/>
      <c r="I37" s="95" t="s">
        <v>283</v>
      </c>
      <c r="J37" s="80" t="s">
        <v>229</v>
      </c>
      <c r="K37" s="80" t="s">
        <v>763</v>
      </c>
      <c r="L37" s="97" t="s">
        <v>284</v>
      </c>
    </row>
    <row r="38" spans="2:12" x14ac:dyDescent="0.25">
      <c r="B38" s="208"/>
      <c r="C38" s="216"/>
      <c r="D38" s="216"/>
      <c r="E38" s="212"/>
      <c r="F38" s="123"/>
      <c r="I38" s="95" t="s">
        <v>285</v>
      </c>
      <c r="J38" s="80"/>
      <c r="K38" s="80"/>
      <c r="L38" s="97"/>
    </row>
    <row r="39" spans="2:12" x14ac:dyDescent="0.25">
      <c r="B39" s="208" t="s">
        <v>937</v>
      </c>
      <c r="C39" s="216">
        <v>33254345.239999998</v>
      </c>
      <c r="D39" s="216" t="s">
        <v>919</v>
      </c>
      <c r="E39" s="212"/>
      <c r="F39" s="173"/>
      <c r="I39" s="95" t="s">
        <v>285</v>
      </c>
      <c r="J39" s="80" t="s">
        <v>229</v>
      </c>
      <c r="K39" s="80" t="s">
        <v>286</v>
      </c>
      <c r="L39" s="97">
        <v>0</v>
      </c>
    </row>
    <row r="40" spans="2:12" x14ac:dyDescent="0.25">
      <c r="B40" s="208"/>
      <c r="C40" s="216"/>
      <c r="D40" s="216"/>
      <c r="E40" s="212"/>
      <c r="F40" s="222"/>
      <c r="I40" s="95" t="s">
        <v>285</v>
      </c>
      <c r="J40" s="80" t="s">
        <v>266</v>
      </c>
      <c r="K40" s="80" t="s">
        <v>286</v>
      </c>
      <c r="L40" s="97">
        <v>76.5</v>
      </c>
    </row>
    <row r="41" spans="2:12" ht="15" customHeight="1" x14ac:dyDescent="0.25">
      <c r="B41" s="208" t="s">
        <v>920</v>
      </c>
      <c r="C41" s="216"/>
      <c r="D41" s="216"/>
      <c r="E41" s="212"/>
      <c r="F41" s="173"/>
      <c r="I41" s="95" t="s">
        <v>285</v>
      </c>
      <c r="J41" s="80" t="s">
        <v>262</v>
      </c>
      <c r="K41" s="80" t="s">
        <v>286</v>
      </c>
      <c r="L41" s="97">
        <v>2.09</v>
      </c>
    </row>
    <row r="42" spans="2:12" ht="15.75" customHeight="1" x14ac:dyDescent="0.25">
      <c r="B42" s="208" t="s">
        <v>921</v>
      </c>
      <c r="C42" s="216"/>
      <c r="D42" s="216"/>
      <c r="E42" s="212"/>
      <c r="F42" s="173"/>
      <c r="I42" s="95" t="s">
        <v>287</v>
      </c>
      <c r="J42" s="80" t="s">
        <v>266</v>
      </c>
      <c r="K42" s="80" t="s">
        <v>764</v>
      </c>
      <c r="L42" s="97">
        <v>457.964</v>
      </c>
    </row>
    <row r="43" spans="2:12" x14ac:dyDescent="0.25">
      <c r="B43" s="208"/>
      <c r="C43" s="216" t="s">
        <v>922</v>
      </c>
      <c r="D43" s="216">
        <v>4.1859999999999999</v>
      </c>
      <c r="E43" s="212" t="s">
        <v>923</v>
      </c>
      <c r="F43" s="173"/>
      <c r="I43" s="95" t="s">
        <v>288</v>
      </c>
      <c r="J43" s="80" t="s">
        <v>229</v>
      </c>
      <c r="K43" s="80" t="s">
        <v>289</v>
      </c>
      <c r="L43" s="97" t="s">
        <v>290</v>
      </c>
    </row>
    <row r="44" spans="2:12" x14ac:dyDescent="0.25">
      <c r="B44" s="208"/>
      <c r="C44" s="216" t="s">
        <v>924</v>
      </c>
      <c r="D44" s="216">
        <v>5</v>
      </c>
      <c r="E44" s="212" t="s">
        <v>101</v>
      </c>
      <c r="F44" s="173"/>
      <c r="I44" s="95" t="s">
        <v>291</v>
      </c>
      <c r="J44" s="80"/>
      <c r="K44" s="80"/>
      <c r="L44" s="97"/>
    </row>
    <row r="45" spans="2:12" x14ac:dyDescent="0.25">
      <c r="B45" s="208"/>
      <c r="C45" s="216"/>
      <c r="D45" s="216"/>
      <c r="E45" s="212"/>
      <c r="F45" s="173"/>
      <c r="I45" s="95" t="s">
        <v>291</v>
      </c>
      <c r="J45" s="80" t="s">
        <v>229</v>
      </c>
      <c r="K45" s="80" t="s">
        <v>292</v>
      </c>
      <c r="L45" s="97">
        <v>0</v>
      </c>
    </row>
    <row r="46" spans="2:12" x14ac:dyDescent="0.25">
      <c r="B46" s="208" t="s">
        <v>916</v>
      </c>
      <c r="C46" s="216">
        <f>C39/D43/D44</f>
        <v>1588836.370759675</v>
      </c>
      <c r="D46" s="216" t="s">
        <v>925</v>
      </c>
      <c r="E46" s="212"/>
      <c r="F46" s="173"/>
      <c r="I46" s="95" t="s">
        <v>291</v>
      </c>
      <c r="J46" s="80" t="s">
        <v>266</v>
      </c>
      <c r="K46" s="80" t="s">
        <v>292</v>
      </c>
      <c r="L46" s="97">
        <v>178.2</v>
      </c>
    </row>
    <row r="47" spans="2:12" x14ac:dyDescent="0.25">
      <c r="B47" s="208"/>
      <c r="C47" s="216">
        <f>C46/1000</f>
        <v>1588.836370759675</v>
      </c>
      <c r="D47" s="216" t="s">
        <v>926</v>
      </c>
      <c r="E47" s="212"/>
      <c r="F47" s="173"/>
      <c r="I47" s="95" t="s">
        <v>293</v>
      </c>
      <c r="J47" s="80" t="s">
        <v>266</v>
      </c>
      <c r="K47" s="80" t="s">
        <v>765</v>
      </c>
      <c r="L47" s="97">
        <v>1925.9</v>
      </c>
    </row>
    <row r="48" spans="2:12" x14ac:dyDescent="0.25">
      <c r="B48" s="208" t="s">
        <v>938</v>
      </c>
      <c r="C48" s="217">
        <f>C47*1.05</f>
        <v>1668.2781892976589</v>
      </c>
      <c r="D48" s="217" t="s">
        <v>926</v>
      </c>
      <c r="E48" s="212"/>
      <c r="F48" s="173"/>
      <c r="I48" s="95" t="s">
        <v>293</v>
      </c>
      <c r="J48" s="80" t="s">
        <v>264</v>
      </c>
      <c r="K48" s="80" t="s">
        <v>765</v>
      </c>
      <c r="L48" s="97" t="s">
        <v>294</v>
      </c>
    </row>
    <row r="49" spans="2:12" x14ac:dyDescent="0.25">
      <c r="B49" s="208"/>
      <c r="C49" s="216"/>
      <c r="D49" s="216"/>
      <c r="E49" s="212"/>
      <c r="F49" s="173"/>
      <c r="I49" s="95" t="s">
        <v>295</v>
      </c>
      <c r="J49" s="80" t="s">
        <v>229</v>
      </c>
      <c r="K49" s="80" t="s">
        <v>766</v>
      </c>
      <c r="L49" s="97" t="s">
        <v>296</v>
      </c>
    </row>
    <row r="50" spans="2:12" x14ac:dyDescent="0.25">
      <c r="B50" s="46"/>
      <c r="C50" s="24"/>
      <c r="D50" s="24"/>
      <c r="E50" s="47"/>
      <c r="F50" s="173"/>
      <c r="I50" s="95" t="s">
        <v>767</v>
      </c>
      <c r="J50" s="80" t="s">
        <v>229</v>
      </c>
      <c r="K50" s="80" t="s">
        <v>768</v>
      </c>
      <c r="L50" s="97" t="s">
        <v>297</v>
      </c>
    </row>
    <row r="51" spans="2:12" x14ac:dyDescent="0.25">
      <c r="B51" s="46"/>
      <c r="C51" s="27" t="s">
        <v>929</v>
      </c>
      <c r="D51" s="27">
        <v>15</v>
      </c>
      <c r="E51" s="218" t="s">
        <v>933</v>
      </c>
      <c r="F51" s="173"/>
      <c r="I51" s="95" t="s">
        <v>298</v>
      </c>
      <c r="J51" s="80" t="s">
        <v>229</v>
      </c>
      <c r="K51" s="80" t="s">
        <v>769</v>
      </c>
      <c r="L51" s="97" t="s">
        <v>299</v>
      </c>
    </row>
    <row r="52" spans="2:12" x14ac:dyDescent="0.25">
      <c r="B52" s="46"/>
      <c r="C52" s="27" t="s">
        <v>930</v>
      </c>
      <c r="D52" s="27">
        <v>380</v>
      </c>
      <c r="E52" s="218" t="s">
        <v>934</v>
      </c>
      <c r="F52" s="173"/>
      <c r="I52" s="95" t="s">
        <v>298</v>
      </c>
      <c r="J52" s="80" t="s">
        <v>264</v>
      </c>
      <c r="K52" s="80" t="s">
        <v>769</v>
      </c>
      <c r="L52" s="97" t="s">
        <v>300</v>
      </c>
    </row>
    <row r="53" spans="2:12" x14ac:dyDescent="0.25">
      <c r="B53" s="46"/>
      <c r="C53" s="27" t="s">
        <v>931</v>
      </c>
      <c r="D53" s="215">
        <f>D52/D51</f>
        <v>25.333333333333332</v>
      </c>
      <c r="E53" s="218" t="s">
        <v>935</v>
      </c>
      <c r="F53" s="173"/>
      <c r="I53" s="95" t="s">
        <v>301</v>
      </c>
      <c r="J53" s="80" t="s">
        <v>229</v>
      </c>
      <c r="K53" s="80" t="s">
        <v>770</v>
      </c>
      <c r="L53" s="97" t="s">
        <v>302</v>
      </c>
    </row>
    <row r="54" spans="2:12" ht="15.75" thickBot="1" x14ac:dyDescent="0.3">
      <c r="B54" s="49"/>
      <c r="C54" s="219" t="s">
        <v>932</v>
      </c>
      <c r="D54" s="220">
        <f>C48/D51</f>
        <v>111.21854595317726</v>
      </c>
      <c r="E54" s="221" t="s">
        <v>936</v>
      </c>
      <c r="F54" s="173"/>
      <c r="I54" s="95" t="s">
        <v>303</v>
      </c>
      <c r="J54" s="80" t="s">
        <v>229</v>
      </c>
      <c r="K54" s="80" t="s">
        <v>771</v>
      </c>
      <c r="L54" s="97" t="s">
        <v>304</v>
      </c>
    </row>
    <row r="55" spans="2:12" x14ac:dyDescent="0.25">
      <c r="B55" s="173"/>
      <c r="C55" s="173"/>
      <c r="D55" s="173"/>
      <c r="E55" s="173"/>
      <c r="F55" s="173"/>
      <c r="I55" s="95" t="s">
        <v>305</v>
      </c>
      <c r="J55" s="80" t="s">
        <v>229</v>
      </c>
      <c r="K55" s="80" t="s">
        <v>772</v>
      </c>
      <c r="L55" s="97" t="s">
        <v>306</v>
      </c>
    </row>
    <row r="56" spans="2:12" x14ac:dyDescent="0.25">
      <c r="I56" s="95" t="s">
        <v>307</v>
      </c>
      <c r="J56" s="80" t="s">
        <v>229</v>
      </c>
      <c r="K56" s="80" t="s">
        <v>773</v>
      </c>
      <c r="L56" s="97" t="s">
        <v>308</v>
      </c>
    </row>
    <row r="57" spans="2:12" x14ac:dyDescent="0.25">
      <c r="I57" s="95" t="s">
        <v>307</v>
      </c>
      <c r="J57" s="80" t="s">
        <v>264</v>
      </c>
      <c r="K57" s="80" t="s">
        <v>773</v>
      </c>
      <c r="L57" s="97" t="s">
        <v>309</v>
      </c>
    </row>
    <row r="58" spans="2:12" x14ac:dyDescent="0.25">
      <c r="I58" s="95" t="s">
        <v>310</v>
      </c>
      <c r="J58" s="80" t="s">
        <v>229</v>
      </c>
      <c r="K58" s="80" t="s">
        <v>311</v>
      </c>
      <c r="L58" s="97" t="s">
        <v>312</v>
      </c>
    </row>
    <row r="59" spans="2:12" x14ac:dyDescent="0.25">
      <c r="I59" s="95" t="s">
        <v>313</v>
      </c>
      <c r="J59" s="80" t="s">
        <v>229</v>
      </c>
      <c r="K59" s="80" t="s">
        <v>774</v>
      </c>
      <c r="L59" s="97" t="s">
        <v>314</v>
      </c>
    </row>
    <row r="60" spans="2:12" x14ac:dyDescent="0.25">
      <c r="I60" s="95" t="s">
        <v>315</v>
      </c>
      <c r="J60" s="80" t="s">
        <v>229</v>
      </c>
      <c r="K60" s="80" t="s">
        <v>316</v>
      </c>
      <c r="L60" s="97" t="s">
        <v>317</v>
      </c>
    </row>
    <row r="61" spans="2:12" x14ac:dyDescent="0.25">
      <c r="I61" s="95" t="s">
        <v>318</v>
      </c>
      <c r="J61" s="80" t="s">
        <v>229</v>
      </c>
      <c r="K61" s="80" t="s">
        <v>775</v>
      </c>
      <c r="L61" s="97" t="s">
        <v>319</v>
      </c>
    </row>
    <row r="62" spans="2:12" x14ac:dyDescent="0.25">
      <c r="I62" s="95" t="s">
        <v>320</v>
      </c>
      <c r="J62" s="80"/>
      <c r="K62" s="80"/>
      <c r="L62" s="97"/>
    </row>
    <row r="63" spans="2:12" x14ac:dyDescent="0.25">
      <c r="I63" s="95" t="s">
        <v>776</v>
      </c>
      <c r="J63" s="80" t="s">
        <v>229</v>
      </c>
      <c r="K63" s="80" t="s">
        <v>66</v>
      </c>
      <c r="L63" s="97">
        <v>0</v>
      </c>
    </row>
    <row r="64" spans="2:12" x14ac:dyDescent="0.25">
      <c r="I64" s="95" t="s">
        <v>777</v>
      </c>
      <c r="J64" s="80" t="s">
        <v>229</v>
      </c>
      <c r="K64" s="80" t="s">
        <v>66</v>
      </c>
      <c r="L64" s="97">
        <v>1.9</v>
      </c>
    </row>
    <row r="65" spans="9:12" x14ac:dyDescent="0.25">
      <c r="I65" s="95" t="s">
        <v>320</v>
      </c>
      <c r="J65" s="80" t="s">
        <v>266</v>
      </c>
      <c r="K65" s="80" t="s">
        <v>66</v>
      </c>
      <c r="L65" s="97">
        <v>716.67</v>
      </c>
    </row>
    <row r="66" spans="9:12" x14ac:dyDescent="0.25">
      <c r="I66" s="95" t="s">
        <v>321</v>
      </c>
      <c r="J66" s="80" t="s">
        <v>266</v>
      </c>
      <c r="K66" s="80" t="s">
        <v>778</v>
      </c>
      <c r="L66" s="97" t="s">
        <v>322</v>
      </c>
    </row>
    <row r="67" spans="9:12" x14ac:dyDescent="0.25">
      <c r="I67" s="95" t="s">
        <v>323</v>
      </c>
      <c r="J67" s="80" t="s">
        <v>262</v>
      </c>
      <c r="K67" s="80" t="s">
        <v>779</v>
      </c>
      <c r="L67" s="97">
        <v>89.41</v>
      </c>
    </row>
    <row r="68" spans="9:12" x14ac:dyDescent="0.25">
      <c r="I68" s="95" t="s">
        <v>323</v>
      </c>
      <c r="J68" s="80" t="s">
        <v>266</v>
      </c>
      <c r="K68" s="80" t="s">
        <v>779</v>
      </c>
      <c r="L68" s="97">
        <v>116.7</v>
      </c>
    </row>
    <row r="69" spans="9:12" x14ac:dyDescent="0.25">
      <c r="I69" s="95" t="s">
        <v>324</v>
      </c>
      <c r="J69" s="80" t="s">
        <v>266</v>
      </c>
      <c r="K69" s="80" t="s">
        <v>325</v>
      </c>
      <c r="L69" s="97" t="s">
        <v>326</v>
      </c>
    </row>
    <row r="70" spans="9:12" x14ac:dyDescent="0.25">
      <c r="I70" s="95" t="s">
        <v>780</v>
      </c>
      <c r="J70" s="80" t="s">
        <v>266</v>
      </c>
      <c r="K70" s="80" t="s">
        <v>781</v>
      </c>
      <c r="L70" s="97" t="s">
        <v>327</v>
      </c>
    </row>
    <row r="71" spans="9:12" x14ac:dyDescent="0.25">
      <c r="I71" s="95" t="s">
        <v>328</v>
      </c>
      <c r="J71" s="80" t="s">
        <v>264</v>
      </c>
      <c r="K71" s="80" t="s">
        <v>782</v>
      </c>
      <c r="L71" s="97" t="s">
        <v>329</v>
      </c>
    </row>
    <row r="72" spans="9:12" x14ac:dyDescent="0.25">
      <c r="I72" s="95" t="s">
        <v>330</v>
      </c>
      <c r="J72" s="80" t="s">
        <v>264</v>
      </c>
      <c r="K72" s="80" t="s">
        <v>783</v>
      </c>
      <c r="L72" s="97" t="s">
        <v>331</v>
      </c>
    </row>
    <row r="73" spans="9:12" x14ac:dyDescent="0.25">
      <c r="I73" s="95" t="s">
        <v>332</v>
      </c>
      <c r="J73" s="80" t="s">
        <v>264</v>
      </c>
      <c r="K73" s="80" t="s">
        <v>784</v>
      </c>
      <c r="L73" s="97" t="s">
        <v>333</v>
      </c>
    </row>
    <row r="74" spans="9:12" x14ac:dyDescent="0.25">
      <c r="I74" s="95" t="s">
        <v>334</v>
      </c>
      <c r="J74" s="80"/>
      <c r="K74" s="80"/>
      <c r="L74" s="97"/>
    </row>
    <row r="75" spans="9:12" x14ac:dyDescent="0.25">
      <c r="I75" s="95" t="s">
        <v>335</v>
      </c>
      <c r="J75" s="80" t="s">
        <v>266</v>
      </c>
      <c r="K75" s="80" t="s">
        <v>336</v>
      </c>
      <c r="L75" s="97">
        <v>121.7</v>
      </c>
    </row>
    <row r="76" spans="9:12" x14ac:dyDescent="0.25">
      <c r="I76" s="95" t="s">
        <v>337</v>
      </c>
      <c r="J76" s="80" t="s">
        <v>264</v>
      </c>
      <c r="K76" s="80" t="s">
        <v>785</v>
      </c>
      <c r="L76" s="97" t="s">
        <v>338</v>
      </c>
    </row>
    <row r="77" spans="9:12" x14ac:dyDescent="0.25">
      <c r="I77" s="95" t="s">
        <v>334</v>
      </c>
      <c r="J77" s="80" t="s">
        <v>266</v>
      </c>
      <c r="K77" s="80" t="s">
        <v>786</v>
      </c>
      <c r="L77" s="97">
        <v>0</v>
      </c>
    </row>
    <row r="78" spans="9:12" x14ac:dyDescent="0.25">
      <c r="I78" s="95" t="s">
        <v>339</v>
      </c>
      <c r="J78" s="80"/>
      <c r="K78" s="80"/>
      <c r="L78" s="97"/>
    </row>
    <row r="79" spans="9:12" x14ac:dyDescent="0.25">
      <c r="I79" s="95" t="s">
        <v>339</v>
      </c>
      <c r="J79" s="80" t="s">
        <v>229</v>
      </c>
      <c r="K79" s="80" t="s">
        <v>340</v>
      </c>
      <c r="L79" s="97">
        <v>0</v>
      </c>
    </row>
    <row r="80" spans="9:12" x14ac:dyDescent="0.25">
      <c r="I80" s="95" t="s">
        <v>341</v>
      </c>
      <c r="J80" s="80"/>
      <c r="K80" s="80"/>
      <c r="L80" s="97"/>
    </row>
    <row r="81" spans="9:12" x14ac:dyDescent="0.25">
      <c r="I81" s="95" t="s">
        <v>341</v>
      </c>
      <c r="J81" s="80" t="s">
        <v>229</v>
      </c>
      <c r="K81" s="80" t="s">
        <v>342</v>
      </c>
      <c r="L81" s="97">
        <v>0</v>
      </c>
    </row>
    <row r="82" spans="9:12" x14ac:dyDescent="0.25">
      <c r="I82" s="95" t="s">
        <v>343</v>
      </c>
      <c r="J82" s="80" t="s">
        <v>229</v>
      </c>
      <c r="K82" s="80" t="s">
        <v>344</v>
      </c>
      <c r="L82" s="97" t="s">
        <v>345</v>
      </c>
    </row>
    <row r="83" spans="9:12" x14ac:dyDescent="0.25">
      <c r="I83" s="95" t="s">
        <v>346</v>
      </c>
      <c r="J83" s="80" t="s">
        <v>264</v>
      </c>
      <c r="K83" s="80" t="s">
        <v>787</v>
      </c>
      <c r="L83" s="97" t="s">
        <v>347</v>
      </c>
    </row>
    <row r="84" spans="9:12" x14ac:dyDescent="0.25">
      <c r="I84" s="95" t="s">
        <v>348</v>
      </c>
      <c r="J84" s="80"/>
      <c r="K84" s="80"/>
      <c r="L84" s="97"/>
    </row>
    <row r="85" spans="9:12" x14ac:dyDescent="0.25">
      <c r="I85" s="95" t="s">
        <v>348</v>
      </c>
      <c r="J85" s="80" t="s">
        <v>266</v>
      </c>
      <c r="K85" s="80" t="s">
        <v>788</v>
      </c>
      <c r="L85" s="97">
        <v>0</v>
      </c>
    </row>
    <row r="86" spans="9:12" x14ac:dyDescent="0.25">
      <c r="I86" s="95" t="s">
        <v>349</v>
      </c>
      <c r="J86" s="80"/>
      <c r="K86" s="80"/>
      <c r="L86" s="97"/>
    </row>
    <row r="87" spans="9:12" x14ac:dyDescent="0.25">
      <c r="I87" s="95" t="s">
        <v>350</v>
      </c>
      <c r="J87" s="80" t="s">
        <v>266</v>
      </c>
      <c r="K87" s="80" t="s">
        <v>351</v>
      </c>
      <c r="L87" s="97">
        <v>218</v>
      </c>
    </row>
    <row r="88" spans="9:12" x14ac:dyDescent="0.25">
      <c r="I88" s="95" t="s">
        <v>349</v>
      </c>
      <c r="J88" s="80" t="s">
        <v>266</v>
      </c>
      <c r="K88" s="80" t="s">
        <v>789</v>
      </c>
      <c r="L88" s="97">
        <v>0</v>
      </c>
    </row>
    <row r="89" spans="9:12" x14ac:dyDescent="0.25">
      <c r="I89" s="95" t="s">
        <v>352</v>
      </c>
      <c r="J89" s="80" t="s">
        <v>266</v>
      </c>
      <c r="K89" s="80" t="s">
        <v>790</v>
      </c>
      <c r="L89" s="97" t="s">
        <v>353</v>
      </c>
    </row>
    <row r="90" spans="9:12" x14ac:dyDescent="0.25">
      <c r="I90" s="95" t="s">
        <v>352</v>
      </c>
      <c r="J90" s="80" t="s">
        <v>262</v>
      </c>
      <c r="K90" s="80" t="s">
        <v>790</v>
      </c>
      <c r="L90" s="97" t="s">
        <v>354</v>
      </c>
    </row>
    <row r="91" spans="9:12" x14ac:dyDescent="0.25">
      <c r="I91" s="95" t="s">
        <v>355</v>
      </c>
      <c r="J91" s="80" t="s">
        <v>264</v>
      </c>
      <c r="K91" s="80" t="s">
        <v>791</v>
      </c>
      <c r="L91" s="97">
        <v>0</v>
      </c>
    </row>
    <row r="92" spans="9:12" x14ac:dyDescent="0.25">
      <c r="I92" s="95" t="s">
        <v>356</v>
      </c>
      <c r="J92" s="80" t="s">
        <v>264</v>
      </c>
      <c r="K92" s="80" t="s">
        <v>792</v>
      </c>
      <c r="L92" s="97" t="s">
        <v>357</v>
      </c>
    </row>
    <row r="93" spans="9:12" x14ac:dyDescent="0.25">
      <c r="I93" s="95" t="s">
        <v>358</v>
      </c>
      <c r="J93" s="80" t="s">
        <v>262</v>
      </c>
      <c r="K93" s="80" t="s">
        <v>793</v>
      </c>
      <c r="L93" s="97" t="s">
        <v>359</v>
      </c>
    </row>
    <row r="94" spans="9:12" x14ac:dyDescent="0.25">
      <c r="I94" s="95" t="s">
        <v>360</v>
      </c>
      <c r="J94" s="80" t="s">
        <v>262</v>
      </c>
      <c r="K94" s="80" t="s">
        <v>794</v>
      </c>
      <c r="L94" s="97" t="s">
        <v>361</v>
      </c>
    </row>
    <row r="95" spans="9:12" x14ac:dyDescent="0.25">
      <c r="I95" s="95" t="s">
        <v>362</v>
      </c>
      <c r="J95" s="80" t="s">
        <v>266</v>
      </c>
      <c r="K95" s="80" t="s">
        <v>363</v>
      </c>
      <c r="L95" s="97">
        <v>130.5</v>
      </c>
    </row>
    <row r="96" spans="9:12" x14ac:dyDescent="0.25">
      <c r="I96" s="95" t="s">
        <v>270</v>
      </c>
      <c r="J96" s="80" t="s">
        <v>262</v>
      </c>
      <c r="K96" s="80" t="s">
        <v>271</v>
      </c>
      <c r="L96" s="97" t="s">
        <v>364</v>
      </c>
    </row>
    <row r="97" spans="9:12" x14ac:dyDescent="0.25">
      <c r="I97" s="95" t="s">
        <v>365</v>
      </c>
      <c r="J97" s="80" t="s">
        <v>266</v>
      </c>
      <c r="K97" s="80" t="s">
        <v>366</v>
      </c>
      <c r="L97" s="97" t="s">
        <v>367</v>
      </c>
    </row>
    <row r="98" spans="9:12" x14ac:dyDescent="0.25">
      <c r="I98" s="95" t="s">
        <v>365</v>
      </c>
      <c r="J98" s="80" t="s">
        <v>264</v>
      </c>
      <c r="K98" s="80" t="s">
        <v>366</v>
      </c>
      <c r="L98" s="97" t="s">
        <v>338</v>
      </c>
    </row>
    <row r="99" spans="9:12" x14ac:dyDescent="0.25">
      <c r="I99" s="95" t="s">
        <v>368</v>
      </c>
      <c r="J99" s="80" t="s">
        <v>266</v>
      </c>
      <c r="K99" s="80" t="s">
        <v>369</v>
      </c>
      <c r="L99" s="97" t="s">
        <v>370</v>
      </c>
    </row>
    <row r="100" spans="9:12" x14ac:dyDescent="0.25">
      <c r="I100" s="95" t="s">
        <v>371</v>
      </c>
      <c r="J100" s="80" t="s">
        <v>266</v>
      </c>
      <c r="K100" s="80" t="s">
        <v>372</v>
      </c>
      <c r="L100" s="97">
        <v>26.5</v>
      </c>
    </row>
    <row r="101" spans="9:12" x14ac:dyDescent="0.25">
      <c r="I101" s="95" t="s">
        <v>373</v>
      </c>
      <c r="J101" s="80"/>
      <c r="K101" s="80"/>
      <c r="L101" s="97"/>
    </row>
    <row r="102" spans="9:12" x14ac:dyDescent="0.25">
      <c r="I102" s="95" t="s">
        <v>373</v>
      </c>
      <c r="J102" s="80" t="s">
        <v>229</v>
      </c>
      <c r="K102" s="80" t="s">
        <v>795</v>
      </c>
      <c r="L102" s="97">
        <v>0</v>
      </c>
    </row>
    <row r="103" spans="9:12" x14ac:dyDescent="0.25">
      <c r="I103" s="95" t="s">
        <v>373</v>
      </c>
      <c r="J103" s="80" t="s">
        <v>266</v>
      </c>
      <c r="K103" s="80" t="s">
        <v>795</v>
      </c>
      <c r="L103" s="97">
        <v>62.438000000000002</v>
      </c>
    </row>
    <row r="104" spans="9:12" x14ac:dyDescent="0.25">
      <c r="I104" s="95" t="s">
        <v>373</v>
      </c>
      <c r="J104" s="80" t="s">
        <v>264</v>
      </c>
      <c r="K104" s="80" t="s">
        <v>795</v>
      </c>
      <c r="L104" s="97">
        <v>23</v>
      </c>
    </row>
    <row r="105" spans="9:12" x14ac:dyDescent="0.25">
      <c r="I105" s="95" t="s">
        <v>374</v>
      </c>
      <c r="J105" s="80" t="s">
        <v>264</v>
      </c>
      <c r="K105" s="80" t="s">
        <v>796</v>
      </c>
      <c r="L105" s="97" t="s">
        <v>375</v>
      </c>
    </row>
    <row r="106" spans="9:12" x14ac:dyDescent="0.25">
      <c r="I106" s="95" t="s">
        <v>376</v>
      </c>
      <c r="J106" s="80"/>
      <c r="K106" s="80"/>
      <c r="L106" s="97"/>
    </row>
    <row r="107" spans="9:12" x14ac:dyDescent="0.25">
      <c r="I107" s="95" t="s">
        <v>376</v>
      </c>
      <c r="J107" s="80" t="s">
        <v>229</v>
      </c>
      <c r="K107" s="80" t="s">
        <v>377</v>
      </c>
      <c r="L107" s="97">
        <v>0</v>
      </c>
    </row>
    <row r="108" spans="9:12" x14ac:dyDescent="0.25">
      <c r="I108" s="95" t="s">
        <v>378</v>
      </c>
      <c r="J108" s="80" t="s">
        <v>229</v>
      </c>
      <c r="K108" s="80" t="s">
        <v>797</v>
      </c>
      <c r="L108" s="97">
        <v>5.4</v>
      </c>
    </row>
    <row r="109" spans="9:12" x14ac:dyDescent="0.25">
      <c r="I109" s="95" t="s">
        <v>379</v>
      </c>
      <c r="J109" s="80" t="s">
        <v>229</v>
      </c>
      <c r="K109" s="80" t="s">
        <v>798</v>
      </c>
      <c r="L109" s="97" t="s">
        <v>380</v>
      </c>
    </row>
    <row r="110" spans="9:12" x14ac:dyDescent="0.25">
      <c r="I110" s="95" t="s">
        <v>381</v>
      </c>
      <c r="J110" s="80" t="s">
        <v>229</v>
      </c>
      <c r="K110" s="80" t="s">
        <v>799</v>
      </c>
      <c r="L110" s="97" t="s">
        <v>382</v>
      </c>
    </row>
    <row r="111" spans="9:12" x14ac:dyDescent="0.25">
      <c r="I111" s="95" t="s">
        <v>800</v>
      </c>
      <c r="J111" s="80" t="s">
        <v>229</v>
      </c>
      <c r="K111" s="80" t="s">
        <v>383</v>
      </c>
      <c r="L111" s="97" t="s">
        <v>384</v>
      </c>
    </row>
    <row r="112" spans="9:12" x14ac:dyDescent="0.25">
      <c r="I112" s="95" t="s">
        <v>801</v>
      </c>
      <c r="J112" s="80" t="s">
        <v>229</v>
      </c>
      <c r="K112" s="80" t="s">
        <v>802</v>
      </c>
      <c r="L112" s="97" t="s">
        <v>385</v>
      </c>
    </row>
    <row r="113" spans="9:12" x14ac:dyDescent="0.25">
      <c r="I113" s="95" t="s">
        <v>803</v>
      </c>
      <c r="J113" s="80" t="s">
        <v>229</v>
      </c>
      <c r="K113" s="80" t="s">
        <v>804</v>
      </c>
      <c r="L113" s="97" t="s">
        <v>386</v>
      </c>
    </row>
    <row r="114" spans="9:12" x14ac:dyDescent="0.25">
      <c r="I114" s="95" t="s">
        <v>387</v>
      </c>
      <c r="J114" s="80" t="s">
        <v>229</v>
      </c>
      <c r="K114" s="80" t="s">
        <v>805</v>
      </c>
      <c r="L114" s="97" t="s">
        <v>388</v>
      </c>
    </row>
    <row r="115" spans="9:12" x14ac:dyDescent="0.25">
      <c r="I115" s="95" t="s">
        <v>389</v>
      </c>
      <c r="J115" s="80" t="s">
        <v>229</v>
      </c>
      <c r="K115" s="80" t="s">
        <v>806</v>
      </c>
      <c r="L115" s="97" t="s">
        <v>390</v>
      </c>
    </row>
    <row r="116" spans="9:12" x14ac:dyDescent="0.25">
      <c r="I116" s="95" t="s">
        <v>391</v>
      </c>
      <c r="J116" s="80" t="s">
        <v>229</v>
      </c>
      <c r="K116" s="80" t="s">
        <v>392</v>
      </c>
      <c r="L116" s="97" t="s">
        <v>393</v>
      </c>
    </row>
    <row r="117" spans="9:12" x14ac:dyDescent="0.25">
      <c r="I117" s="95" t="s">
        <v>394</v>
      </c>
      <c r="J117" s="80" t="s">
        <v>229</v>
      </c>
      <c r="K117" s="80" t="s">
        <v>807</v>
      </c>
      <c r="L117" s="97" t="s">
        <v>395</v>
      </c>
    </row>
    <row r="118" spans="9:12" x14ac:dyDescent="0.25">
      <c r="I118" s="95" t="s">
        <v>396</v>
      </c>
      <c r="J118" s="80"/>
      <c r="K118" s="80"/>
      <c r="L118" s="97"/>
    </row>
    <row r="119" spans="9:12" x14ac:dyDescent="0.25">
      <c r="I119" s="95" t="s">
        <v>396</v>
      </c>
      <c r="J119" s="80" t="s">
        <v>229</v>
      </c>
      <c r="K119" s="80" t="s">
        <v>397</v>
      </c>
      <c r="L119" s="97">
        <v>0</v>
      </c>
    </row>
    <row r="120" spans="9:12" x14ac:dyDescent="0.25">
      <c r="I120" s="95" t="s">
        <v>398</v>
      </c>
      <c r="J120" s="80" t="s">
        <v>229</v>
      </c>
      <c r="K120" s="80" t="s">
        <v>808</v>
      </c>
      <c r="L120" s="97" t="s">
        <v>399</v>
      </c>
    </row>
    <row r="121" spans="9:12" x14ac:dyDescent="0.25">
      <c r="I121" s="95" t="s">
        <v>400</v>
      </c>
      <c r="J121" s="80" t="s">
        <v>229</v>
      </c>
      <c r="K121" s="80" t="s">
        <v>401</v>
      </c>
      <c r="L121" s="97" t="s">
        <v>402</v>
      </c>
    </row>
    <row r="122" spans="9:12" x14ac:dyDescent="0.25">
      <c r="I122" s="95" t="s">
        <v>403</v>
      </c>
      <c r="J122" s="80" t="s">
        <v>229</v>
      </c>
      <c r="K122" s="80" t="s">
        <v>809</v>
      </c>
      <c r="L122" s="97" t="s">
        <v>404</v>
      </c>
    </row>
    <row r="123" spans="9:12" x14ac:dyDescent="0.25">
      <c r="I123" s="95" t="s">
        <v>405</v>
      </c>
      <c r="J123" s="80" t="s">
        <v>229</v>
      </c>
      <c r="K123" s="80" t="s">
        <v>810</v>
      </c>
      <c r="L123" s="97" t="s">
        <v>406</v>
      </c>
    </row>
    <row r="124" spans="9:12" x14ac:dyDescent="0.25">
      <c r="I124" s="95" t="s">
        <v>407</v>
      </c>
      <c r="J124" s="80" t="s">
        <v>229</v>
      </c>
      <c r="K124" s="80" t="s">
        <v>809</v>
      </c>
      <c r="L124" s="97" t="s">
        <v>404</v>
      </c>
    </row>
    <row r="125" spans="9:12" x14ac:dyDescent="0.25">
      <c r="I125" s="95" t="s">
        <v>408</v>
      </c>
      <c r="J125" s="80"/>
      <c r="K125" s="80"/>
      <c r="L125" s="97"/>
    </row>
    <row r="126" spans="9:12" x14ac:dyDescent="0.25">
      <c r="I126" s="95" t="s">
        <v>409</v>
      </c>
      <c r="J126" s="80" t="s">
        <v>229</v>
      </c>
      <c r="K126" s="80" t="s">
        <v>410</v>
      </c>
      <c r="L126" s="97" t="s">
        <v>411</v>
      </c>
    </row>
    <row r="127" spans="9:12" x14ac:dyDescent="0.25">
      <c r="I127" s="95" t="s">
        <v>412</v>
      </c>
      <c r="J127" s="80"/>
      <c r="K127" s="80"/>
      <c r="L127" s="97"/>
    </row>
    <row r="128" spans="9:12" x14ac:dyDescent="0.25">
      <c r="I128" s="95" t="s">
        <v>412</v>
      </c>
      <c r="J128" s="80" t="s">
        <v>229</v>
      </c>
      <c r="K128" s="80" t="s">
        <v>413</v>
      </c>
      <c r="L128" s="97">
        <v>0</v>
      </c>
    </row>
    <row r="129" spans="9:12" x14ac:dyDescent="0.25">
      <c r="I129" s="95" t="s">
        <v>414</v>
      </c>
      <c r="J129" s="80" t="s">
        <v>264</v>
      </c>
      <c r="K129" s="80" t="s">
        <v>811</v>
      </c>
      <c r="L129" s="97" t="s">
        <v>415</v>
      </c>
    </row>
    <row r="130" spans="9:12" x14ac:dyDescent="0.25">
      <c r="I130" s="95" t="s">
        <v>416</v>
      </c>
      <c r="J130" s="80" t="s">
        <v>229</v>
      </c>
      <c r="K130" s="80" t="s">
        <v>812</v>
      </c>
      <c r="L130" s="97" t="s">
        <v>417</v>
      </c>
    </row>
    <row r="131" spans="9:12" x14ac:dyDescent="0.25">
      <c r="I131" s="95" t="s">
        <v>418</v>
      </c>
      <c r="J131" s="80" t="s">
        <v>229</v>
      </c>
      <c r="K131" s="80" t="s">
        <v>813</v>
      </c>
      <c r="L131" s="97" t="s">
        <v>419</v>
      </c>
    </row>
    <row r="132" spans="9:12" x14ac:dyDescent="0.25">
      <c r="I132" s="95" t="s">
        <v>420</v>
      </c>
      <c r="J132" s="80" t="s">
        <v>229</v>
      </c>
      <c r="K132" s="80" t="s">
        <v>814</v>
      </c>
      <c r="L132" s="97" t="s">
        <v>421</v>
      </c>
    </row>
    <row r="133" spans="9:12" x14ac:dyDescent="0.25">
      <c r="I133" s="95" t="s">
        <v>420</v>
      </c>
      <c r="J133" s="80" t="s">
        <v>264</v>
      </c>
      <c r="K133" s="80" t="s">
        <v>814</v>
      </c>
      <c r="L133" s="97" t="s">
        <v>422</v>
      </c>
    </row>
    <row r="134" spans="9:12" x14ac:dyDescent="0.25">
      <c r="I134" s="95" t="s">
        <v>423</v>
      </c>
      <c r="J134" s="80" t="s">
        <v>229</v>
      </c>
      <c r="K134" s="80" t="s">
        <v>424</v>
      </c>
      <c r="L134" s="97" t="s">
        <v>425</v>
      </c>
    </row>
    <row r="135" spans="9:12" x14ac:dyDescent="0.25">
      <c r="I135" s="95" t="s">
        <v>426</v>
      </c>
      <c r="J135" s="80" t="s">
        <v>229</v>
      </c>
      <c r="K135" s="80" t="s">
        <v>815</v>
      </c>
      <c r="L135" s="97" t="s">
        <v>427</v>
      </c>
    </row>
    <row r="136" spans="9:12" x14ac:dyDescent="0.25">
      <c r="I136" s="95" t="s">
        <v>428</v>
      </c>
      <c r="J136" s="80"/>
      <c r="K136" s="80"/>
      <c r="L136" s="97"/>
    </row>
    <row r="137" spans="9:12" x14ac:dyDescent="0.25">
      <c r="I137" s="95" t="s">
        <v>428</v>
      </c>
      <c r="J137" s="80" t="s">
        <v>229</v>
      </c>
      <c r="K137" s="80" t="s">
        <v>429</v>
      </c>
      <c r="L137" s="97">
        <v>0</v>
      </c>
    </row>
    <row r="138" spans="9:12" x14ac:dyDescent="0.25">
      <c r="I138" s="95" t="s">
        <v>430</v>
      </c>
      <c r="J138" s="80" t="s">
        <v>229</v>
      </c>
      <c r="K138" s="80" t="s">
        <v>431</v>
      </c>
      <c r="L138" s="97" t="s">
        <v>432</v>
      </c>
    </row>
    <row r="139" spans="9:12" x14ac:dyDescent="0.25">
      <c r="I139" s="95" t="s">
        <v>433</v>
      </c>
      <c r="J139" s="80" t="s">
        <v>229</v>
      </c>
      <c r="K139" s="80" t="s">
        <v>816</v>
      </c>
      <c r="L139" s="97" t="s">
        <v>434</v>
      </c>
    </row>
    <row r="140" spans="9:12" x14ac:dyDescent="0.25">
      <c r="I140" s="95" t="s">
        <v>435</v>
      </c>
      <c r="J140" s="80" t="s">
        <v>229</v>
      </c>
      <c r="K140" s="80" t="s">
        <v>817</v>
      </c>
      <c r="L140" s="97" t="s">
        <v>436</v>
      </c>
    </row>
    <row r="141" spans="9:12" x14ac:dyDescent="0.25">
      <c r="I141" s="95" t="s">
        <v>437</v>
      </c>
      <c r="J141" s="80" t="s">
        <v>229</v>
      </c>
      <c r="K141" s="80" t="s">
        <v>818</v>
      </c>
      <c r="L141" s="97" t="s">
        <v>438</v>
      </c>
    </row>
    <row r="142" spans="9:12" x14ac:dyDescent="0.25">
      <c r="I142" s="95" t="s">
        <v>439</v>
      </c>
      <c r="J142" s="80" t="s">
        <v>264</v>
      </c>
      <c r="K142" s="80" t="s">
        <v>819</v>
      </c>
      <c r="L142" s="97" t="s">
        <v>440</v>
      </c>
    </row>
    <row r="143" spans="9:12" x14ac:dyDescent="0.25">
      <c r="I143" s="95"/>
      <c r="J143" s="80"/>
      <c r="K143" s="80">
        <v>4</v>
      </c>
      <c r="L143" s="97"/>
    </row>
    <row r="144" spans="9:12" x14ac:dyDescent="0.25">
      <c r="I144" s="95" t="s">
        <v>441</v>
      </c>
      <c r="J144" s="80"/>
      <c r="K144" s="80"/>
      <c r="L144" s="97"/>
    </row>
    <row r="145" spans="9:12" x14ac:dyDescent="0.25">
      <c r="I145" s="95" t="s">
        <v>442</v>
      </c>
      <c r="J145" s="80" t="s">
        <v>229</v>
      </c>
      <c r="K145" s="80" t="s">
        <v>443</v>
      </c>
      <c r="L145" s="97" t="s">
        <v>444</v>
      </c>
    </row>
    <row r="146" spans="9:12" x14ac:dyDescent="0.25">
      <c r="I146" s="95" t="s">
        <v>820</v>
      </c>
      <c r="J146" s="80" t="s">
        <v>229</v>
      </c>
      <c r="K146" s="80" t="s">
        <v>445</v>
      </c>
      <c r="L146" s="97" t="s">
        <v>446</v>
      </c>
    </row>
    <row r="147" spans="9:12" x14ac:dyDescent="0.25">
      <c r="I147" s="95" t="s">
        <v>447</v>
      </c>
      <c r="J147" s="80"/>
      <c r="K147" s="80"/>
      <c r="L147" s="97"/>
    </row>
    <row r="148" spans="9:12" x14ac:dyDescent="0.25">
      <c r="I148" s="95" t="s">
        <v>447</v>
      </c>
      <c r="J148" s="80" t="s">
        <v>266</v>
      </c>
      <c r="K148" s="80" t="s">
        <v>821</v>
      </c>
      <c r="L148" s="97">
        <v>0</v>
      </c>
    </row>
    <row r="149" spans="9:12" x14ac:dyDescent="0.25">
      <c r="I149" s="95" t="s">
        <v>448</v>
      </c>
      <c r="J149" s="80" t="s">
        <v>264</v>
      </c>
      <c r="K149" s="80" t="s">
        <v>822</v>
      </c>
      <c r="L149" s="97" t="s">
        <v>449</v>
      </c>
    </row>
    <row r="150" spans="9:12" x14ac:dyDescent="0.25">
      <c r="I150" s="95" t="s">
        <v>450</v>
      </c>
      <c r="J150" s="80" t="s">
        <v>266</v>
      </c>
      <c r="K150" s="80" t="s">
        <v>823</v>
      </c>
      <c r="L150" s="97" t="s">
        <v>451</v>
      </c>
    </row>
    <row r="151" spans="9:12" x14ac:dyDescent="0.25">
      <c r="I151" s="95" t="s">
        <v>452</v>
      </c>
      <c r="J151" s="80" t="s">
        <v>229</v>
      </c>
      <c r="K151" s="80" t="s">
        <v>824</v>
      </c>
      <c r="L151" s="97" t="s">
        <v>453</v>
      </c>
    </row>
    <row r="152" spans="9:12" x14ac:dyDescent="0.25">
      <c r="I152" s="95" t="s">
        <v>454</v>
      </c>
      <c r="J152" s="80" t="s">
        <v>229</v>
      </c>
      <c r="K152" s="80" t="s">
        <v>825</v>
      </c>
      <c r="L152" s="97" t="s">
        <v>455</v>
      </c>
    </row>
    <row r="153" spans="9:12" x14ac:dyDescent="0.25">
      <c r="I153" s="95" t="s">
        <v>456</v>
      </c>
      <c r="J153" s="80" t="s">
        <v>266</v>
      </c>
      <c r="K153" s="80" t="s">
        <v>826</v>
      </c>
      <c r="L153" s="97">
        <v>33.200000000000003</v>
      </c>
    </row>
    <row r="154" spans="9:12" x14ac:dyDescent="0.25">
      <c r="I154" s="95" t="s">
        <v>457</v>
      </c>
      <c r="J154" s="80" t="s">
        <v>266</v>
      </c>
      <c r="K154" s="80" t="s">
        <v>827</v>
      </c>
      <c r="L154" s="97">
        <v>95.4</v>
      </c>
    </row>
    <row r="155" spans="9:12" x14ac:dyDescent="0.25">
      <c r="I155" s="95" t="s">
        <v>457</v>
      </c>
      <c r="J155" s="80" t="s">
        <v>262</v>
      </c>
      <c r="K155" s="80" t="s">
        <v>827</v>
      </c>
      <c r="L155" s="97">
        <v>50.6</v>
      </c>
    </row>
    <row r="156" spans="9:12" x14ac:dyDescent="0.25">
      <c r="I156" s="95" t="s">
        <v>458</v>
      </c>
      <c r="J156" s="80" t="s">
        <v>266</v>
      </c>
      <c r="K156" s="80" t="s">
        <v>828</v>
      </c>
      <c r="L156" s="97">
        <v>82.05</v>
      </c>
    </row>
    <row r="157" spans="9:12" x14ac:dyDescent="0.25">
      <c r="I157" s="95" t="s">
        <v>459</v>
      </c>
      <c r="J157" s="80" t="s">
        <v>266</v>
      </c>
      <c r="K157" s="80" t="s">
        <v>460</v>
      </c>
      <c r="L157" s="97">
        <v>90.29</v>
      </c>
    </row>
    <row r="158" spans="9:12" x14ac:dyDescent="0.25">
      <c r="I158" s="95" t="s">
        <v>461</v>
      </c>
      <c r="J158" s="80" t="s">
        <v>266</v>
      </c>
      <c r="K158" s="80" t="s">
        <v>829</v>
      </c>
      <c r="L158" s="97">
        <v>9.16</v>
      </c>
    </row>
    <row r="159" spans="9:12" x14ac:dyDescent="0.25">
      <c r="I159" s="95" t="s">
        <v>462</v>
      </c>
      <c r="J159" s="80" t="s">
        <v>229</v>
      </c>
      <c r="K159" s="80" t="s">
        <v>830</v>
      </c>
      <c r="L159" s="97" t="s">
        <v>463</v>
      </c>
    </row>
    <row r="160" spans="9:12" x14ac:dyDescent="0.25">
      <c r="I160" s="95" t="s">
        <v>462</v>
      </c>
      <c r="J160" s="80" t="s">
        <v>266</v>
      </c>
      <c r="K160" s="80" t="s">
        <v>830</v>
      </c>
      <c r="L160" s="97">
        <v>11.3</v>
      </c>
    </row>
    <row r="161" spans="9:12" x14ac:dyDescent="0.25">
      <c r="I161" s="95" t="s">
        <v>464</v>
      </c>
      <c r="J161" s="80" t="s">
        <v>264</v>
      </c>
      <c r="K161" s="80" t="s">
        <v>831</v>
      </c>
      <c r="L161" s="97" t="s">
        <v>465</v>
      </c>
    </row>
    <row r="162" spans="9:12" x14ac:dyDescent="0.25">
      <c r="I162" s="95" t="s">
        <v>466</v>
      </c>
      <c r="J162" s="80"/>
      <c r="K162" s="80"/>
      <c r="L162" s="97"/>
    </row>
    <row r="163" spans="9:12" x14ac:dyDescent="0.25">
      <c r="I163" s="95" t="s">
        <v>467</v>
      </c>
      <c r="J163" s="80" t="s">
        <v>266</v>
      </c>
      <c r="K163" s="80" t="s">
        <v>468</v>
      </c>
      <c r="L163" s="97">
        <v>249</v>
      </c>
    </row>
    <row r="164" spans="9:12" x14ac:dyDescent="0.25">
      <c r="I164" s="95" t="s">
        <v>466</v>
      </c>
      <c r="J164" s="80" t="s">
        <v>266</v>
      </c>
      <c r="K164" s="80" t="s">
        <v>832</v>
      </c>
      <c r="L164" s="97">
        <v>0</v>
      </c>
    </row>
    <row r="165" spans="9:12" x14ac:dyDescent="0.25">
      <c r="I165" s="95" t="s">
        <v>469</v>
      </c>
      <c r="J165" s="80" t="s">
        <v>266</v>
      </c>
      <c r="K165" s="80" t="s">
        <v>833</v>
      </c>
      <c r="L165" s="97">
        <v>143</v>
      </c>
    </row>
    <row r="166" spans="9:12" x14ac:dyDescent="0.25">
      <c r="I166" s="95" t="s">
        <v>470</v>
      </c>
      <c r="J166" s="80"/>
      <c r="K166" s="80"/>
      <c r="L166" s="97"/>
    </row>
    <row r="167" spans="9:12" x14ac:dyDescent="0.25">
      <c r="I167" s="95" t="s">
        <v>471</v>
      </c>
      <c r="J167" s="80" t="s">
        <v>229</v>
      </c>
      <c r="K167" s="80" t="s">
        <v>834</v>
      </c>
      <c r="L167" s="97">
        <v>0</v>
      </c>
    </row>
    <row r="168" spans="9:12" x14ac:dyDescent="0.25">
      <c r="I168" s="95" t="s">
        <v>472</v>
      </c>
      <c r="J168" s="80" t="s">
        <v>229</v>
      </c>
      <c r="K168" s="80" t="s">
        <v>473</v>
      </c>
      <c r="L168" s="97" t="s">
        <v>474</v>
      </c>
    </row>
    <row r="169" spans="9:12" x14ac:dyDescent="0.25">
      <c r="I169" s="95" t="s">
        <v>475</v>
      </c>
      <c r="J169" s="80" t="s">
        <v>229</v>
      </c>
      <c r="K169" s="80" t="s">
        <v>473</v>
      </c>
      <c r="L169" s="97" t="s">
        <v>476</v>
      </c>
    </row>
    <row r="170" spans="9:12" x14ac:dyDescent="0.25">
      <c r="I170" s="95" t="s">
        <v>477</v>
      </c>
      <c r="J170" s="80" t="s">
        <v>262</v>
      </c>
      <c r="K170" s="80" t="s">
        <v>835</v>
      </c>
      <c r="L170" s="97" t="s">
        <v>478</v>
      </c>
    </row>
    <row r="171" spans="9:12" x14ac:dyDescent="0.25">
      <c r="I171" s="95" t="s">
        <v>477</v>
      </c>
      <c r="J171" s="80" t="s">
        <v>266</v>
      </c>
      <c r="K171" s="80" t="s">
        <v>835</v>
      </c>
      <c r="L171" s="97" t="s">
        <v>479</v>
      </c>
    </row>
    <row r="172" spans="9:12" x14ac:dyDescent="0.25">
      <c r="I172" s="95" t="s">
        <v>480</v>
      </c>
      <c r="J172" s="80" t="s">
        <v>229</v>
      </c>
      <c r="K172" s="80" t="s">
        <v>836</v>
      </c>
      <c r="L172" s="97" t="s">
        <v>481</v>
      </c>
    </row>
    <row r="173" spans="9:12" x14ac:dyDescent="0.25">
      <c r="I173" s="95" t="s">
        <v>480</v>
      </c>
      <c r="J173" s="80" t="s">
        <v>266</v>
      </c>
      <c r="K173" s="80" t="s">
        <v>836</v>
      </c>
      <c r="L173" s="97" t="s">
        <v>482</v>
      </c>
    </row>
    <row r="174" spans="9:12" x14ac:dyDescent="0.25">
      <c r="I174" s="95" t="s">
        <v>483</v>
      </c>
      <c r="J174" s="80" t="s">
        <v>229</v>
      </c>
      <c r="K174" s="80" t="s">
        <v>837</v>
      </c>
      <c r="L174" s="97" t="s">
        <v>484</v>
      </c>
    </row>
    <row r="175" spans="9:12" x14ac:dyDescent="0.25">
      <c r="I175" s="95" t="s">
        <v>485</v>
      </c>
      <c r="J175" s="80"/>
      <c r="K175" s="80"/>
      <c r="L175" s="97"/>
    </row>
    <row r="176" spans="9:12" x14ac:dyDescent="0.25">
      <c r="I176" s="95" t="s">
        <v>486</v>
      </c>
      <c r="J176" s="80" t="s">
        <v>229</v>
      </c>
      <c r="K176" s="80" t="s">
        <v>487</v>
      </c>
      <c r="L176" s="97" t="s">
        <v>488</v>
      </c>
    </row>
    <row r="177" spans="9:12" x14ac:dyDescent="0.25">
      <c r="I177" s="95" t="s">
        <v>489</v>
      </c>
      <c r="J177" s="80" t="s">
        <v>229</v>
      </c>
      <c r="K177" s="80" t="s">
        <v>838</v>
      </c>
      <c r="L177" s="97" t="s">
        <v>490</v>
      </c>
    </row>
    <row r="178" spans="9:12" x14ac:dyDescent="0.25">
      <c r="I178" s="95" t="s">
        <v>491</v>
      </c>
      <c r="J178" s="80" t="s">
        <v>229</v>
      </c>
      <c r="K178" s="80" t="s">
        <v>839</v>
      </c>
      <c r="L178" s="97" t="s">
        <v>492</v>
      </c>
    </row>
    <row r="179" spans="9:12" x14ac:dyDescent="0.25">
      <c r="I179" s="95" t="s">
        <v>493</v>
      </c>
      <c r="J179" s="80" t="s">
        <v>229</v>
      </c>
      <c r="K179" s="80" t="s">
        <v>494</v>
      </c>
      <c r="L179" s="97" t="s">
        <v>495</v>
      </c>
    </row>
    <row r="180" spans="9:12" x14ac:dyDescent="0.25">
      <c r="I180" s="95" t="s">
        <v>496</v>
      </c>
      <c r="J180" s="80" t="s">
        <v>229</v>
      </c>
      <c r="K180" s="80" t="s">
        <v>497</v>
      </c>
      <c r="L180" s="97" t="s">
        <v>498</v>
      </c>
    </row>
    <row r="181" spans="9:12" x14ac:dyDescent="0.25">
      <c r="I181" s="95" t="s">
        <v>499</v>
      </c>
      <c r="J181" s="80" t="s">
        <v>229</v>
      </c>
      <c r="K181" s="80" t="s">
        <v>840</v>
      </c>
      <c r="L181" s="97" t="s">
        <v>500</v>
      </c>
    </row>
    <row r="182" spans="9:12" x14ac:dyDescent="0.25">
      <c r="I182" s="95" t="s">
        <v>501</v>
      </c>
      <c r="J182" s="80" t="s">
        <v>229</v>
      </c>
      <c r="K182" s="80" t="s">
        <v>841</v>
      </c>
      <c r="L182" s="97" t="s">
        <v>502</v>
      </c>
    </row>
    <row r="183" spans="9:12" x14ac:dyDescent="0.25">
      <c r="I183" s="95" t="s">
        <v>503</v>
      </c>
      <c r="J183" s="80" t="s">
        <v>229</v>
      </c>
      <c r="K183" s="80" t="s">
        <v>842</v>
      </c>
      <c r="L183" s="97" t="s">
        <v>504</v>
      </c>
    </row>
    <row r="184" spans="9:12" x14ac:dyDescent="0.25">
      <c r="I184" s="95" t="s">
        <v>505</v>
      </c>
      <c r="J184" s="80"/>
      <c r="K184" s="80"/>
      <c r="L184" s="97"/>
    </row>
    <row r="185" spans="9:12" x14ac:dyDescent="0.25">
      <c r="I185" s="95" t="s">
        <v>505</v>
      </c>
      <c r="J185" s="80" t="s">
        <v>266</v>
      </c>
      <c r="K185" s="80" t="s">
        <v>506</v>
      </c>
      <c r="L185" s="97">
        <v>368.2</v>
      </c>
    </row>
    <row r="186" spans="9:12" x14ac:dyDescent="0.25">
      <c r="I186" s="95" t="s">
        <v>507</v>
      </c>
      <c r="J186" s="80" t="s">
        <v>229</v>
      </c>
      <c r="K186" s="80" t="s">
        <v>508</v>
      </c>
      <c r="L186" s="97" t="s">
        <v>843</v>
      </c>
    </row>
    <row r="187" spans="9:12" x14ac:dyDescent="0.25">
      <c r="I187" s="95" t="s">
        <v>509</v>
      </c>
      <c r="J187" s="80" t="s">
        <v>262</v>
      </c>
      <c r="K187" s="80" t="s">
        <v>844</v>
      </c>
      <c r="L187" s="97" t="s">
        <v>510</v>
      </c>
    </row>
    <row r="188" spans="9:12" x14ac:dyDescent="0.25">
      <c r="I188" s="95" t="s">
        <v>845</v>
      </c>
      <c r="J188" s="80" t="s">
        <v>229</v>
      </c>
      <c r="K188" s="80" t="s">
        <v>846</v>
      </c>
      <c r="L188" s="97" t="s">
        <v>511</v>
      </c>
    </row>
    <row r="189" spans="9:12" x14ac:dyDescent="0.25">
      <c r="I189" s="95" t="s">
        <v>512</v>
      </c>
      <c r="J189" s="80"/>
      <c r="K189" s="80"/>
      <c r="L189" s="97"/>
    </row>
    <row r="190" spans="9:12" x14ac:dyDescent="0.25">
      <c r="I190" s="95" t="s">
        <v>513</v>
      </c>
      <c r="J190" s="80" t="s">
        <v>229</v>
      </c>
      <c r="K190" s="80" t="s">
        <v>514</v>
      </c>
      <c r="L190" s="97" t="s">
        <v>515</v>
      </c>
    </row>
    <row r="191" spans="9:12" x14ac:dyDescent="0.25">
      <c r="I191" s="95" t="s">
        <v>516</v>
      </c>
      <c r="J191" s="80" t="s">
        <v>229</v>
      </c>
      <c r="K191" s="80" t="s">
        <v>517</v>
      </c>
      <c r="L191" s="97" t="s">
        <v>518</v>
      </c>
    </row>
    <row r="192" spans="9:12" x14ac:dyDescent="0.25">
      <c r="I192" s="95" t="s">
        <v>519</v>
      </c>
      <c r="J192" s="80" t="s">
        <v>229</v>
      </c>
      <c r="K192" s="80" t="s">
        <v>520</v>
      </c>
      <c r="L192" s="97" t="s">
        <v>521</v>
      </c>
    </row>
    <row r="193" spans="9:12" x14ac:dyDescent="0.25">
      <c r="I193" s="95" t="s">
        <v>522</v>
      </c>
      <c r="J193" s="80" t="s">
        <v>229</v>
      </c>
      <c r="K193" s="80" t="s">
        <v>847</v>
      </c>
      <c r="L193" s="97" t="s">
        <v>523</v>
      </c>
    </row>
    <row r="194" spans="9:12" x14ac:dyDescent="0.25">
      <c r="I194" s="95" t="s">
        <v>524</v>
      </c>
      <c r="J194" s="80" t="s">
        <v>229</v>
      </c>
      <c r="K194" s="80" t="s">
        <v>848</v>
      </c>
      <c r="L194" s="97" t="s">
        <v>525</v>
      </c>
    </row>
    <row r="195" spans="9:12" x14ac:dyDescent="0.25">
      <c r="I195" s="95" t="s">
        <v>526</v>
      </c>
      <c r="J195" s="80"/>
      <c r="K195" s="80"/>
      <c r="L195" s="97"/>
    </row>
    <row r="196" spans="9:12" x14ac:dyDescent="0.25">
      <c r="I196" s="95" t="s">
        <v>526</v>
      </c>
      <c r="J196" s="80" t="s">
        <v>229</v>
      </c>
      <c r="K196" s="80" t="s">
        <v>527</v>
      </c>
      <c r="L196" s="97">
        <v>0</v>
      </c>
    </row>
    <row r="197" spans="9:12" x14ac:dyDescent="0.25">
      <c r="I197" s="95" t="s">
        <v>526</v>
      </c>
      <c r="J197" s="80" t="s">
        <v>266</v>
      </c>
      <c r="K197" s="80" t="s">
        <v>527</v>
      </c>
      <c r="L197" s="97">
        <v>107.5</v>
      </c>
    </row>
    <row r="198" spans="9:12" x14ac:dyDescent="0.25">
      <c r="I198" s="95" t="s">
        <v>528</v>
      </c>
      <c r="J198" s="80" t="s">
        <v>229</v>
      </c>
      <c r="K198" s="80" t="s">
        <v>849</v>
      </c>
      <c r="L198" s="97" t="s">
        <v>529</v>
      </c>
    </row>
    <row r="199" spans="9:12" x14ac:dyDescent="0.25">
      <c r="I199" s="95" t="s">
        <v>530</v>
      </c>
      <c r="J199" s="80" t="s">
        <v>229</v>
      </c>
      <c r="K199" s="80" t="s">
        <v>850</v>
      </c>
      <c r="L199" s="97" t="s">
        <v>531</v>
      </c>
    </row>
    <row r="200" spans="9:12" x14ac:dyDescent="0.25">
      <c r="I200" s="95" t="s">
        <v>532</v>
      </c>
      <c r="J200" s="80" t="s">
        <v>264</v>
      </c>
      <c r="K200" s="80" t="s">
        <v>533</v>
      </c>
      <c r="L200" s="97" t="s">
        <v>534</v>
      </c>
    </row>
    <row r="201" spans="9:12" x14ac:dyDescent="0.25">
      <c r="I201" s="95" t="s">
        <v>532</v>
      </c>
      <c r="J201" s="80" t="s">
        <v>229</v>
      </c>
      <c r="K201" s="80" t="s">
        <v>533</v>
      </c>
      <c r="L201" s="97" t="s">
        <v>535</v>
      </c>
    </row>
    <row r="202" spans="9:12" x14ac:dyDescent="0.25">
      <c r="I202" s="95" t="s">
        <v>532</v>
      </c>
      <c r="J202" s="80" t="s">
        <v>262</v>
      </c>
      <c r="K202" s="80" t="s">
        <v>533</v>
      </c>
      <c r="L202" s="97" t="s">
        <v>536</v>
      </c>
    </row>
    <row r="203" spans="9:12" x14ac:dyDescent="0.25">
      <c r="I203" s="95" t="s">
        <v>532</v>
      </c>
      <c r="J203" s="80" t="s">
        <v>266</v>
      </c>
      <c r="K203" s="80" t="s">
        <v>533</v>
      </c>
      <c r="L203" s="97" t="s">
        <v>537</v>
      </c>
    </row>
    <row r="204" spans="9:12" x14ac:dyDescent="0.25">
      <c r="I204" s="95" t="s">
        <v>538</v>
      </c>
      <c r="J204" s="80" t="s">
        <v>229</v>
      </c>
      <c r="K204" s="80" t="s">
        <v>851</v>
      </c>
      <c r="L204" s="97" t="s">
        <v>539</v>
      </c>
    </row>
    <row r="205" spans="9:12" x14ac:dyDescent="0.25">
      <c r="I205" s="95" t="s">
        <v>540</v>
      </c>
      <c r="J205" s="80" t="s">
        <v>229</v>
      </c>
      <c r="K205" s="80" t="s">
        <v>541</v>
      </c>
      <c r="L205" s="97" t="s">
        <v>542</v>
      </c>
    </row>
    <row r="206" spans="9:12" x14ac:dyDescent="0.25">
      <c r="I206" s="95" t="s">
        <v>543</v>
      </c>
      <c r="J206" s="80" t="s">
        <v>264</v>
      </c>
      <c r="K206" s="80" t="s">
        <v>544</v>
      </c>
      <c r="L206" s="97" t="s">
        <v>545</v>
      </c>
    </row>
    <row r="207" spans="9:12" x14ac:dyDescent="0.25">
      <c r="I207" s="95" t="s">
        <v>543</v>
      </c>
      <c r="J207" s="80" t="s">
        <v>229</v>
      </c>
      <c r="K207" s="80" t="s">
        <v>544</v>
      </c>
      <c r="L207" s="97" t="s">
        <v>546</v>
      </c>
    </row>
    <row r="208" spans="9:12" x14ac:dyDescent="0.25">
      <c r="I208" s="95" t="s">
        <v>547</v>
      </c>
      <c r="J208" s="80" t="s">
        <v>229</v>
      </c>
      <c r="K208" s="80" t="s">
        <v>548</v>
      </c>
      <c r="L208" s="97" t="s">
        <v>549</v>
      </c>
    </row>
    <row r="209" spans="9:12" x14ac:dyDescent="0.25">
      <c r="I209" s="95" t="s">
        <v>550</v>
      </c>
      <c r="J209" s="80" t="s">
        <v>264</v>
      </c>
      <c r="K209" s="80" t="s">
        <v>852</v>
      </c>
      <c r="L209" s="97" t="s">
        <v>551</v>
      </c>
    </row>
    <row r="210" spans="9:12" x14ac:dyDescent="0.25">
      <c r="I210" s="95" t="s">
        <v>550</v>
      </c>
      <c r="J210" s="80" t="s">
        <v>229</v>
      </c>
      <c r="K210" s="80" t="s">
        <v>852</v>
      </c>
      <c r="L210" s="97" t="s">
        <v>552</v>
      </c>
    </row>
    <row r="211" spans="9:12" x14ac:dyDescent="0.25">
      <c r="I211" s="95" t="s">
        <v>553</v>
      </c>
      <c r="J211" s="80" t="s">
        <v>229</v>
      </c>
      <c r="K211" s="80" t="s">
        <v>853</v>
      </c>
      <c r="L211" s="97" t="s">
        <v>554</v>
      </c>
    </row>
    <row r="212" spans="9:12" x14ac:dyDescent="0.25">
      <c r="I212" s="95" t="s">
        <v>555</v>
      </c>
      <c r="J212" s="80"/>
      <c r="K212" s="80"/>
      <c r="L212" s="97"/>
    </row>
    <row r="213" spans="9:12" x14ac:dyDescent="0.25">
      <c r="I213" s="95" t="s">
        <v>556</v>
      </c>
      <c r="J213" s="80" t="s">
        <v>229</v>
      </c>
      <c r="K213" s="80" t="s">
        <v>854</v>
      </c>
      <c r="L213" s="97">
        <v>0.3</v>
      </c>
    </row>
    <row r="214" spans="9:12" x14ac:dyDescent="0.25">
      <c r="I214" s="95" t="s">
        <v>557</v>
      </c>
      <c r="J214" s="80" t="s">
        <v>229</v>
      </c>
      <c r="K214" s="80" t="s">
        <v>854</v>
      </c>
      <c r="L214" s="97">
        <v>0</v>
      </c>
    </row>
    <row r="215" spans="9:12" x14ac:dyDescent="0.25">
      <c r="I215" s="95" t="s">
        <v>558</v>
      </c>
      <c r="J215" s="80" t="s">
        <v>266</v>
      </c>
      <c r="K215" s="80" t="s">
        <v>855</v>
      </c>
      <c r="L215" s="97" t="s">
        <v>559</v>
      </c>
    </row>
    <row r="216" spans="9:12" x14ac:dyDescent="0.25">
      <c r="I216" s="95" t="s">
        <v>560</v>
      </c>
      <c r="J216" s="80" t="s">
        <v>266</v>
      </c>
      <c r="K216" s="80" t="s">
        <v>856</v>
      </c>
      <c r="L216" s="97" t="s">
        <v>561</v>
      </c>
    </row>
    <row r="217" spans="9:12" x14ac:dyDescent="0.25">
      <c r="I217" s="95" t="s">
        <v>562</v>
      </c>
      <c r="J217" s="80" t="s">
        <v>266</v>
      </c>
      <c r="K217" s="80" t="s">
        <v>857</v>
      </c>
      <c r="L217" s="97" t="s">
        <v>563</v>
      </c>
    </row>
    <row r="218" spans="9:12" x14ac:dyDescent="0.25">
      <c r="I218" s="95" t="s">
        <v>564</v>
      </c>
      <c r="J218" s="80" t="s">
        <v>262</v>
      </c>
      <c r="K218" s="80" t="s">
        <v>858</v>
      </c>
      <c r="L218" s="97" t="s">
        <v>565</v>
      </c>
    </row>
    <row r="219" spans="9:12" x14ac:dyDescent="0.25">
      <c r="I219" s="95" t="s">
        <v>566</v>
      </c>
      <c r="J219" s="80"/>
      <c r="K219" s="80"/>
      <c r="L219" s="97"/>
    </row>
    <row r="220" spans="9:12" x14ac:dyDescent="0.25">
      <c r="I220" s="95" t="s">
        <v>567</v>
      </c>
      <c r="J220" s="80"/>
      <c r="K220" s="80"/>
      <c r="L220" s="97"/>
    </row>
    <row r="221" spans="9:12" x14ac:dyDescent="0.25">
      <c r="I221" s="95" t="s">
        <v>567</v>
      </c>
      <c r="J221" s="80" t="s">
        <v>266</v>
      </c>
      <c r="K221" s="80" t="s">
        <v>568</v>
      </c>
      <c r="L221" s="97">
        <v>468</v>
      </c>
    </row>
    <row r="222" spans="9:12" x14ac:dyDescent="0.25">
      <c r="I222" s="95" t="s">
        <v>569</v>
      </c>
      <c r="J222" s="80" t="s">
        <v>266</v>
      </c>
      <c r="K222" s="80" t="s">
        <v>859</v>
      </c>
      <c r="L222" s="97" t="s">
        <v>570</v>
      </c>
    </row>
    <row r="223" spans="9:12" x14ac:dyDescent="0.25">
      <c r="I223" s="95" t="s">
        <v>569</v>
      </c>
      <c r="J223" s="80" t="s">
        <v>262</v>
      </c>
      <c r="K223" s="80" t="s">
        <v>859</v>
      </c>
      <c r="L223" s="97" t="s">
        <v>571</v>
      </c>
    </row>
    <row r="224" spans="9:12" x14ac:dyDescent="0.25">
      <c r="I224" s="95" t="s">
        <v>572</v>
      </c>
      <c r="J224" s="80" t="s">
        <v>229</v>
      </c>
      <c r="K224" s="80" t="s">
        <v>860</v>
      </c>
      <c r="L224" s="97" t="s">
        <v>245</v>
      </c>
    </row>
    <row r="225" spans="9:12" x14ac:dyDescent="0.25">
      <c r="I225" s="95" t="s">
        <v>573</v>
      </c>
      <c r="J225" s="80"/>
      <c r="K225" s="80"/>
      <c r="L225" s="97"/>
    </row>
    <row r="226" spans="9:12" x14ac:dyDescent="0.25">
      <c r="I226" s="95" t="s">
        <v>573</v>
      </c>
      <c r="J226" s="80" t="s">
        <v>266</v>
      </c>
      <c r="K226" s="80" t="s">
        <v>574</v>
      </c>
      <c r="L226" s="97">
        <v>130.69999999999999</v>
      </c>
    </row>
    <row r="227" spans="9:12" x14ac:dyDescent="0.25">
      <c r="I227" s="95" t="s">
        <v>575</v>
      </c>
      <c r="J227" s="80" t="s">
        <v>229</v>
      </c>
      <c r="K227" s="80" t="s">
        <v>861</v>
      </c>
      <c r="L227" s="97" t="s">
        <v>576</v>
      </c>
    </row>
    <row r="228" spans="9:12" x14ac:dyDescent="0.25">
      <c r="I228" s="95" t="s">
        <v>577</v>
      </c>
      <c r="J228" s="80" t="s">
        <v>229</v>
      </c>
      <c r="K228" s="80" t="s">
        <v>578</v>
      </c>
      <c r="L228" s="97" t="s">
        <v>579</v>
      </c>
    </row>
    <row r="229" spans="9:12" x14ac:dyDescent="0.25">
      <c r="I229" s="95" t="s">
        <v>580</v>
      </c>
      <c r="J229" s="80" t="s">
        <v>229</v>
      </c>
      <c r="K229" s="80" t="s">
        <v>862</v>
      </c>
      <c r="L229" s="97" t="s">
        <v>581</v>
      </c>
    </row>
    <row r="230" spans="9:12" x14ac:dyDescent="0.25">
      <c r="I230" s="95"/>
      <c r="J230" s="80"/>
      <c r="K230" s="80"/>
      <c r="L230" s="97"/>
    </row>
    <row r="231" spans="9:12" x14ac:dyDescent="0.25">
      <c r="I231" s="95" t="s">
        <v>582</v>
      </c>
      <c r="J231" s="80"/>
      <c r="K231" s="80"/>
      <c r="L231" s="97"/>
    </row>
    <row r="232" spans="9:12" x14ac:dyDescent="0.25">
      <c r="I232" s="95"/>
      <c r="J232" s="80"/>
      <c r="K232" s="80"/>
      <c r="L232" s="97"/>
    </row>
    <row r="233" spans="9:12" x14ac:dyDescent="0.25">
      <c r="I233" s="95" t="s">
        <v>583</v>
      </c>
      <c r="J233" s="80" t="s">
        <v>117</v>
      </c>
      <c r="K233" s="80" t="s">
        <v>863</v>
      </c>
      <c r="L233" s="97" t="s">
        <v>748</v>
      </c>
    </row>
    <row r="234" spans="9:12" x14ac:dyDescent="0.25">
      <c r="I234" s="95" t="s">
        <v>584</v>
      </c>
      <c r="J234" s="80"/>
      <c r="K234" s="80"/>
      <c r="L234" s="97"/>
    </row>
    <row r="235" spans="9:12" x14ac:dyDescent="0.25">
      <c r="I235" s="95" t="s">
        <v>864</v>
      </c>
      <c r="J235" s="80" t="s">
        <v>585</v>
      </c>
      <c r="K235" s="80" t="s">
        <v>586</v>
      </c>
      <c r="L235" s="97" t="s">
        <v>587</v>
      </c>
    </row>
    <row r="236" spans="9:12" x14ac:dyDescent="0.25">
      <c r="I236" s="95" t="s">
        <v>865</v>
      </c>
      <c r="J236" s="80" t="s">
        <v>588</v>
      </c>
      <c r="K236" s="80" t="s">
        <v>589</v>
      </c>
      <c r="L236" s="97" t="s">
        <v>590</v>
      </c>
    </row>
    <row r="237" spans="9:12" x14ac:dyDescent="0.25">
      <c r="I237" s="95" t="s">
        <v>866</v>
      </c>
      <c r="J237" s="80" t="s">
        <v>591</v>
      </c>
      <c r="K237" s="80">
        <v>12.5</v>
      </c>
      <c r="L237" s="97">
        <v>52.5</v>
      </c>
    </row>
    <row r="238" spans="9:12" x14ac:dyDescent="0.25">
      <c r="I238" s="95" t="s">
        <v>867</v>
      </c>
      <c r="J238" s="80" t="s">
        <v>592</v>
      </c>
      <c r="K238" s="80">
        <v>54.2</v>
      </c>
      <c r="L238" s="97">
        <v>226.8</v>
      </c>
    </row>
    <row r="239" spans="9:12" x14ac:dyDescent="0.25">
      <c r="I239" s="95" t="s">
        <v>868</v>
      </c>
      <c r="J239" s="80" t="s">
        <v>593</v>
      </c>
      <c r="K239" s="80" t="s">
        <v>594</v>
      </c>
      <c r="L239" s="97" t="s">
        <v>595</v>
      </c>
    </row>
    <row r="240" spans="9:12" x14ac:dyDescent="0.25">
      <c r="I240" s="95" t="s">
        <v>869</v>
      </c>
      <c r="J240" s="80" t="s">
        <v>596</v>
      </c>
      <c r="K240" s="80" t="s">
        <v>597</v>
      </c>
      <c r="L240" s="97" t="s">
        <v>598</v>
      </c>
    </row>
    <row r="241" spans="9:12" x14ac:dyDescent="0.25">
      <c r="I241" s="95" t="s">
        <v>870</v>
      </c>
      <c r="J241" s="80" t="s">
        <v>599</v>
      </c>
      <c r="K241" s="80" t="s">
        <v>600</v>
      </c>
      <c r="L241" s="97" t="s">
        <v>601</v>
      </c>
    </row>
    <row r="242" spans="9:12" x14ac:dyDescent="0.25">
      <c r="I242" s="95" t="s">
        <v>871</v>
      </c>
      <c r="J242" s="80" t="s">
        <v>602</v>
      </c>
      <c r="K242" s="80" t="s">
        <v>603</v>
      </c>
      <c r="L242" s="97" t="s">
        <v>604</v>
      </c>
    </row>
    <row r="243" spans="9:12" x14ac:dyDescent="0.25">
      <c r="I243" s="95" t="s">
        <v>872</v>
      </c>
      <c r="J243" s="80" t="s">
        <v>605</v>
      </c>
      <c r="K243" s="80" t="s">
        <v>606</v>
      </c>
      <c r="L243" s="97" t="s">
        <v>607</v>
      </c>
    </row>
    <row r="244" spans="9:12" x14ac:dyDescent="0.25">
      <c r="I244" s="95" t="s">
        <v>873</v>
      </c>
      <c r="J244" s="80" t="s">
        <v>608</v>
      </c>
      <c r="K244" s="80" t="s">
        <v>609</v>
      </c>
      <c r="L244" s="97" t="s">
        <v>610</v>
      </c>
    </row>
    <row r="245" spans="9:12" x14ac:dyDescent="0.25">
      <c r="I245" s="95" t="s">
        <v>874</v>
      </c>
      <c r="J245" s="80" t="s">
        <v>611</v>
      </c>
      <c r="K245" s="80" t="s">
        <v>612</v>
      </c>
      <c r="L245" s="97" t="s">
        <v>613</v>
      </c>
    </row>
    <row r="246" spans="9:12" x14ac:dyDescent="0.25">
      <c r="I246" s="95" t="s">
        <v>875</v>
      </c>
      <c r="J246" s="80" t="s">
        <v>614</v>
      </c>
      <c r="K246" s="80" t="s">
        <v>615</v>
      </c>
      <c r="L246" s="97" t="s">
        <v>616</v>
      </c>
    </row>
    <row r="247" spans="9:12" x14ac:dyDescent="0.25">
      <c r="I247" s="95" t="s">
        <v>876</v>
      </c>
      <c r="J247" s="80"/>
      <c r="K247" s="80"/>
      <c r="L247" s="97"/>
    </row>
    <row r="248" spans="9:12" x14ac:dyDescent="0.25">
      <c r="I248" s="95" t="s">
        <v>869</v>
      </c>
      <c r="J248" s="80" t="s">
        <v>617</v>
      </c>
      <c r="K248" s="80" t="s">
        <v>618</v>
      </c>
      <c r="L248" s="97" t="s">
        <v>619</v>
      </c>
    </row>
    <row r="249" spans="9:12" x14ac:dyDescent="0.25">
      <c r="I249" s="95" t="s">
        <v>877</v>
      </c>
      <c r="J249" s="80"/>
      <c r="K249" s="80"/>
      <c r="L249" s="97"/>
    </row>
    <row r="250" spans="9:12" x14ac:dyDescent="0.25">
      <c r="I250" s="95" t="s">
        <v>870</v>
      </c>
      <c r="J250" s="80" t="s">
        <v>620</v>
      </c>
      <c r="K250" s="80" t="s">
        <v>621</v>
      </c>
      <c r="L250" s="97" t="s">
        <v>622</v>
      </c>
    </row>
    <row r="251" spans="9:12" x14ac:dyDescent="0.25">
      <c r="I251" s="95" t="s">
        <v>870</v>
      </c>
      <c r="J251" s="80" t="s">
        <v>623</v>
      </c>
      <c r="K251" s="80" t="s">
        <v>624</v>
      </c>
      <c r="L251" s="97" t="s">
        <v>625</v>
      </c>
    </row>
    <row r="252" spans="9:12" x14ac:dyDescent="0.25">
      <c r="I252" s="95" t="s">
        <v>878</v>
      </c>
      <c r="J252" s="80"/>
      <c r="K252" s="80"/>
      <c r="L252" s="97"/>
    </row>
    <row r="253" spans="9:12" x14ac:dyDescent="0.25">
      <c r="I253" s="95" t="s">
        <v>871</v>
      </c>
      <c r="J253" s="80" t="s">
        <v>626</v>
      </c>
      <c r="K253" s="80" t="s">
        <v>627</v>
      </c>
      <c r="L253" s="97" t="s">
        <v>306</v>
      </c>
    </row>
    <row r="254" spans="9:12" x14ac:dyDescent="0.25">
      <c r="I254" s="95" t="s">
        <v>871</v>
      </c>
      <c r="J254" s="80" t="s">
        <v>628</v>
      </c>
      <c r="K254" s="80" t="s">
        <v>629</v>
      </c>
      <c r="L254" s="97" t="s">
        <v>630</v>
      </c>
    </row>
    <row r="255" spans="9:12" x14ac:dyDescent="0.25">
      <c r="I255" s="95" t="s">
        <v>871</v>
      </c>
      <c r="J255" s="80" t="s">
        <v>631</v>
      </c>
      <c r="K255" s="80" t="s">
        <v>632</v>
      </c>
      <c r="L255" s="97" t="s">
        <v>633</v>
      </c>
    </row>
    <row r="256" spans="9:12" x14ac:dyDescent="0.25">
      <c r="I256" s="95" t="s">
        <v>871</v>
      </c>
      <c r="J256" s="80" t="s">
        <v>634</v>
      </c>
      <c r="K256" s="80" t="s">
        <v>635</v>
      </c>
      <c r="L256" s="97" t="s">
        <v>636</v>
      </c>
    </row>
    <row r="257" spans="9:12" x14ac:dyDescent="0.25">
      <c r="I257" s="95" t="s">
        <v>879</v>
      </c>
      <c r="J257" s="80"/>
      <c r="K257" s="80"/>
      <c r="L257" s="97"/>
    </row>
    <row r="258" spans="9:12" x14ac:dyDescent="0.25">
      <c r="I258" s="95" t="s">
        <v>872</v>
      </c>
      <c r="J258" s="80" t="s">
        <v>637</v>
      </c>
      <c r="K258" s="80" t="s">
        <v>638</v>
      </c>
      <c r="L258" s="97" t="s">
        <v>639</v>
      </c>
    </row>
    <row r="259" spans="9:12" x14ac:dyDescent="0.25">
      <c r="I259" s="95" t="s">
        <v>872</v>
      </c>
      <c r="J259" s="80" t="s">
        <v>640</v>
      </c>
      <c r="K259" s="80" t="s">
        <v>641</v>
      </c>
      <c r="L259" s="97" t="s">
        <v>642</v>
      </c>
    </row>
    <row r="260" spans="9:12" x14ac:dyDescent="0.25">
      <c r="I260" s="95" t="s">
        <v>872</v>
      </c>
      <c r="J260" s="80" t="s">
        <v>643</v>
      </c>
      <c r="K260" s="80" t="s">
        <v>644</v>
      </c>
      <c r="L260" s="97" t="s">
        <v>645</v>
      </c>
    </row>
    <row r="261" spans="9:12" x14ac:dyDescent="0.25">
      <c r="I261" s="95" t="s">
        <v>872</v>
      </c>
      <c r="J261" s="80" t="s">
        <v>646</v>
      </c>
      <c r="K261" s="80" t="s">
        <v>647</v>
      </c>
      <c r="L261" s="97" t="s">
        <v>648</v>
      </c>
    </row>
    <row r="262" spans="9:12" x14ac:dyDescent="0.25">
      <c r="I262" s="95" t="s">
        <v>872</v>
      </c>
      <c r="J262" s="80" t="s">
        <v>649</v>
      </c>
      <c r="K262" s="80" t="s">
        <v>650</v>
      </c>
      <c r="L262" s="97" t="s">
        <v>651</v>
      </c>
    </row>
    <row r="263" spans="9:12" x14ac:dyDescent="0.25">
      <c r="I263" s="95" t="s">
        <v>872</v>
      </c>
      <c r="J263" s="80" t="s">
        <v>652</v>
      </c>
      <c r="K263" s="80" t="s">
        <v>653</v>
      </c>
      <c r="L263" s="97" t="s">
        <v>654</v>
      </c>
    </row>
    <row r="264" spans="9:12" x14ac:dyDescent="0.25">
      <c r="I264" s="95" t="s">
        <v>872</v>
      </c>
      <c r="J264" s="80" t="s">
        <v>655</v>
      </c>
      <c r="K264" s="80" t="s">
        <v>656</v>
      </c>
      <c r="L264" s="97" t="s">
        <v>657</v>
      </c>
    </row>
    <row r="265" spans="9:12" x14ac:dyDescent="0.25">
      <c r="I265" s="95" t="s">
        <v>872</v>
      </c>
      <c r="J265" s="80" t="s">
        <v>658</v>
      </c>
      <c r="K265" s="80" t="s">
        <v>659</v>
      </c>
      <c r="L265" s="97" t="s">
        <v>660</v>
      </c>
    </row>
    <row r="266" spans="9:12" x14ac:dyDescent="0.25">
      <c r="I266" s="95" t="s">
        <v>880</v>
      </c>
      <c r="J266" s="80"/>
      <c r="K266" s="80"/>
      <c r="L266" s="97"/>
    </row>
    <row r="267" spans="9:12" x14ac:dyDescent="0.25">
      <c r="I267" s="95" t="s">
        <v>873</v>
      </c>
      <c r="J267" s="80" t="s">
        <v>661</v>
      </c>
      <c r="K267" s="80" t="s">
        <v>662</v>
      </c>
      <c r="L267" s="97" t="s">
        <v>663</v>
      </c>
    </row>
    <row r="268" spans="9:12" x14ac:dyDescent="0.25">
      <c r="I268" s="95" t="s">
        <v>873</v>
      </c>
      <c r="J268" s="80" t="s">
        <v>664</v>
      </c>
      <c r="K268" s="80" t="s">
        <v>665</v>
      </c>
      <c r="L268" s="97" t="s">
        <v>666</v>
      </c>
    </row>
    <row r="269" spans="9:12" x14ac:dyDescent="0.25">
      <c r="I269" s="95" t="s">
        <v>873</v>
      </c>
      <c r="J269" s="80" t="s">
        <v>667</v>
      </c>
      <c r="K269" s="80" t="s">
        <v>668</v>
      </c>
      <c r="L269" s="97" t="s">
        <v>669</v>
      </c>
    </row>
    <row r="270" spans="9:12" x14ac:dyDescent="0.25">
      <c r="I270" s="95" t="s">
        <v>873</v>
      </c>
      <c r="J270" s="80" t="s">
        <v>670</v>
      </c>
      <c r="K270" s="80" t="s">
        <v>671</v>
      </c>
      <c r="L270" s="97" t="s">
        <v>672</v>
      </c>
    </row>
    <row r="271" spans="9:12" x14ac:dyDescent="0.25">
      <c r="I271" s="95" t="s">
        <v>873</v>
      </c>
      <c r="J271" s="80" t="s">
        <v>673</v>
      </c>
      <c r="K271" s="80" t="s">
        <v>674</v>
      </c>
      <c r="L271" s="97" t="s">
        <v>675</v>
      </c>
    </row>
    <row r="272" spans="9:12" x14ac:dyDescent="0.25">
      <c r="I272" s="95" t="s">
        <v>873</v>
      </c>
      <c r="J272" s="80" t="s">
        <v>676</v>
      </c>
      <c r="K272" s="80" t="s">
        <v>677</v>
      </c>
      <c r="L272" s="97" t="s">
        <v>678</v>
      </c>
    </row>
    <row r="273" spans="9:12" x14ac:dyDescent="0.25">
      <c r="I273" s="95" t="s">
        <v>873</v>
      </c>
      <c r="J273" s="80" t="s">
        <v>679</v>
      </c>
      <c r="K273" s="80" t="s">
        <v>677</v>
      </c>
      <c r="L273" s="97" t="s">
        <v>678</v>
      </c>
    </row>
    <row r="274" spans="9:12" x14ac:dyDescent="0.25">
      <c r="I274" s="95" t="s">
        <v>873</v>
      </c>
      <c r="J274" s="80" t="s">
        <v>680</v>
      </c>
      <c r="K274" s="80" t="s">
        <v>681</v>
      </c>
      <c r="L274" s="97" t="s">
        <v>682</v>
      </c>
    </row>
    <row r="275" spans="9:12" x14ac:dyDescent="0.25">
      <c r="I275" s="95" t="s">
        <v>873</v>
      </c>
      <c r="J275" s="80" t="s">
        <v>683</v>
      </c>
      <c r="K275" s="80" t="s">
        <v>684</v>
      </c>
      <c r="L275" s="97" t="s">
        <v>685</v>
      </c>
    </row>
    <row r="276" spans="9:12" x14ac:dyDescent="0.25">
      <c r="I276" s="95" t="s">
        <v>873</v>
      </c>
      <c r="J276" s="80" t="s">
        <v>686</v>
      </c>
      <c r="K276" s="80" t="s">
        <v>687</v>
      </c>
      <c r="L276" s="97" t="s">
        <v>688</v>
      </c>
    </row>
    <row r="277" spans="9:12" x14ac:dyDescent="0.25">
      <c r="I277" s="95" t="s">
        <v>873</v>
      </c>
      <c r="J277" s="80" t="s">
        <v>689</v>
      </c>
      <c r="K277" s="80" t="s">
        <v>690</v>
      </c>
      <c r="L277" s="97" t="s">
        <v>691</v>
      </c>
    </row>
    <row r="278" spans="9:12" x14ac:dyDescent="0.25">
      <c r="I278" s="95" t="s">
        <v>873</v>
      </c>
      <c r="J278" s="80" t="s">
        <v>692</v>
      </c>
      <c r="K278" s="80" t="s">
        <v>693</v>
      </c>
      <c r="L278" s="97" t="s">
        <v>694</v>
      </c>
    </row>
    <row r="279" spans="9:12" x14ac:dyDescent="0.25">
      <c r="I279" s="95" t="s">
        <v>873</v>
      </c>
      <c r="J279" s="80" t="s">
        <v>695</v>
      </c>
      <c r="K279" s="80" t="s">
        <v>696</v>
      </c>
      <c r="L279" s="97" t="s">
        <v>697</v>
      </c>
    </row>
    <row r="280" spans="9:12" x14ac:dyDescent="0.25">
      <c r="I280" s="95" t="s">
        <v>873</v>
      </c>
      <c r="J280" s="80" t="s">
        <v>698</v>
      </c>
      <c r="K280" s="80" t="s">
        <v>699</v>
      </c>
      <c r="L280" s="97" t="s">
        <v>700</v>
      </c>
    </row>
    <row r="281" spans="9:12" x14ac:dyDescent="0.25">
      <c r="I281" s="95" t="s">
        <v>873</v>
      </c>
      <c r="J281" s="80" t="s">
        <v>701</v>
      </c>
      <c r="K281" s="80" t="s">
        <v>702</v>
      </c>
      <c r="L281" s="97" t="s">
        <v>703</v>
      </c>
    </row>
    <row r="282" spans="9:12" x14ac:dyDescent="0.25">
      <c r="I282" s="95" t="s">
        <v>873</v>
      </c>
      <c r="J282" s="80" t="s">
        <v>704</v>
      </c>
      <c r="K282" s="80" t="s">
        <v>705</v>
      </c>
      <c r="L282" s="97" t="s">
        <v>705</v>
      </c>
    </row>
    <row r="283" spans="9:12" x14ac:dyDescent="0.25">
      <c r="I283" s="95" t="s">
        <v>873</v>
      </c>
      <c r="J283" s="80" t="s">
        <v>706</v>
      </c>
      <c r="K283" s="80" t="s">
        <v>705</v>
      </c>
      <c r="L283" s="97" t="s">
        <v>705</v>
      </c>
    </row>
    <row r="284" spans="9:12" x14ac:dyDescent="0.25">
      <c r="I284" s="95" t="s">
        <v>881</v>
      </c>
      <c r="J284" s="80"/>
      <c r="K284" s="80"/>
      <c r="L284" s="97"/>
    </row>
    <row r="285" spans="9:12" x14ac:dyDescent="0.25">
      <c r="I285" s="95" t="s">
        <v>874</v>
      </c>
      <c r="J285" s="80" t="s">
        <v>707</v>
      </c>
      <c r="K285" s="80" t="s">
        <v>708</v>
      </c>
      <c r="L285" s="97" t="s">
        <v>709</v>
      </c>
    </row>
    <row r="286" spans="9:12" x14ac:dyDescent="0.25">
      <c r="I286" s="95" t="s">
        <v>874</v>
      </c>
      <c r="J286" s="80" t="s">
        <v>710</v>
      </c>
      <c r="K286" s="80" t="s">
        <v>711</v>
      </c>
      <c r="L286" s="97" t="s">
        <v>712</v>
      </c>
    </row>
    <row r="287" spans="9:12" x14ac:dyDescent="0.25">
      <c r="I287" s="95" t="s">
        <v>874</v>
      </c>
      <c r="J287" s="80" t="s">
        <v>713</v>
      </c>
      <c r="K287" s="80" t="s">
        <v>714</v>
      </c>
      <c r="L287" s="97" t="s">
        <v>715</v>
      </c>
    </row>
    <row r="288" spans="9:12" x14ac:dyDescent="0.25">
      <c r="I288" s="95" t="s">
        <v>874</v>
      </c>
      <c r="J288" s="80" t="s">
        <v>716</v>
      </c>
      <c r="K288" s="80" t="s">
        <v>717</v>
      </c>
      <c r="L288" s="97" t="s">
        <v>718</v>
      </c>
    </row>
    <row r="289" spans="9:12" x14ac:dyDescent="0.25">
      <c r="I289" s="95" t="s">
        <v>874</v>
      </c>
      <c r="J289" s="80" t="s">
        <v>719</v>
      </c>
      <c r="K289" s="80" t="s">
        <v>720</v>
      </c>
      <c r="L289" s="97" t="s">
        <v>721</v>
      </c>
    </row>
    <row r="290" spans="9:12" x14ac:dyDescent="0.25">
      <c r="I290" s="95"/>
      <c r="J290" s="80"/>
      <c r="K290" s="80"/>
      <c r="L290" s="97"/>
    </row>
    <row r="291" spans="9:12" x14ac:dyDescent="0.25">
      <c r="I291" s="95" t="s">
        <v>722</v>
      </c>
      <c r="J291" s="80"/>
      <c r="K291" s="80"/>
      <c r="L291" s="97"/>
    </row>
    <row r="292" spans="9:12" x14ac:dyDescent="0.25">
      <c r="I292" s="95"/>
      <c r="J292" s="80"/>
      <c r="K292" s="80"/>
      <c r="L292" s="97"/>
    </row>
    <row r="293" spans="9:12" x14ac:dyDescent="0.25">
      <c r="I293" s="95" t="s">
        <v>225</v>
      </c>
      <c r="J293" s="80" t="s">
        <v>226</v>
      </c>
      <c r="K293" s="80" t="s">
        <v>227</v>
      </c>
      <c r="L293" s="97" t="s">
        <v>748</v>
      </c>
    </row>
    <row r="294" spans="9:12" x14ac:dyDescent="0.25">
      <c r="I294" s="95" t="s">
        <v>723</v>
      </c>
      <c r="J294" s="80" t="s">
        <v>262</v>
      </c>
      <c r="K294" s="80" t="s">
        <v>882</v>
      </c>
      <c r="L294" s="97" t="s">
        <v>724</v>
      </c>
    </row>
    <row r="295" spans="9:12" x14ac:dyDescent="0.25">
      <c r="I295" s="95" t="s">
        <v>725</v>
      </c>
      <c r="J295" s="80" t="s">
        <v>262</v>
      </c>
      <c r="K295" s="80" t="s">
        <v>883</v>
      </c>
      <c r="L295" s="97">
        <v>48.95</v>
      </c>
    </row>
    <row r="296" spans="9:12" x14ac:dyDescent="0.25">
      <c r="I296" s="95" t="s">
        <v>726</v>
      </c>
      <c r="J296" s="80" t="s">
        <v>229</v>
      </c>
      <c r="K296" s="80" t="s">
        <v>884</v>
      </c>
      <c r="L296" s="97" t="s">
        <v>727</v>
      </c>
    </row>
    <row r="297" spans="9:12" x14ac:dyDescent="0.25">
      <c r="I297" s="95" t="s">
        <v>728</v>
      </c>
      <c r="J297" s="80" t="s">
        <v>262</v>
      </c>
      <c r="K297" s="80" t="s">
        <v>885</v>
      </c>
      <c r="L297" s="97" t="s">
        <v>729</v>
      </c>
    </row>
    <row r="298" spans="9:12" x14ac:dyDescent="0.25">
      <c r="I298" s="95" t="s">
        <v>728</v>
      </c>
      <c r="J298" s="80" t="s">
        <v>266</v>
      </c>
      <c r="K298" s="80" t="s">
        <v>885</v>
      </c>
      <c r="L298" s="97" t="s">
        <v>730</v>
      </c>
    </row>
    <row r="299" spans="9:12" x14ac:dyDescent="0.25">
      <c r="I299" s="95" t="s">
        <v>731</v>
      </c>
      <c r="J299" s="80" t="s">
        <v>262</v>
      </c>
      <c r="K299" s="80" t="s">
        <v>886</v>
      </c>
      <c r="L299" s="97" t="s">
        <v>732</v>
      </c>
    </row>
    <row r="300" spans="9:12" x14ac:dyDescent="0.25">
      <c r="I300" s="95" t="s">
        <v>731</v>
      </c>
      <c r="J300" s="80" t="s">
        <v>266</v>
      </c>
      <c r="K300" s="80" t="s">
        <v>886</v>
      </c>
      <c r="L300" s="97" t="s">
        <v>733</v>
      </c>
    </row>
    <row r="301" spans="9:12" x14ac:dyDescent="0.25">
      <c r="I301" s="95" t="s">
        <v>734</v>
      </c>
      <c r="J301" s="80" t="s">
        <v>229</v>
      </c>
      <c r="K301" s="80" t="s">
        <v>887</v>
      </c>
      <c r="L301" s="97" t="s">
        <v>735</v>
      </c>
    </row>
    <row r="302" spans="9:12" x14ac:dyDescent="0.25">
      <c r="I302" s="95" t="s">
        <v>736</v>
      </c>
      <c r="J302" s="80" t="s">
        <v>266</v>
      </c>
      <c r="K302" s="80" t="s">
        <v>888</v>
      </c>
      <c r="L302" s="97" t="s">
        <v>737</v>
      </c>
    </row>
    <row r="303" spans="9:12" x14ac:dyDescent="0.25">
      <c r="I303" s="95" t="s">
        <v>738</v>
      </c>
      <c r="J303" s="80" t="s">
        <v>262</v>
      </c>
      <c r="K303" s="80" t="s">
        <v>889</v>
      </c>
      <c r="L303" s="97" t="s">
        <v>739</v>
      </c>
    </row>
    <row r="304" spans="9:12" x14ac:dyDescent="0.25">
      <c r="I304" s="95" t="s">
        <v>738</v>
      </c>
      <c r="J304" s="80" t="s">
        <v>266</v>
      </c>
      <c r="K304" s="80" t="s">
        <v>889</v>
      </c>
      <c r="L304" s="97" t="s">
        <v>740</v>
      </c>
    </row>
    <row r="305" spans="9:12" x14ac:dyDescent="0.25">
      <c r="I305" s="95" t="s">
        <v>890</v>
      </c>
      <c r="J305" s="80" t="s">
        <v>266</v>
      </c>
      <c r="K305" s="80" t="s">
        <v>891</v>
      </c>
      <c r="L305" s="97" t="s">
        <v>741</v>
      </c>
    </row>
    <row r="306" spans="9:12" x14ac:dyDescent="0.25">
      <c r="I306" s="95" t="s">
        <v>742</v>
      </c>
      <c r="J306" s="80" t="s">
        <v>229</v>
      </c>
      <c r="K306" s="80" t="s">
        <v>892</v>
      </c>
      <c r="L306" s="97" t="s">
        <v>743</v>
      </c>
    </row>
    <row r="307" spans="9:12" x14ac:dyDescent="0.25">
      <c r="I307" s="95" t="s">
        <v>893</v>
      </c>
      <c r="J307" s="80" t="s">
        <v>262</v>
      </c>
      <c r="K307" s="80" t="s">
        <v>894</v>
      </c>
      <c r="L307" s="97" t="s">
        <v>744</v>
      </c>
    </row>
    <row r="308" spans="9:12" x14ac:dyDescent="0.25">
      <c r="I308" s="95" t="s">
        <v>893</v>
      </c>
      <c r="J308" s="80" t="s">
        <v>266</v>
      </c>
      <c r="K308" s="80" t="s">
        <v>894</v>
      </c>
      <c r="L308" s="97" t="s">
        <v>745</v>
      </c>
    </row>
    <row r="309" spans="9:12" ht="15.75" thickBot="1" x14ac:dyDescent="0.3">
      <c r="I309" s="99" t="s">
        <v>746</v>
      </c>
      <c r="J309" s="107" t="s">
        <v>229</v>
      </c>
      <c r="K309" s="107" t="s">
        <v>895</v>
      </c>
      <c r="L309" s="101" t="s">
        <v>747</v>
      </c>
    </row>
  </sheetData>
  <autoFilter ref="I6:L229" xr:uid="{511B7530-FC82-4268-9AA5-429C0ABFB3AB}"/>
  <mergeCells count="5">
    <mergeCell ref="I2:L3"/>
    <mergeCell ref="E9:G10"/>
    <mergeCell ref="B9:C10"/>
    <mergeCell ref="B22:D23"/>
    <mergeCell ref="C35:E35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0F06A-46FB-49F0-A712-88A80042FD6B}">
  <dimension ref="A1:Z149"/>
  <sheetViews>
    <sheetView showGridLines="0" zoomScale="85" zoomScaleNormal="85" workbookViewId="0">
      <selection activeCell="K24" sqref="K24"/>
    </sheetView>
  </sheetViews>
  <sheetFormatPr defaultRowHeight="15" x14ac:dyDescent="0.25"/>
  <cols>
    <col min="1" max="1" width="4.7109375" style="7" customWidth="1"/>
    <col min="4" max="4" width="3.85546875" customWidth="1"/>
    <col min="5" max="5" width="10.42578125" customWidth="1"/>
    <col min="6" max="6" width="10" customWidth="1"/>
    <col min="7" max="7" width="18.140625" bestFit="1" customWidth="1"/>
    <col min="9" max="9" width="20.7109375" bestFit="1" customWidth="1"/>
    <col min="10" max="10" width="11" bestFit="1" customWidth="1"/>
    <col min="25" max="25" width="10.5703125" bestFit="1" customWidth="1"/>
  </cols>
  <sheetData>
    <row r="1" spans="2:18" ht="9" customHeight="1" thickBot="1" x14ac:dyDescent="0.3"/>
    <row r="2" spans="2:18" ht="18.75" x14ac:dyDescent="0.3">
      <c r="B2" s="195" t="s">
        <v>69</v>
      </c>
      <c r="C2" s="195"/>
      <c r="D2" s="195"/>
      <c r="E2" s="195"/>
      <c r="F2" s="195"/>
      <c r="G2" s="195"/>
      <c r="I2" s="43"/>
      <c r="J2" s="44"/>
      <c r="K2" s="44"/>
      <c r="L2" s="44"/>
      <c r="M2" s="44"/>
      <c r="N2" s="44"/>
      <c r="O2" s="44"/>
      <c r="P2" s="44"/>
      <c r="Q2" s="44"/>
      <c r="R2" s="45"/>
    </row>
    <row r="3" spans="2:18" ht="7.5" customHeight="1" x14ac:dyDescent="0.25">
      <c r="I3" s="46"/>
      <c r="J3" s="24"/>
      <c r="K3" s="24"/>
      <c r="L3" s="24"/>
      <c r="M3" s="24"/>
      <c r="N3" s="24"/>
      <c r="O3" s="24"/>
      <c r="P3" s="24"/>
      <c r="Q3" s="24"/>
      <c r="R3" s="47"/>
    </row>
    <row r="4" spans="2:18" ht="15.75" thickBot="1" x14ac:dyDescent="0.3">
      <c r="B4" s="17"/>
      <c r="F4" s="13" t="s">
        <v>77</v>
      </c>
      <c r="G4" s="20" t="s">
        <v>897</v>
      </c>
      <c r="I4" s="46"/>
      <c r="J4" s="24"/>
      <c r="K4" s="24"/>
      <c r="L4" s="24"/>
      <c r="M4" s="24"/>
      <c r="N4" s="24"/>
      <c r="O4" s="24"/>
      <c r="P4" s="24"/>
      <c r="Q4" s="24"/>
      <c r="R4" s="47"/>
    </row>
    <row r="5" spans="2:18" ht="15.75" thickBot="1" x14ac:dyDescent="0.3">
      <c r="B5" s="196"/>
      <c r="C5" s="197"/>
      <c r="D5" s="42"/>
      <c r="F5" s="13" t="s">
        <v>78</v>
      </c>
      <c r="G5" s="21" t="s">
        <v>112</v>
      </c>
      <c r="I5" s="46"/>
      <c r="J5" s="24"/>
      <c r="K5" s="24"/>
      <c r="L5" s="24"/>
      <c r="M5" s="24"/>
      <c r="N5" s="24"/>
      <c r="O5" s="24"/>
      <c r="P5" s="24"/>
      <c r="Q5" s="24"/>
      <c r="R5" s="47"/>
    </row>
    <row r="6" spans="2:18" ht="7.5" customHeight="1" x14ac:dyDescent="0.25">
      <c r="I6" s="46"/>
      <c r="J6" s="24"/>
      <c r="K6" s="24"/>
      <c r="L6" s="24"/>
      <c r="M6" s="24"/>
      <c r="N6" s="24"/>
      <c r="O6" s="24"/>
      <c r="P6" s="24"/>
      <c r="Q6" s="24"/>
      <c r="R6" s="47"/>
    </row>
    <row r="7" spans="2:18" x14ac:dyDescent="0.25">
      <c r="B7" s="198" t="s">
        <v>22</v>
      </c>
      <c r="C7" s="198"/>
      <c r="E7" s="198" t="s">
        <v>39</v>
      </c>
      <c r="F7" s="198"/>
      <c r="G7" s="198"/>
      <c r="I7" s="46"/>
      <c r="J7" s="24"/>
      <c r="K7" s="24"/>
      <c r="L7" s="24"/>
      <c r="M7" s="24"/>
      <c r="N7" s="24"/>
      <c r="O7" s="24"/>
      <c r="P7" s="24"/>
      <c r="Q7" s="24"/>
      <c r="R7" s="47"/>
    </row>
    <row r="8" spans="2:18" ht="18" x14ac:dyDescent="0.25">
      <c r="B8" s="1" t="s">
        <v>63</v>
      </c>
      <c r="C8" s="11">
        <v>1</v>
      </c>
      <c r="E8" s="8" t="s">
        <v>40</v>
      </c>
      <c r="G8" s="11"/>
      <c r="I8" s="46"/>
      <c r="J8" s="24"/>
      <c r="K8" s="24"/>
      <c r="L8" s="24"/>
      <c r="M8" s="24"/>
      <c r="N8" s="24"/>
      <c r="O8" s="24"/>
      <c r="P8" s="24"/>
      <c r="Q8" s="24"/>
      <c r="R8" s="47"/>
    </row>
    <row r="9" spans="2:18" ht="18" x14ac:dyDescent="0.25">
      <c r="B9" s="5" t="s">
        <v>23</v>
      </c>
      <c r="C9" s="11"/>
      <c r="E9" s="8" t="s">
        <v>41</v>
      </c>
      <c r="G9" s="11"/>
      <c r="I9" s="46"/>
      <c r="J9" s="24"/>
      <c r="K9" s="24"/>
      <c r="L9" s="24"/>
      <c r="M9" s="24"/>
      <c r="N9" s="24"/>
      <c r="O9" s="24"/>
      <c r="P9" s="24"/>
      <c r="Q9" s="24"/>
      <c r="R9" s="47"/>
    </row>
    <row r="10" spans="2:18" ht="15.75" customHeight="1" x14ac:dyDescent="0.25">
      <c r="B10" s="5" t="s">
        <v>24</v>
      </c>
      <c r="C10" s="11"/>
      <c r="E10" s="8" t="s">
        <v>42</v>
      </c>
      <c r="G10" s="11"/>
      <c r="I10" s="46"/>
      <c r="J10" s="24"/>
      <c r="K10" s="24"/>
      <c r="L10" s="24"/>
      <c r="M10" s="24"/>
      <c r="N10" s="24"/>
      <c r="O10" s="24"/>
      <c r="P10" s="24"/>
      <c r="Q10" s="24"/>
      <c r="R10" s="47"/>
    </row>
    <row r="11" spans="2:18" x14ac:dyDescent="0.25">
      <c r="B11" s="5" t="s">
        <v>25</v>
      </c>
      <c r="C11" s="11"/>
      <c r="E11" s="8" t="s">
        <v>43</v>
      </c>
      <c r="G11" s="11"/>
      <c r="I11" s="46"/>
      <c r="J11" s="24"/>
      <c r="K11" s="24"/>
      <c r="L11" s="24"/>
      <c r="M11" s="24"/>
      <c r="N11" s="24"/>
      <c r="O11" s="24"/>
      <c r="P11" s="24"/>
      <c r="Q11" s="24"/>
      <c r="R11" s="47"/>
    </row>
    <row r="12" spans="2:18" ht="18" x14ac:dyDescent="0.25">
      <c r="B12" s="1" t="s">
        <v>111</v>
      </c>
      <c r="C12" s="11"/>
      <c r="E12" s="8" t="s">
        <v>44</v>
      </c>
      <c r="G12" s="11"/>
      <c r="I12" s="46"/>
      <c r="J12" s="24"/>
      <c r="K12" s="24"/>
      <c r="L12" s="24"/>
      <c r="M12" s="24"/>
      <c r="N12" s="24"/>
      <c r="O12" s="24"/>
      <c r="P12" s="24"/>
      <c r="Q12" s="24"/>
      <c r="R12" s="47"/>
    </row>
    <row r="13" spans="2:18" x14ac:dyDescent="0.25">
      <c r="B13" s="5" t="s">
        <v>26</v>
      </c>
      <c r="C13" s="11"/>
      <c r="E13" s="8" t="s">
        <v>45</v>
      </c>
      <c r="G13" s="11"/>
      <c r="I13" s="46"/>
      <c r="J13" s="24"/>
      <c r="K13" s="24"/>
      <c r="L13" s="24"/>
      <c r="M13" s="24"/>
      <c r="N13" s="24"/>
      <c r="O13" s="24"/>
      <c r="P13" s="24"/>
      <c r="Q13" s="24"/>
      <c r="R13" s="47"/>
    </row>
    <row r="14" spans="2:18" x14ac:dyDescent="0.25">
      <c r="B14" s="5" t="s">
        <v>27</v>
      </c>
      <c r="C14" s="11"/>
      <c r="E14" s="8" t="s">
        <v>46</v>
      </c>
      <c r="G14" s="11"/>
      <c r="I14" s="46"/>
      <c r="J14" s="24"/>
      <c r="K14" s="24"/>
      <c r="L14" s="24"/>
      <c r="M14" s="24"/>
      <c r="N14" s="24"/>
      <c r="O14" s="24"/>
      <c r="P14" s="24"/>
      <c r="Q14" s="24"/>
      <c r="R14" s="47"/>
    </row>
    <row r="15" spans="2:18" x14ac:dyDescent="0.25">
      <c r="B15" s="5" t="s">
        <v>29</v>
      </c>
      <c r="C15" s="11">
        <v>3</v>
      </c>
      <c r="E15" s="8" t="s">
        <v>47</v>
      </c>
      <c r="G15" s="11">
        <v>1</v>
      </c>
      <c r="I15" s="46"/>
      <c r="J15" s="48"/>
      <c r="K15" s="48"/>
      <c r="L15" s="48"/>
      <c r="M15" s="48"/>
      <c r="N15" s="48"/>
      <c r="O15" s="48"/>
      <c r="P15" s="24"/>
      <c r="Q15" s="24"/>
      <c r="R15" s="47"/>
    </row>
    <row r="16" spans="2:18" x14ac:dyDescent="0.25">
      <c r="B16" s="5" t="s">
        <v>30</v>
      </c>
      <c r="C16" s="11"/>
      <c r="E16" s="8" t="s">
        <v>48</v>
      </c>
      <c r="G16" s="11"/>
      <c r="I16" s="46"/>
      <c r="J16" s="24"/>
      <c r="K16" s="24"/>
      <c r="L16" s="24"/>
      <c r="M16" s="24"/>
      <c r="N16" s="24"/>
      <c r="O16" s="24"/>
      <c r="P16" s="24"/>
      <c r="Q16" s="24"/>
      <c r="R16" s="47"/>
    </row>
    <row r="17" spans="2:18" x14ac:dyDescent="0.25">
      <c r="B17" s="5" t="s">
        <v>31</v>
      </c>
      <c r="C17" s="11"/>
      <c r="E17" s="9" t="s">
        <v>61</v>
      </c>
      <c r="G17" s="11"/>
      <c r="I17" s="46"/>
      <c r="J17" s="24"/>
      <c r="K17" s="24"/>
      <c r="L17" s="24"/>
      <c r="M17" s="24"/>
      <c r="N17" s="24"/>
      <c r="O17" s="24"/>
      <c r="P17" s="24"/>
      <c r="Q17" s="24"/>
      <c r="R17" s="47"/>
    </row>
    <row r="18" spans="2:18" ht="15.75" thickBot="1" x14ac:dyDescent="0.3">
      <c r="B18" s="198" t="s">
        <v>32</v>
      </c>
      <c r="C18" s="198"/>
      <c r="E18" s="198" t="s">
        <v>50</v>
      </c>
      <c r="F18" s="198"/>
      <c r="G18" s="198"/>
      <c r="I18" s="49"/>
      <c r="J18" s="50"/>
      <c r="K18" s="50"/>
      <c r="L18" s="50"/>
      <c r="M18" s="50"/>
      <c r="N18" s="50"/>
      <c r="O18" s="50"/>
      <c r="P18" s="50"/>
      <c r="Q18" s="50"/>
      <c r="R18" s="51"/>
    </row>
    <row r="19" spans="2:18" ht="18" x14ac:dyDescent="0.25">
      <c r="B19" s="5" t="s">
        <v>23</v>
      </c>
      <c r="C19" s="11"/>
      <c r="E19" s="9" t="s">
        <v>64</v>
      </c>
      <c r="G19" s="11"/>
    </row>
    <row r="20" spans="2:18" x14ac:dyDescent="0.25">
      <c r="B20" s="5" t="s">
        <v>24</v>
      </c>
      <c r="C20" s="11"/>
      <c r="E20" s="8" t="s">
        <v>51</v>
      </c>
      <c r="G20" s="11"/>
    </row>
    <row r="21" spans="2:18" x14ac:dyDescent="0.25">
      <c r="B21" s="5" t="s">
        <v>25</v>
      </c>
      <c r="C21" s="11"/>
      <c r="E21" s="8" t="s">
        <v>52</v>
      </c>
      <c r="G21" s="11"/>
    </row>
    <row r="22" spans="2:18" x14ac:dyDescent="0.25">
      <c r="B22" s="5" t="s">
        <v>26</v>
      </c>
      <c r="C22" s="11">
        <v>3</v>
      </c>
      <c r="E22" s="8" t="s">
        <v>53</v>
      </c>
      <c r="G22" s="11"/>
    </row>
    <row r="23" spans="2:18" x14ac:dyDescent="0.25">
      <c r="B23" s="5" t="s">
        <v>27</v>
      </c>
      <c r="C23" s="11"/>
      <c r="E23" s="8" t="s">
        <v>54</v>
      </c>
      <c r="G23" s="11"/>
    </row>
    <row r="24" spans="2:18" x14ac:dyDescent="0.25">
      <c r="B24" s="199" t="s">
        <v>34</v>
      </c>
      <c r="C24" s="199"/>
      <c r="E24" s="8" t="s">
        <v>55</v>
      </c>
      <c r="G24" s="11"/>
    </row>
    <row r="25" spans="2:18" x14ac:dyDescent="0.25">
      <c r="B25" s="8" t="s">
        <v>35</v>
      </c>
      <c r="C25" s="11"/>
      <c r="E25" s="9" t="s">
        <v>62</v>
      </c>
      <c r="G25" s="11"/>
    </row>
    <row r="26" spans="2:18" x14ac:dyDescent="0.25">
      <c r="B26" s="8" t="s">
        <v>36</v>
      </c>
      <c r="C26" s="11"/>
      <c r="E26" s="8" t="s">
        <v>56</v>
      </c>
      <c r="G26" s="11"/>
    </row>
    <row r="27" spans="2:18" ht="30" x14ac:dyDescent="0.4">
      <c r="B27" s="8" t="s">
        <v>37</v>
      </c>
      <c r="C27" s="11"/>
      <c r="E27" s="9" t="s">
        <v>65</v>
      </c>
      <c r="G27" s="11">
        <v>1</v>
      </c>
      <c r="I27" s="72"/>
    </row>
    <row r="28" spans="2:18" x14ac:dyDescent="0.25">
      <c r="B28" s="8" t="s">
        <v>38</v>
      </c>
      <c r="C28" s="11"/>
      <c r="E28" s="198" t="s">
        <v>57</v>
      </c>
      <c r="F28" s="198"/>
      <c r="G28" s="198"/>
    </row>
    <row r="29" spans="2:18" x14ac:dyDescent="0.25">
      <c r="E29" s="8" t="s">
        <v>58</v>
      </c>
      <c r="G29" s="11"/>
    </row>
    <row r="30" spans="2:18" x14ac:dyDescent="0.25">
      <c r="E30" s="8" t="s">
        <v>59</v>
      </c>
      <c r="G30" s="11"/>
    </row>
    <row r="31" spans="2:18" x14ac:dyDescent="0.25">
      <c r="E31" s="8" t="s">
        <v>60</v>
      </c>
      <c r="G31" s="11"/>
    </row>
    <row r="32" spans="2:18" ht="8.25" customHeight="1" x14ac:dyDescent="0.25"/>
    <row r="33" spans="2:11" x14ac:dyDescent="0.25">
      <c r="B33" s="200" t="s">
        <v>109</v>
      </c>
      <c r="C33" s="200"/>
      <c r="D33" s="200"/>
      <c r="E33" s="200"/>
      <c r="F33" s="200"/>
      <c r="G33" s="200"/>
    </row>
    <row r="34" spans="2:11" x14ac:dyDescent="0.25">
      <c r="B34" s="37" t="s">
        <v>74</v>
      </c>
      <c r="F34" s="12" t="s">
        <v>75</v>
      </c>
      <c r="G34" s="73">
        <f>Y83</f>
        <v>181.14548000000002</v>
      </c>
    </row>
    <row r="35" spans="2:11" x14ac:dyDescent="0.25">
      <c r="B35" s="37" t="s">
        <v>90</v>
      </c>
      <c r="F35" s="12" t="s">
        <v>101</v>
      </c>
      <c r="G35" s="2">
        <f>198+M83</f>
        <v>701.84999999999991</v>
      </c>
    </row>
    <row r="36" spans="2:11" x14ac:dyDescent="0.25">
      <c r="B36" s="37" t="s">
        <v>76</v>
      </c>
      <c r="F36" s="12" t="s">
        <v>101</v>
      </c>
      <c r="G36" s="2">
        <f>G35/(0.584+0.965*J83-J83^2)</f>
        <v>998.79406130157781</v>
      </c>
    </row>
    <row r="37" spans="2:11" ht="44.25" x14ac:dyDescent="0.55000000000000004">
      <c r="B37" s="37" t="s">
        <v>81</v>
      </c>
      <c r="F37" s="12" t="s">
        <v>79</v>
      </c>
      <c r="G37" s="2">
        <f>(0.113+0.0032*Z83-K83)^-2</f>
        <v>43.055641666838902</v>
      </c>
      <c r="K37" s="74"/>
    </row>
    <row r="38" spans="2:11" x14ac:dyDescent="0.25">
      <c r="B38" s="37" t="s">
        <v>80</v>
      </c>
      <c r="F38" s="12" t="s">
        <v>82</v>
      </c>
      <c r="G38" s="2">
        <f>17.5+L83</f>
        <v>493.5</v>
      </c>
    </row>
    <row r="39" spans="2:11" x14ac:dyDescent="0.25">
      <c r="B39" s="37" t="s">
        <v>83</v>
      </c>
      <c r="G39" s="14">
        <f>G37*G38/(83.1447*G36)</f>
        <v>0.25586253647876583</v>
      </c>
    </row>
    <row r="40" spans="2:11" x14ac:dyDescent="0.25">
      <c r="B40" s="37" t="s">
        <v>110</v>
      </c>
      <c r="G40" s="14">
        <f>J139</f>
        <v>0.65092467998217063</v>
      </c>
    </row>
    <row r="41" spans="2:11" x14ac:dyDescent="0.25">
      <c r="B41" s="37" t="s">
        <v>87</v>
      </c>
      <c r="F41" s="12" t="s">
        <v>101</v>
      </c>
      <c r="G41">
        <f>122.5+N83</f>
        <v>477.87</v>
      </c>
    </row>
    <row r="42" spans="2:11" x14ac:dyDescent="0.25">
      <c r="B42" s="37" t="s">
        <v>88</v>
      </c>
      <c r="F42" s="12" t="s">
        <v>67</v>
      </c>
      <c r="G42">
        <f>68.29+O83</f>
        <v>-68.760000000000062</v>
      </c>
    </row>
    <row r="43" spans="2:11" x14ac:dyDescent="0.25">
      <c r="B43" s="37" t="s">
        <v>89</v>
      </c>
      <c r="F43" s="12" t="s">
        <v>67</v>
      </c>
      <c r="G43">
        <f>53.88+P83</f>
        <v>49.219999999999963</v>
      </c>
    </row>
    <row r="44" spans="2:11" x14ac:dyDescent="0.25">
      <c r="B44" s="37" t="s">
        <v>91</v>
      </c>
      <c r="F44" s="12" t="s">
        <v>67</v>
      </c>
      <c r="G44" s="2">
        <f>1.092*8.3144598*G35*(LN(G37)-1.013)/(0.93 - G35/G36)/1000</f>
        <v>77.081340256612194</v>
      </c>
    </row>
    <row r="45" spans="2:11" x14ac:dyDescent="0.25">
      <c r="B45" s="38" t="s">
        <v>92</v>
      </c>
      <c r="C45" s="24"/>
      <c r="D45" s="24"/>
      <c r="E45" s="24"/>
      <c r="F45" s="25" t="s">
        <v>67</v>
      </c>
      <c r="G45" s="26">
        <f>-0.88+U83</f>
        <v>38.220999999999997</v>
      </c>
    </row>
    <row r="46" spans="2:11" ht="6.75" customHeight="1" x14ac:dyDescent="0.25">
      <c r="B46" s="24"/>
      <c r="C46" s="24"/>
      <c r="D46" s="24"/>
      <c r="E46" s="24"/>
      <c r="F46" s="25"/>
      <c r="G46" s="26"/>
    </row>
    <row r="47" spans="2:11" x14ac:dyDescent="0.25">
      <c r="B47" s="23" t="s">
        <v>98</v>
      </c>
      <c r="C47" s="23"/>
      <c r="D47" s="23"/>
      <c r="E47" s="23"/>
      <c r="F47" s="22" t="s">
        <v>101</v>
      </c>
      <c r="G47" s="39">
        <v>300</v>
      </c>
    </row>
    <row r="48" spans="2:11" x14ac:dyDescent="0.25">
      <c r="B48" s="37" t="s">
        <v>108</v>
      </c>
      <c r="F48" s="12"/>
      <c r="G48" s="19">
        <f>G47/G36</f>
        <v>0.30036221842273991</v>
      </c>
    </row>
    <row r="49" spans="2:7" x14ac:dyDescent="0.25">
      <c r="B49" s="37" t="s">
        <v>99</v>
      </c>
      <c r="F49" s="12" t="s">
        <v>100</v>
      </c>
      <c r="G49" s="2">
        <f>J142+J143*G47+J144*G47^2+J145*G47^3</f>
        <v>198.74170000000001</v>
      </c>
    </row>
    <row r="50" spans="2:7" x14ac:dyDescent="0.25">
      <c r="B50" s="37" t="s">
        <v>102</v>
      </c>
      <c r="F50" s="12" t="s">
        <v>67</v>
      </c>
      <c r="G50" s="2">
        <f>G44*( ((G36-G47)/(G36-G35))^0.38)</f>
        <v>106.70520160994123</v>
      </c>
    </row>
    <row r="51" spans="2:7" x14ac:dyDescent="0.25">
      <c r="B51" s="37" t="s">
        <v>103</v>
      </c>
      <c r="F51" s="12" t="s">
        <v>104</v>
      </c>
      <c r="G51" s="18">
        <f>G34*EXP(J148/G47+J149)</f>
        <v>3.7592610580787309E-3</v>
      </c>
    </row>
    <row r="52" spans="2:7" x14ac:dyDescent="0.25">
      <c r="B52" s="37" t="s">
        <v>105</v>
      </c>
      <c r="F52" s="12" t="s">
        <v>106</v>
      </c>
      <c r="G52" s="3">
        <f>G34/( (83.1447*G36/G37)*(G39^(1 + ((1-G47/G36)^(2/7)))  ) )</f>
        <v>1.2568932149360568</v>
      </c>
    </row>
    <row r="53" spans="2:7" x14ac:dyDescent="0.25">
      <c r="B53" s="37" t="s">
        <v>107</v>
      </c>
      <c r="F53" s="12" t="s">
        <v>79</v>
      </c>
      <c r="G53" s="3">
        <f>G37*EXP( (5.92714-6.09648/G48-1.28862*LN(G48)+0.169347*(G48^6) )+G40*(15.2518-15.6875/G48-13.4721*LN(G48)+0.43577*(G48^6)) )</f>
        <v>1.5635521676869759E-10</v>
      </c>
    </row>
    <row r="83" spans="8:26" x14ac:dyDescent="0.25">
      <c r="H83" s="27"/>
      <c r="I83" s="27"/>
      <c r="J83" s="27">
        <f>SUMPRODUCT($H$88:$H$133,J88:J133)</f>
        <v>0.1447</v>
      </c>
      <c r="K83" s="27">
        <f t="shared" ref="K83:Z83" si="0">SUMPRODUCT($H$88:$H$133,K88:K133)</f>
        <v>2.46E-2</v>
      </c>
      <c r="L83" s="27">
        <f t="shared" si="0"/>
        <v>476</v>
      </c>
      <c r="M83" s="27">
        <f t="shared" si="0"/>
        <v>503.84999999999991</v>
      </c>
      <c r="N83" s="27">
        <f t="shared" si="0"/>
        <v>355.37</v>
      </c>
      <c r="O83" s="27">
        <f t="shared" si="0"/>
        <v>-137.05000000000007</v>
      </c>
      <c r="P83" s="27">
        <f t="shared" si="0"/>
        <v>-4.6600000000000392</v>
      </c>
      <c r="Q83" s="27">
        <f t="shared" si="0"/>
        <v>145.28</v>
      </c>
      <c r="R83" s="27">
        <f t="shared" si="0"/>
        <v>3.5979999999999991E-2</v>
      </c>
      <c r="S83" s="27">
        <f t="shared" si="0"/>
        <v>6.6047999999999996E-4</v>
      </c>
      <c r="T83" s="27">
        <f t="shared" si="0"/>
        <v>-4.5250000000000001E-7</v>
      </c>
      <c r="U83" s="27">
        <f>SUMPRODUCT($H$88:$H$133,U88:U133)</f>
        <v>39.100999999999999</v>
      </c>
      <c r="V83" s="27">
        <f t="shared" si="0"/>
        <v>54.262999999999998</v>
      </c>
      <c r="W83" s="27">
        <f t="shared" si="0"/>
        <v>2644.47</v>
      </c>
      <c r="X83" s="27">
        <f t="shared" si="0"/>
        <v>-6.4030000000000005</v>
      </c>
      <c r="Y83" s="27">
        <f t="shared" si="0"/>
        <v>181.14548000000002</v>
      </c>
      <c r="Z83" s="27">
        <f t="shared" si="0"/>
        <v>20</v>
      </c>
    </row>
    <row r="84" spans="8:26" ht="18" x14ac:dyDescent="0.25">
      <c r="H84" s="27"/>
      <c r="I84" s="28" t="s">
        <v>0</v>
      </c>
      <c r="J84" s="29" t="s">
        <v>1</v>
      </c>
      <c r="K84" s="29" t="s">
        <v>2</v>
      </c>
      <c r="L84" s="29" t="s">
        <v>3</v>
      </c>
      <c r="M84" s="29" t="s">
        <v>4</v>
      </c>
      <c r="N84" s="29" t="s">
        <v>5</v>
      </c>
      <c r="O84" s="29" t="s">
        <v>6</v>
      </c>
      <c r="P84" s="29" t="s">
        <v>7</v>
      </c>
      <c r="Q84" s="29" t="s">
        <v>8</v>
      </c>
      <c r="R84" s="29" t="s">
        <v>9</v>
      </c>
      <c r="S84" s="29" t="s">
        <v>10</v>
      </c>
      <c r="T84" s="29" t="s">
        <v>11</v>
      </c>
      <c r="U84" s="29" t="s">
        <v>12</v>
      </c>
      <c r="V84" s="29" t="s">
        <v>13</v>
      </c>
      <c r="W84" s="29" t="s">
        <v>8</v>
      </c>
      <c r="X84" s="29" t="s">
        <v>9</v>
      </c>
      <c r="Y84" s="29" t="s">
        <v>72</v>
      </c>
      <c r="Z84" s="29" t="s">
        <v>70</v>
      </c>
    </row>
    <row r="85" spans="8:26" x14ac:dyDescent="0.25">
      <c r="H85" s="27"/>
      <c r="I85" s="201"/>
      <c r="J85" s="202" t="s">
        <v>14</v>
      </c>
      <c r="K85" s="202"/>
      <c r="L85" s="202"/>
      <c r="M85" s="202" t="s">
        <v>15</v>
      </c>
      <c r="N85" s="202"/>
      <c r="O85" s="202" t="s">
        <v>17</v>
      </c>
      <c r="P85" s="202"/>
      <c r="Q85" s="202" t="s">
        <v>19</v>
      </c>
      <c r="R85" s="202"/>
      <c r="S85" s="202"/>
      <c r="T85" s="202"/>
      <c r="U85" s="202" t="s">
        <v>20</v>
      </c>
      <c r="V85" s="202"/>
      <c r="W85" s="202" t="s">
        <v>21</v>
      </c>
      <c r="X85" s="202"/>
      <c r="Y85" s="29" t="s">
        <v>73</v>
      </c>
      <c r="Z85" s="29" t="s">
        <v>71</v>
      </c>
    </row>
    <row r="86" spans="8:26" x14ac:dyDescent="0.25">
      <c r="H86" s="27"/>
      <c r="I86" s="201"/>
      <c r="J86" s="202"/>
      <c r="K86" s="202"/>
      <c r="L86" s="202"/>
      <c r="M86" s="202" t="s">
        <v>16</v>
      </c>
      <c r="N86" s="202"/>
      <c r="O86" s="202" t="s">
        <v>18</v>
      </c>
      <c r="P86" s="202"/>
      <c r="Q86" s="202"/>
      <c r="R86" s="202"/>
      <c r="S86" s="202"/>
      <c r="T86" s="202"/>
      <c r="U86" s="202" t="s">
        <v>16</v>
      </c>
      <c r="V86" s="202"/>
      <c r="W86" s="202"/>
      <c r="X86" s="202"/>
      <c r="Y86" s="27"/>
      <c r="Z86" s="27"/>
    </row>
    <row r="87" spans="8:26" x14ac:dyDescent="0.25">
      <c r="H87" s="27"/>
      <c r="I87" s="30" t="s">
        <v>22</v>
      </c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8:26" ht="18" x14ac:dyDescent="0.25">
      <c r="H88" s="27">
        <f>C8</f>
        <v>1</v>
      </c>
      <c r="I88" s="31" t="s">
        <v>63</v>
      </c>
      <c r="J88" s="32">
        <v>1.41E-2</v>
      </c>
      <c r="K88" s="32">
        <v>-1.1999999999999999E-3</v>
      </c>
      <c r="L88" s="32">
        <v>65</v>
      </c>
      <c r="M88" s="32">
        <v>23.58</v>
      </c>
      <c r="N88" s="32">
        <v>-5.0999999999999996</v>
      </c>
      <c r="O88" s="32">
        <v>-76.45</v>
      </c>
      <c r="P88" s="32">
        <v>-43.96</v>
      </c>
      <c r="Q88" s="33">
        <v>19.5</v>
      </c>
      <c r="R88" s="33">
        <v>-8.0800000000000004E-3</v>
      </c>
      <c r="S88" s="33">
        <v>1.5300000000000001E-4</v>
      </c>
      <c r="T88" s="33">
        <v>-9.6699999999999999E-8</v>
      </c>
      <c r="U88" s="32">
        <v>0.90800000000000003</v>
      </c>
      <c r="V88" s="32">
        <v>2.3730000000000002</v>
      </c>
      <c r="W88" s="32">
        <v>548.29</v>
      </c>
      <c r="X88" s="32">
        <v>-1.7190000000000001</v>
      </c>
      <c r="Y88" s="34">
        <v>15.034520000000001</v>
      </c>
      <c r="Z88" s="27">
        <v>4</v>
      </c>
    </row>
    <row r="89" spans="8:26" ht="18" x14ac:dyDescent="0.25">
      <c r="H89" s="27">
        <f t="shared" ref="H89:H97" si="1">C9</f>
        <v>0</v>
      </c>
      <c r="I89" s="70" t="s">
        <v>23</v>
      </c>
      <c r="J89" s="32">
        <v>1.89E-2</v>
      </c>
      <c r="K89" s="32">
        <v>0</v>
      </c>
      <c r="L89" s="32">
        <v>56</v>
      </c>
      <c r="M89" s="32">
        <v>22.88</v>
      </c>
      <c r="N89" s="32">
        <v>11.27</v>
      </c>
      <c r="O89" s="32">
        <v>-20.64</v>
      </c>
      <c r="P89" s="32">
        <v>8.42</v>
      </c>
      <c r="Q89" s="33">
        <v>-0.90900000000000003</v>
      </c>
      <c r="R89" s="33">
        <v>9.5000000000000001E-2</v>
      </c>
      <c r="S89" s="33">
        <v>-5.4400000000000001E-5</v>
      </c>
      <c r="T89" s="33">
        <v>1.1900000000000001E-8</v>
      </c>
      <c r="U89" s="32">
        <v>2.59</v>
      </c>
      <c r="V89" s="32">
        <v>2.226</v>
      </c>
      <c r="W89" s="32">
        <v>94.16</v>
      </c>
      <c r="X89" s="32">
        <v>-0.19900000000000001</v>
      </c>
      <c r="Y89" s="27">
        <v>14.026579999999999</v>
      </c>
      <c r="Z89" s="27">
        <v>3</v>
      </c>
    </row>
    <row r="90" spans="8:26" x14ac:dyDescent="0.25">
      <c r="H90" s="27">
        <f t="shared" si="1"/>
        <v>0</v>
      </c>
      <c r="I90" s="70" t="s">
        <v>24</v>
      </c>
      <c r="J90" s="32">
        <v>1.6400000000000001E-2</v>
      </c>
      <c r="K90" s="32">
        <v>2E-3</v>
      </c>
      <c r="L90" s="32">
        <v>41</v>
      </c>
      <c r="M90" s="32">
        <v>21.74</v>
      </c>
      <c r="N90" s="32">
        <v>12.64</v>
      </c>
      <c r="O90" s="32">
        <v>29.89</v>
      </c>
      <c r="P90" s="32">
        <v>58.36</v>
      </c>
      <c r="Q90" s="33">
        <v>-23</v>
      </c>
      <c r="R90" s="33">
        <v>0.20399999999999999</v>
      </c>
      <c r="S90" s="33">
        <v>-2.6499999999999999E-4</v>
      </c>
      <c r="T90" s="33">
        <v>1.1999999999999999E-7</v>
      </c>
      <c r="U90" s="32">
        <v>0.749</v>
      </c>
      <c r="V90" s="32">
        <v>1.6910000000000001</v>
      </c>
      <c r="W90" s="32">
        <v>-322.14999999999998</v>
      </c>
      <c r="X90" s="32">
        <v>1.1870000000000001</v>
      </c>
      <c r="Y90" s="27">
        <v>13.01864</v>
      </c>
      <c r="Z90" s="27">
        <v>2</v>
      </c>
    </row>
    <row r="91" spans="8:26" x14ac:dyDescent="0.25">
      <c r="H91" s="27">
        <f t="shared" si="1"/>
        <v>0</v>
      </c>
      <c r="I91" s="70" t="s">
        <v>25</v>
      </c>
      <c r="J91" s="32">
        <v>6.7000000000000002E-3</v>
      </c>
      <c r="K91" s="32">
        <v>4.3E-3</v>
      </c>
      <c r="L91" s="32">
        <v>27</v>
      </c>
      <c r="M91" s="32">
        <v>18.25</v>
      </c>
      <c r="N91" s="32">
        <v>46.43</v>
      </c>
      <c r="O91" s="32">
        <v>82.23</v>
      </c>
      <c r="P91" s="32">
        <v>116.02</v>
      </c>
      <c r="Q91" s="33">
        <v>-66.2</v>
      </c>
      <c r="R91" s="33">
        <v>0.42699999999999999</v>
      </c>
      <c r="S91" s="33">
        <v>-6.4099999999999997E-4</v>
      </c>
      <c r="T91" s="33">
        <v>3.0100000000000001E-7</v>
      </c>
      <c r="U91" s="32">
        <v>-1.46</v>
      </c>
      <c r="V91" s="32">
        <v>0.63600000000000001</v>
      </c>
      <c r="W91" s="32">
        <v>-573.55999999999995</v>
      </c>
      <c r="X91" s="32">
        <v>2.3069999999999999</v>
      </c>
      <c r="Y91" s="27">
        <v>12.0107</v>
      </c>
      <c r="Z91" s="27">
        <v>1</v>
      </c>
    </row>
    <row r="92" spans="8:26" ht="18" x14ac:dyDescent="0.25">
      <c r="H92" s="27">
        <f t="shared" si="1"/>
        <v>0</v>
      </c>
      <c r="I92" s="31" t="s">
        <v>111</v>
      </c>
      <c r="J92" s="32">
        <v>1.1299999999999999E-2</v>
      </c>
      <c r="K92" s="32">
        <v>-2.8E-3</v>
      </c>
      <c r="L92" s="32">
        <v>56</v>
      </c>
      <c r="M92" s="32">
        <v>18.18</v>
      </c>
      <c r="N92" s="32">
        <v>-4.32</v>
      </c>
      <c r="O92" s="32">
        <v>-9.6300000000000008</v>
      </c>
      <c r="P92" s="32">
        <v>3.77</v>
      </c>
      <c r="Q92" s="33">
        <v>23.6</v>
      </c>
      <c r="R92" s="33">
        <v>-3.8100000000000002E-2</v>
      </c>
      <c r="S92" s="33">
        <v>1.7200000000000001E-4</v>
      </c>
      <c r="T92" s="33">
        <v>-1.03E-7</v>
      </c>
      <c r="U92" s="32">
        <v>-0.47299999999999998</v>
      </c>
      <c r="V92" s="32">
        <v>1.724</v>
      </c>
      <c r="W92" s="32">
        <v>495.01</v>
      </c>
      <c r="X92" s="32">
        <v>-1.5389999999999999</v>
      </c>
      <c r="Y92" s="27">
        <v>14.026579999999999</v>
      </c>
      <c r="Z92" s="27">
        <v>3</v>
      </c>
    </row>
    <row r="93" spans="8:26" x14ac:dyDescent="0.25">
      <c r="H93" s="27">
        <f t="shared" si="1"/>
        <v>0</v>
      </c>
      <c r="I93" s="70" t="s">
        <v>26</v>
      </c>
      <c r="J93" s="40">
        <v>1.29E-2</v>
      </c>
      <c r="K93" s="32">
        <v>-5.9999999999999995E-4</v>
      </c>
      <c r="L93" s="32">
        <v>46</v>
      </c>
      <c r="M93" s="32">
        <v>24.96</v>
      </c>
      <c r="N93" s="32">
        <v>8.73</v>
      </c>
      <c r="O93" s="32">
        <v>37.97</v>
      </c>
      <c r="P93" s="32">
        <v>48.53</v>
      </c>
      <c r="Q93" s="32">
        <v>-8</v>
      </c>
      <c r="R93" s="33">
        <v>0.105</v>
      </c>
      <c r="S93" s="33">
        <v>-9.6299999999999996E-5</v>
      </c>
      <c r="T93" s="33">
        <v>3.5600000000000001E-8</v>
      </c>
      <c r="U93" s="32">
        <v>2.6909999999999998</v>
      </c>
      <c r="V93" s="32">
        <v>2.2050000000000001</v>
      </c>
      <c r="W93" s="32">
        <v>82.28</v>
      </c>
      <c r="X93" s="32">
        <v>-0.24199999999999999</v>
      </c>
      <c r="Y93" s="27">
        <v>13.01864</v>
      </c>
      <c r="Z93" s="27">
        <v>2</v>
      </c>
    </row>
    <row r="94" spans="8:26" x14ac:dyDescent="0.25">
      <c r="H94" s="27">
        <f t="shared" si="1"/>
        <v>0</v>
      </c>
      <c r="I94" s="70" t="s">
        <v>27</v>
      </c>
      <c r="J94" s="32">
        <v>1.17E-2</v>
      </c>
      <c r="K94" s="32">
        <v>1.1000000000000001E-3</v>
      </c>
      <c r="L94" s="32">
        <v>38</v>
      </c>
      <c r="M94" s="32">
        <v>24.14</v>
      </c>
      <c r="N94" s="32">
        <v>11.14</v>
      </c>
      <c r="O94" s="32">
        <v>83.99</v>
      </c>
      <c r="P94" s="32">
        <v>92.36</v>
      </c>
      <c r="Q94" s="33">
        <v>-28.1</v>
      </c>
      <c r="R94" s="33">
        <v>0.20799999999999999</v>
      </c>
      <c r="S94" s="33">
        <v>-3.0600000000000001E-4</v>
      </c>
      <c r="T94" s="33">
        <v>1.4600000000000001E-7</v>
      </c>
      <c r="U94" s="32">
        <v>3.0630000000000002</v>
      </c>
      <c r="V94" s="32">
        <v>2.1379999999999999</v>
      </c>
      <c r="W94" s="32" t="s">
        <v>28</v>
      </c>
      <c r="X94" s="32" t="s">
        <v>28</v>
      </c>
      <c r="Y94" s="27">
        <v>12.0107</v>
      </c>
      <c r="Z94" s="27">
        <v>1</v>
      </c>
    </row>
    <row r="95" spans="8:26" x14ac:dyDescent="0.25">
      <c r="H95" s="27">
        <f t="shared" si="1"/>
        <v>3</v>
      </c>
      <c r="I95" s="70" t="s">
        <v>29</v>
      </c>
      <c r="J95" s="32">
        <v>2.5999999999999999E-3</v>
      </c>
      <c r="K95" s="32">
        <v>2.8E-3</v>
      </c>
      <c r="L95" s="32">
        <v>36</v>
      </c>
      <c r="M95" s="32">
        <v>26.15</v>
      </c>
      <c r="N95" s="32">
        <v>17.78</v>
      </c>
      <c r="O95" s="32">
        <v>142.13999999999999</v>
      </c>
      <c r="P95" s="32">
        <v>136.69999999999999</v>
      </c>
      <c r="Q95" s="33">
        <v>27.4</v>
      </c>
      <c r="R95" s="33">
        <v>-5.57E-2</v>
      </c>
      <c r="S95" s="33">
        <v>1.01E-4</v>
      </c>
      <c r="T95" s="33">
        <v>-5.02E-8</v>
      </c>
      <c r="U95" s="32">
        <v>4.72</v>
      </c>
      <c r="V95" s="32">
        <v>2.661</v>
      </c>
      <c r="W95" s="32" t="s">
        <v>28</v>
      </c>
      <c r="X95" s="32" t="s">
        <v>28</v>
      </c>
      <c r="Y95" s="27">
        <v>12.0107</v>
      </c>
      <c r="Z95" s="27">
        <v>1</v>
      </c>
    </row>
    <row r="96" spans="8:26" x14ac:dyDescent="0.25">
      <c r="H96" s="27">
        <f t="shared" si="1"/>
        <v>0</v>
      </c>
      <c r="I96" s="70" t="s">
        <v>30</v>
      </c>
      <c r="J96" s="32">
        <v>2.7000000000000001E-3</v>
      </c>
      <c r="K96" s="32">
        <v>-8.0000000000000004E-4</v>
      </c>
      <c r="L96" s="32">
        <v>46</v>
      </c>
      <c r="M96" s="32">
        <v>9.1999999999999993</v>
      </c>
      <c r="N96" s="32">
        <v>-11.18</v>
      </c>
      <c r="O96" s="32">
        <v>79.3</v>
      </c>
      <c r="P96" s="32">
        <v>77.709999999999994</v>
      </c>
      <c r="Q96" s="33">
        <v>24.5</v>
      </c>
      <c r="R96" s="33">
        <v>-2.7099999999999999E-2</v>
      </c>
      <c r="S96" s="33">
        <v>1.11E-4</v>
      </c>
      <c r="T96" s="33">
        <v>-6.7799999999999998E-8</v>
      </c>
      <c r="U96" s="32">
        <v>2.3220000000000001</v>
      </c>
      <c r="V96" s="32">
        <v>1.155</v>
      </c>
      <c r="W96" s="32" t="s">
        <v>28</v>
      </c>
      <c r="X96" s="32" t="s">
        <v>28</v>
      </c>
      <c r="Y96" s="27">
        <v>13.01864</v>
      </c>
      <c r="Z96" s="27">
        <v>2</v>
      </c>
    </row>
    <row r="97" spans="8:26" x14ac:dyDescent="0.25">
      <c r="H97" s="27">
        <f t="shared" si="1"/>
        <v>0</v>
      </c>
      <c r="I97" s="70" t="s">
        <v>31</v>
      </c>
      <c r="J97" s="32">
        <v>2E-3</v>
      </c>
      <c r="K97" s="32">
        <v>1.6000000000000001E-3</v>
      </c>
      <c r="L97" s="32">
        <v>37</v>
      </c>
      <c r="M97" s="32">
        <v>27.38</v>
      </c>
      <c r="N97" s="32">
        <v>64.319999999999993</v>
      </c>
      <c r="O97" s="32">
        <v>115.51</v>
      </c>
      <c r="P97" s="32">
        <v>109.82</v>
      </c>
      <c r="Q97" s="32">
        <v>7.87</v>
      </c>
      <c r="R97" s="33">
        <v>2.01E-2</v>
      </c>
      <c r="S97" s="33">
        <v>-8.3299999999999999E-6</v>
      </c>
      <c r="T97" s="33">
        <v>1.39E-9</v>
      </c>
      <c r="U97" s="32">
        <v>4.1509999999999998</v>
      </c>
      <c r="V97" s="32">
        <v>3.302</v>
      </c>
      <c r="W97" s="32" t="s">
        <v>28</v>
      </c>
      <c r="X97" s="32" t="s">
        <v>28</v>
      </c>
      <c r="Y97" s="27">
        <v>12.0107</v>
      </c>
      <c r="Z97" s="27">
        <v>1</v>
      </c>
    </row>
    <row r="98" spans="8:26" x14ac:dyDescent="0.25">
      <c r="H98" s="27"/>
      <c r="I98" s="30" t="s">
        <v>32</v>
      </c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spans="8:26" ht="18" x14ac:dyDescent="0.25">
      <c r="H99" s="27">
        <f>C19</f>
        <v>0</v>
      </c>
      <c r="I99" s="70" t="s">
        <v>23</v>
      </c>
      <c r="J99" s="32">
        <v>0.01</v>
      </c>
      <c r="K99" s="32">
        <v>2.5000000000000001E-3</v>
      </c>
      <c r="L99" s="32">
        <v>48</v>
      </c>
      <c r="M99" s="32">
        <v>27.15</v>
      </c>
      <c r="N99" s="32">
        <v>7.75</v>
      </c>
      <c r="O99" s="32">
        <v>-26.8</v>
      </c>
      <c r="P99" s="32">
        <v>-3.68</v>
      </c>
      <c r="Q99" s="32">
        <v>-6.03</v>
      </c>
      <c r="R99" s="33">
        <v>8.5400000000000004E-2</v>
      </c>
      <c r="S99" s="33">
        <v>-7.9999999999999996E-6</v>
      </c>
      <c r="T99" s="33">
        <v>-1.7999999999999999E-8</v>
      </c>
      <c r="U99" s="32">
        <v>0.49</v>
      </c>
      <c r="V99" s="32">
        <v>2.3980000000000001</v>
      </c>
      <c r="W99" s="32">
        <v>307.52999999999997</v>
      </c>
      <c r="X99" s="32">
        <v>-0.79800000000000004</v>
      </c>
      <c r="Y99" s="27">
        <v>14.026579999999999</v>
      </c>
      <c r="Z99" s="27">
        <v>3</v>
      </c>
    </row>
    <row r="100" spans="8:26" x14ac:dyDescent="0.25">
      <c r="H100" s="27">
        <f t="shared" ref="H100:H103" si="2">C20</f>
        <v>0</v>
      </c>
      <c r="I100" s="70" t="s">
        <v>24</v>
      </c>
      <c r="J100" s="32">
        <v>1.2200000000000001E-2</v>
      </c>
      <c r="K100" s="32">
        <v>4.0000000000000002E-4</v>
      </c>
      <c r="L100" s="32">
        <v>38</v>
      </c>
      <c r="M100" s="32">
        <v>21.78</v>
      </c>
      <c r="N100" s="32">
        <v>19.88</v>
      </c>
      <c r="O100" s="32">
        <v>8.67</v>
      </c>
      <c r="P100" s="32">
        <v>40.99</v>
      </c>
      <c r="Q100" s="33">
        <v>-20.5</v>
      </c>
      <c r="R100" s="33">
        <v>0.16200000000000001</v>
      </c>
      <c r="S100" s="33">
        <v>-1.6000000000000001E-4</v>
      </c>
      <c r="T100" s="33">
        <v>6.2400000000000003E-8</v>
      </c>
      <c r="U100" s="32">
        <v>3.2429999999999999</v>
      </c>
      <c r="V100" s="32">
        <v>1.9419999999999999</v>
      </c>
      <c r="W100" s="32">
        <v>-394.29</v>
      </c>
      <c r="X100" s="32">
        <v>1.2509999999999999</v>
      </c>
      <c r="Y100" s="27">
        <v>13.01864</v>
      </c>
      <c r="Z100" s="27">
        <v>2</v>
      </c>
    </row>
    <row r="101" spans="8:26" x14ac:dyDescent="0.25">
      <c r="H101" s="27">
        <f t="shared" si="2"/>
        <v>0</v>
      </c>
      <c r="I101" s="70" t="s">
        <v>25</v>
      </c>
      <c r="J101" s="32">
        <v>4.1999999999999997E-3</v>
      </c>
      <c r="K101" s="32">
        <v>6.1000000000000004E-3</v>
      </c>
      <c r="L101" s="32">
        <v>27</v>
      </c>
      <c r="M101" s="32">
        <v>21.32</v>
      </c>
      <c r="N101" s="32">
        <v>60.15</v>
      </c>
      <c r="O101" s="32">
        <v>79.72</v>
      </c>
      <c r="P101" s="32">
        <v>87.88</v>
      </c>
      <c r="Q101" s="33">
        <v>-90.9</v>
      </c>
      <c r="R101" s="33">
        <v>0.55700000000000005</v>
      </c>
      <c r="S101" s="33">
        <v>-8.9999999999999998E-4</v>
      </c>
      <c r="T101" s="33">
        <v>4.6899999999999998E-7</v>
      </c>
      <c r="U101" s="32">
        <v>-1.373</v>
      </c>
      <c r="V101" s="32">
        <v>0.64400000000000002</v>
      </c>
      <c r="W101" s="32" t="s">
        <v>28</v>
      </c>
      <c r="X101" s="32" t="s">
        <v>28</v>
      </c>
      <c r="Y101" s="27">
        <v>12.0107</v>
      </c>
      <c r="Z101" s="27">
        <v>1</v>
      </c>
    </row>
    <row r="102" spans="8:26" x14ac:dyDescent="0.25">
      <c r="H102" s="27">
        <f t="shared" si="2"/>
        <v>3</v>
      </c>
      <c r="I102" s="70" t="s">
        <v>26</v>
      </c>
      <c r="J102" s="32" t="s">
        <v>33</v>
      </c>
      <c r="K102" s="32">
        <v>1.1000000000000001E-3</v>
      </c>
      <c r="L102" s="32">
        <v>41</v>
      </c>
      <c r="M102" s="32">
        <v>26.73</v>
      </c>
      <c r="N102" s="32">
        <v>8.1300000000000008</v>
      </c>
      <c r="O102" s="32">
        <v>2.09</v>
      </c>
      <c r="P102" s="32">
        <v>11.3</v>
      </c>
      <c r="Q102" s="32">
        <v>-2.14</v>
      </c>
      <c r="R102" s="33">
        <v>5.74E-2</v>
      </c>
      <c r="S102" s="33">
        <v>-1.64E-6</v>
      </c>
      <c r="T102" s="33">
        <v>-1.59E-8</v>
      </c>
      <c r="U102" s="32">
        <v>1.101</v>
      </c>
      <c r="V102" s="32">
        <v>2.544</v>
      </c>
      <c r="W102" s="32">
        <v>259.64999999999998</v>
      </c>
      <c r="X102" s="32">
        <v>-0.70199999999999996</v>
      </c>
      <c r="Y102" s="27">
        <v>13.01864</v>
      </c>
      <c r="Z102" s="27">
        <v>2</v>
      </c>
    </row>
    <row r="103" spans="8:26" x14ac:dyDescent="0.25">
      <c r="H103" s="27">
        <f t="shared" si="2"/>
        <v>0</v>
      </c>
      <c r="I103" s="70" t="s">
        <v>27</v>
      </c>
      <c r="J103" s="32">
        <v>1.43E-2</v>
      </c>
      <c r="K103" s="32">
        <v>8.0000000000000004E-4</v>
      </c>
      <c r="L103" s="32">
        <v>32</v>
      </c>
      <c r="M103" s="32">
        <v>31.01</v>
      </c>
      <c r="N103" s="32">
        <v>37.020000000000003</v>
      </c>
      <c r="O103" s="32">
        <v>46.43</v>
      </c>
      <c r="P103" s="32">
        <v>54.05</v>
      </c>
      <c r="Q103" s="32">
        <v>-8.25</v>
      </c>
      <c r="R103" s="33">
        <v>0.10100000000000001</v>
      </c>
      <c r="S103" s="33">
        <v>-1.4200000000000001E-4</v>
      </c>
      <c r="T103" s="33">
        <v>6.7799999999999998E-8</v>
      </c>
      <c r="U103" s="32">
        <v>2.3940000000000001</v>
      </c>
      <c r="V103" s="32">
        <v>3.0590000000000002</v>
      </c>
      <c r="W103" s="32">
        <v>-245.74</v>
      </c>
      <c r="X103" s="32">
        <v>0.91200000000000003</v>
      </c>
      <c r="Y103" s="27">
        <v>12.0107</v>
      </c>
      <c r="Z103" s="27">
        <v>1</v>
      </c>
    </row>
    <row r="104" spans="8:26" x14ac:dyDescent="0.25">
      <c r="H104" s="27"/>
      <c r="I104" s="30" t="s">
        <v>34</v>
      </c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spans="8:26" x14ac:dyDescent="0.25">
      <c r="H105" s="27">
        <f>C25</f>
        <v>0</v>
      </c>
      <c r="I105" s="70" t="s">
        <v>35</v>
      </c>
      <c r="J105" s="32">
        <v>1.11E-2</v>
      </c>
      <c r="K105" s="32">
        <v>-5.7000000000000002E-3</v>
      </c>
      <c r="L105" s="32">
        <v>27</v>
      </c>
      <c r="M105" s="32">
        <v>-0.03</v>
      </c>
      <c r="N105" s="32">
        <v>-15.78</v>
      </c>
      <c r="O105" s="32">
        <v>-251.92</v>
      </c>
      <c r="P105" s="32">
        <v>-247.19</v>
      </c>
      <c r="Q105" s="33">
        <v>26.5</v>
      </c>
      <c r="R105" s="33">
        <v>-9.1300000000000006E-2</v>
      </c>
      <c r="S105" s="33">
        <v>1.9100000000000001E-4</v>
      </c>
      <c r="T105" s="33">
        <v>-1.03E-7</v>
      </c>
      <c r="U105" s="32">
        <v>1.3979999999999999</v>
      </c>
      <c r="V105" s="32">
        <v>-0.67</v>
      </c>
      <c r="W105" s="32" t="s">
        <v>28</v>
      </c>
      <c r="X105" s="32" t="s">
        <v>28</v>
      </c>
      <c r="Y105" s="36">
        <v>18.998403199999998</v>
      </c>
      <c r="Z105" s="27">
        <v>1</v>
      </c>
    </row>
    <row r="106" spans="8:26" x14ac:dyDescent="0.25">
      <c r="H106" s="27">
        <f t="shared" ref="H106:H108" si="3">C26</f>
        <v>0</v>
      </c>
      <c r="I106" s="70" t="s">
        <v>36</v>
      </c>
      <c r="J106" s="32">
        <v>1.0500000000000001E-2</v>
      </c>
      <c r="K106" s="32">
        <v>-4.8999999999999998E-3</v>
      </c>
      <c r="L106" s="32">
        <v>58</v>
      </c>
      <c r="M106" s="32">
        <v>38.130000000000003</v>
      </c>
      <c r="N106" s="32">
        <v>13.55</v>
      </c>
      <c r="O106" s="32">
        <v>-71.55</v>
      </c>
      <c r="P106" s="32">
        <v>-64.31</v>
      </c>
      <c r="Q106" s="33">
        <v>33.299999999999997</v>
      </c>
      <c r="R106" s="33">
        <v>-9.6299999999999997E-2</v>
      </c>
      <c r="S106" s="33">
        <v>1.8699999999999999E-4</v>
      </c>
      <c r="T106" s="33">
        <v>-9.9600000000000005E-8</v>
      </c>
      <c r="U106" s="32">
        <v>2.5150000000000001</v>
      </c>
      <c r="V106" s="32">
        <v>4.532</v>
      </c>
      <c r="W106" s="32">
        <v>625.45000000000005</v>
      </c>
      <c r="X106" s="32">
        <v>-1.8140000000000001</v>
      </c>
      <c r="Y106" s="27">
        <v>35.453000000000003</v>
      </c>
      <c r="Z106" s="27">
        <v>1</v>
      </c>
    </row>
    <row r="107" spans="8:26" x14ac:dyDescent="0.25">
      <c r="H107" s="27">
        <f t="shared" si="3"/>
        <v>0</v>
      </c>
      <c r="I107" s="70" t="s">
        <v>37</v>
      </c>
      <c r="J107" s="32">
        <v>1.3299999999999999E-2</v>
      </c>
      <c r="K107" s="32">
        <v>5.7000000000000002E-3</v>
      </c>
      <c r="L107" s="32">
        <v>71</v>
      </c>
      <c r="M107" s="32">
        <v>66.86</v>
      </c>
      <c r="N107" s="32">
        <v>43.43</v>
      </c>
      <c r="O107" s="32">
        <v>-29.48</v>
      </c>
      <c r="P107" s="32">
        <v>-38.06</v>
      </c>
      <c r="Q107" s="33">
        <v>28.6</v>
      </c>
      <c r="R107" s="33">
        <v>-6.4899999999999999E-2</v>
      </c>
      <c r="S107" s="33">
        <v>1.36E-4</v>
      </c>
      <c r="T107" s="33">
        <v>-7.4499999999999999E-8</v>
      </c>
      <c r="U107" s="32">
        <v>3.6030000000000002</v>
      </c>
      <c r="V107" s="32">
        <v>6.5819999999999999</v>
      </c>
      <c r="W107" s="32">
        <v>738.91</v>
      </c>
      <c r="X107" s="32">
        <v>-2.0379999999999998</v>
      </c>
      <c r="Y107" s="27">
        <v>79.903999999999996</v>
      </c>
      <c r="Z107" s="27">
        <v>1</v>
      </c>
    </row>
    <row r="108" spans="8:26" x14ac:dyDescent="0.25">
      <c r="H108" s="27">
        <f t="shared" si="3"/>
        <v>0</v>
      </c>
      <c r="I108" s="70" t="s">
        <v>38</v>
      </c>
      <c r="J108" s="32">
        <v>6.7999999999999996E-3</v>
      </c>
      <c r="K108" s="32">
        <v>-3.3999999999999998E-3</v>
      </c>
      <c r="L108" s="32">
        <v>97</v>
      </c>
      <c r="M108" s="32">
        <v>93.84</v>
      </c>
      <c r="N108" s="32">
        <v>41.69</v>
      </c>
      <c r="O108" s="32">
        <v>21.06</v>
      </c>
      <c r="P108" s="32">
        <v>5.74</v>
      </c>
      <c r="Q108" s="33">
        <v>32.1</v>
      </c>
      <c r="R108" s="33">
        <v>-6.4100000000000004E-2</v>
      </c>
      <c r="S108" s="33">
        <v>1.26E-4</v>
      </c>
      <c r="T108" s="33">
        <v>-6.87E-8</v>
      </c>
      <c r="U108" s="32">
        <v>2.7240000000000002</v>
      </c>
      <c r="V108" s="32">
        <v>9.52</v>
      </c>
      <c r="W108" s="32">
        <v>809.55</v>
      </c>
      <c r="X108" s="32">
        <v>-2.2240000000000002</v>
      </c>
      <c r="Y108" s="27">
        <v>126.90447</v>
      </c>
      <c r="Z108" s="27">
        <v>1</v>
      </c>
    </row>
    <row r="109" spans="8:26" x14ac:dyDescent="0.25">
      <c r="H109" s="27"/>
      <c r="I109" s="30" t="s">
        <v>39</v>
      </c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spans="8:26" x14ac:dyDescent="0.25">
      <c r="H110" s="27">
        <f>G8</f>
        <v>0</v>
      </c>
      <c r="I110" s="70" t="s">
        <v>40</v>
      </c>
      <c r="J110" s="32">
        <v>7.4099999999999999E-2</v>
      </c>
      <c r="K110" s="32">
        <v>1.12E-2</v>
      </c>
      <c r="L110" s="32">
        <v>28</v>
      </c>
      <c r="M110" s="32">
        <v>92.88</v>
      </c>
      <c r="N110" s="32">
        <v>44.45</v>
      </c>
      <c r="O110" s="32">
        <v>-208.04</v>
      </c>
      <c r="P110" s="32">
        <v>-189.2</v>
      </c>
      <c r="Q110" s="33">
        <v>25.7</v>
      </c>
      <c r="R110" s="33">
        <v>-6.9099999999999995E-2</v>
      </c>
      <c r="S110" s="33">
        <v>1.7699999999999999E-4</v>
      </c>
      <c r="T110" s="33">
        <v>-9.8799999999999998E-8</v>
      </c>
      <c r="U110" s="32">
        <v>2.4060000000000001</v>
      </c>
      <c r="V110" s="32">
        <v>16.826000000000001</v>
      </c>
      <c r="W110" s="32">
        <v>2173.7199999999998</v>
      </c>
      <c r="X110" s="32">
        <v>-5.0570000000000004</v>
      </c>
      <c r="Y110" s="27">
        <v>17.007339999999999</v>
      </c>
      <c r="Z110" s="27">
        <v>2</v>
      </c>
    </row>
    <row r="111" spans="8:26" x14ac:dyDescent="0.25">
      <c r="H111" s="27">
        <f t="shared" ref="H111:H119" si="4">G9</f>
        <v>0</v>
      </c>
      <c r="I111" s="70" t="s">
        <v>41</v>
      </c>
      <c r="J111" s="32">
        <v>2.4E-2</v>
      </c>
      <c r="K111" s="32">
        <v>1.84E-2</v>
      </c>
      <c r="L111" s="32">
        <v>-25</v>
      </c>
      <c r="M111" s="32">
        <v>76.34</v>
      </c>
      <c r="N111" s="32">
        <v>82.83</v>
      </c>
      <c r="O111" s="32">
        <v>-221.65</v>
      </c>
      <c r="P111" s="32">
        <v>-197.37</v>
      </c>
      <c r="Q111" s="32">
        <v>-2.81</v>
      </c>
      <c r="R111" s="33">
        <v>0.111</v>
      </c>
      <c r="S111" s="33">
        <v>-1.16E-4</v>
      </c>
      <c r="T111" s="33">
        <v>4.9399999999999999E-8</v>
      </c>
      <c r="U111" s="32">
        <v>4.49</v>
      </c>
      <c r="V111" s="32">
        <v>12.499000000000001</v>
      </c>
      <c r="W111" s="32">
        <v>3018.17</v>
      </c>
      <c r="X111" s="32">
        <v>-7.3140000000000001</v>
      </c>
      <c r="Y111" s="27">
        <v>17.007339999999999</v>
      </c>
      <c r="Z111" s="27">
        <v>2</v>
      </c>
    </row>
    <row r="112" spans="8:26" x14ac:dyDescent="0.25">
      <c r="H112" s="27">
        <f t="shared" si="4"/>
        <v>0</v>
      </c>
      <c r="I112" s="70" t="s">
        <v>42</v>
      </c>
      <c r="J112" s="32">
        <v>1.6799999999999999E-2</v>
      </c>
      <c r="K112" s="32">
        <v>1.5E-3</v>
      </c>
      <c r="L112" s="32">
        <v>18</v>
      </c>
      <c r="M112" s="32">
        <v>22.42</v>
      </c>
      <c r="N112" s="32">
        <v>22.23</v>
      </c>
      <c r="O112" s="32">
        <v>-132.22</v>
      </c>
      <c r="P112" s="32">
        <v>-105</v>
      </c>
      <c r="Q112" s="33">
        <v>25.5</v>
      </c>
      <c r="R112" s="33">
        <v>-6.3200000000000006E-2</v>
      </c>
      <c r="S112" s="33">
        <v>1.11E-4</v>
      </c>
      <c r="T112" s="33">
        <v>-5.4800000000000001E-8</v>
      </c>
      <c r="U112" s="32">
        <v>1.1879999999999999</v>
      </c>
      <c r="V112" s="32">
        <v>2.41</v>
      </c>
      <c r="W112" s="32">
        <v>122.09</v>
      </c>
      <c r="X112" s="32">
        <v>-0.38600000000000001</v>
      </c>
      <c r="Y112" s="27">
        <v>15.9994</v>
      </c>
      <c r="Z112" s="27">
        <v>1</v>
      </c>
    </row>
    <row r="113" spans="8:26" x14ac:dyDescent="0.25">
      <c r="H113" s="27">
        <f t="shared" si="4"/>
        <v>0</v>
      </c>
      <c r="I113" s="70" t="s">
        <v>43</v>
      </c>
      <c r="J113" s="32">
        <v>9.7999999999999997E-3</v>
      </c>
      <c r="K113" s="32">
        <v>4.7999999999999996E-3</v>
      </c>
      <c r="L113" s="32">
        <v>13</v>
      </c>
      <c r="M113" s="32">
        <v>31.22</v>
      </c>
      <c r="N113" s="32">
        <v>23.05</v>
      </c>
      <c r="O113" s="32">
        <v>-138.16</v>
      </c>
      <c r="P113" s="32">
        <v>-98.22</v>
      </c>
      <c r="Q113" s="33">
        <v>12.2</v>
      </c>
      <c r="R113" s="33">
        <v>-1.26E-2</v>
      </c>
      <c r="S113" s="33">
        <v>6.0300000000000002E-5</v>
      </c>
      <c r="T113" s="33">
        <v>-3.8600000000000002E-8</v>
      </c>
      <c r="U113" s="32">
        <v>5.8789999999999996</v>
      </c>
      <c r="V113" s="32">
        <v>4.6820000000000004</v>
      </c>
      <c r="W113" s="32">
        <v>440.24</v>
      </c>
      <c r="X113" s="32">
        <v>-0.95299999999999996</v>
      </c>
      <c r="Y113" s="27">
        <v>15.9994</v>
      </c>
      <c r="Z113" s="27">
        <v>1</v>
      </c>
    </row>
    <row r="114" spans="8:26" x14ac:dyDescent="0.25">
      <c r="H114" s="27">
        <f t="shared" si="4"/>
        <v>0</v>
      </c>
      <c r="I114" s="70" t="s">
        <v>44</v>
      </c>
      <c r="J114" s="32">
        <v>3.7999999999999999E-2</v>
      </c>
      <c r="K114" s="32">
        <v>3.0999999999999999E-3</v>
      </c>
      <c r="L114" s="32">
        <v>62</v>
      </c>
      <c r="M114" s="32">
        <v>76.75</v>
      </c>
      <c r="N114" s="32">
        <v>61.2</v>
      </c>
      <c r="O114" s="32">
        <v>-133.22</v>
      </c>
      <c r="P114" s="32">
        <v>-120.5</v>
      </c>
      <c r="Q114" s="32">
        <v>6.45</v>
      </c>
      <c r="R114" s="33">
        <v>6.7000000000000004E-2</v>
      </c>
      <c r="S114" s="33">
        <v>-3.57E-5</v>
      </c>
      <c r="T114" s="33">
        <v>2.86E-9</v>
      </c>
      <c r="U114" s="32">
        <v>4.1890000000000001</v>
      </c>
      <c r="V114" s="32">
        <v>8.9719999999999995</v>
      </c>
      <c r="W114" s="32">
        <v>340.35</v>
      </c>
      <c r="X114" s="32">
        <v>-0.35</v>
      </c>
      <c r="Y114" s="27">
        <v>28.010100000000001</v>
      </c>
      <c r="Z114" s="27">
        <v>2</v>
      </c>
    </row>
    <row r="115" spans="8:26" x14ac:dyDescent="0.25">
      <c r="H115" s="27">
        <f t="shared" si="4"/>
        <v>0</v>
      </c>
      <c r="I115" s="70" t="s">
        <v>45</v>
      </c>
      <c r="J115" s="32">
        <v>2.8400000000000002E-2</v>
      </c>
      <c r="K115" s="32">
        <v>2.8E-3</v>
      </c>
      <c r="L115" s="32">
        <v>55</v>
      </c>
      <c r="M115" s="32">
        <v>94.97</v>
      </c>
      <c r="N115" s="32">
        <v>75.97</v>
      </c>
      <c r="O115" s="32">
        <v>-164.5</v>
      </c>
      <c r="P115" s="32">
        <v>-126.27</v>
      </c>
      <c r="Q115" s="33">
        <v>30.4</v>
      </c>
      <c r="R115" s="33">
        <v>-8.2900000000000001E-2</v>
      </c>
      <c r="S115" s="33">
        <v>2.3599999999999999E-4</v>
      </c>
      <c r="T115" s="33">
        <v>-1.31E-7</v>
      </c>
      <c r="U115" s="32">
        <v>0</v>
      </c>
      <c r="V115" s="32">
        <v>6.6449999999999996</v>
      </c>
      <c r="W115" s="32" t="s">
        <v>28</v>
      </c>
      <c r="X115" s="32" t="s">
        <v>28</v>
      </c>
      <c r="Y115" s="27">
        <v>28.010100000000001</v>
      </c>
      <c r="Z115" s="27">
        <v>2</v>
      </c>
    </row>
    <row r="116" spans="8:26" x14ac:dyDescent="0.25">
      <c r="H116" s="27">
        <f t="shared" si="4"/>
        <v>0</v>
      </c>
      <c r="I116" s="70" t="s">
        <v>46</v>
      </c>
      <c r="J116" s="32">
        <v>3.7900000000000003E-2</v>
      </c>
      <c r="K116" s="32">
        <v>3.0000000000000001E-3</v>
      </c>
      <c r="L116" s="32">
        <v>82</v>
      </c>
      <c r="M116" s="32">
        <v>72.239999999999995</v>
      </c>
      <c r="N116" s="32">
        <v>36.9</v>
      </c>
      <c r="O116" s="32">
        <v>-162.03</v>
      </c>
      <c r="P116" s="32">
        <v>-143.47999999999999</v>
      </c>
      <c r="Q116" s="33">
        <v>30.9</v>
      </c>
      <c r="R116" s="33">
        <v>-3.3599999999999998E-2</v>
      </c>
      <c r="S116" s="33">
        <v>1.6000000000000001E-4</v>
      </c>
      <c r="T116" s="33">
        <v>-9.8799999999999998E-8</v>
      </c>
      <c r="U116" s="32">
        <v>3.1970000000000001</v>
      </c>
      <c r="V116" s="32">
        <v>9.093</v>
      </c>
      <c r="W116" s="32">
        <v>740.92</v>
      </c>
      <c r="X116" s="32">
        <v>-1.7130000000000001</v>
      </c>
      <c r="Y116" s="27">
        <v>29.018040000000003</v>
      </c>
      <c r="Z116" s="27">
        <v>3</v>
      </c>
    </row>
    <row r="117" spans="8:26" x14ac:dyDescent="0.25">
      <c r="H117" s="27">
        <f t="shared" si="4"/>
        <v>1</v>
      </c>
      <c r="I117" s="70" t="s">
        <v>47</v>
      </c>
      <c r="J117" s="32">
        <v>7.9100000000000004E-2</v>
      </c>
      <c r="K117" s="32">
        <v>7.7000000000000002E-3</v>
      </c>
      <c r="L117" s="32">
        <v>89</v>
      </c>
      <c r="M117" s="32">
        <v>169.09</v>
      </c>
      <c r="N117" s="32">
        <v>155.5</v>
      </c>
      <c r="O117" s="32">
        <v>-426.72</v>
      </c>
      <c r="P117" s="32">
        <v>-387.87</v>
      </c>
      <c r="Q117" s="33">
        <v>24.1</v>
      </c>
      <c r="R117" s="33">
        <v>4.2700000000000002E-2</v>
      </c>
      <c r="S117" s="33">
        <v>8.0400000000000003E-5</v>
      </c>
      <c r="T117" s="33">
        <v>-6.87E-8</v>
      </c>
      <c r="U117" s="32">
        <v>11.051</v>
      </c>
      <c r="V117" s="32">
        <v>19.536999999999999</v>
      </c>
      <c r="W117" s="32">
        <v>1317.23</v>
      </c>
      <c r="X117" s="32">
        <v>-2.5779999999999998</v>
      </c>
      <c r="Y117" s="27">
        <v>45.017440000000001</v>
      </c>
      <c r="Z117" s="27">
        <v>4</v>
      </c>
    </row>
    <row r="118" spans="8:26" x14ac:dyDescent="0.25">
      <c r="H118" s="27">
        <f t="shared" si="4"/>
        <v>0</v>
      </c>
      <c r="I118" s="70" t="s">
        <v>48</v>
      </c>
      <c r="J118" s="32">
        <v>4.8099999999999997E-2</v>
      </c>
      <c r="K118" s="32">
        <v>5.0000000000000001E-4</v>
      </c>
      <c r="L118" s="32">
        <v>82</v>
      </c>
      <c r="M118" s="32">
        <v>81.099999999999994</v>
      </c>
      <c r="N118" s="32">
        <v>53.6</v>
      </c>
      <c r="O118" s="32">
        <v>-337.92</v>
      </c>
      <c r="P118" s="32">
        <v>-301.95</v>
      </c>
      <c r="Q118" s="33">
        <v>24.5</v>
      </c>
      <c r="R118" s="33">
        <v>4.02E-2</v>
      </c>
      <c r="S118" s="33">
        <v>4.0200000000000001E-5</v>
      </c>
      <c r="T118" s="33">
        <v>-4.5200000000000001E-8</v>
      </c>
      <c r="U118" s="32">
        <v>6.9589999999999996</v>
      </c>
      <c r="V118" s="32">
        <v>9.6329999999999991</v>
      </c>
      <c r="W118" s="32">
        <v>483.88</v>
      </c>
      <c r="X118" s="32">
        <v>-0.96599999999999997</v>
      </c>
      <c r="Y118" s="27">
        <v>44.009500000000003</v>
      </c>
      <c r="Z118" s="27">
        <v>3</v>
      </c>
    </row>
    <row r="119" spans="8:26" x14ac:dyDescent="0.25">
      <c r="H119" s="27">
        <f t="shared" si="4"/>
        <v>0</v>
      </c>
      <c r="I119" s="31" t="s">
        <v>61</v>
      </c>
      <c r="J119" s="32" t="s">
        <v>49</v>
      </c>
      <c r="K119" s="32">
        <v>1.01E-2</v>
      </c>
      <c r="L119" s="32">
        <v>36</v>
      </c>
      <c r="M119" s="32">
        <v>-10.5</v>
      </c>
      <c r="N119" s="32">
        <v>2.08</v>
      </c>
      <c r="O119" s="32">
        <v>-247.61</v>
      </c>
      <c r="P119" s="32">
        <v>-250.83</v>
      </c>
      <c r="Q119" s="32">
        <v>6.82</v>
      </c>
      <c r="R119" s="33">
        <v>1.9599999999999999E-2</v>
      </c>
      <c r="S119" s="33">
        <v>1.27E-5</v>
      </c>
      <c r="T119" s="33">
        <v>-1.7800000000000001E-8</v>
      </c>
      <c r="U119" s="32">
        <v>3.6240000000000001</v>
      </c>
      <c r="V119" s="32">
        <v>5.9089999999999998</v>
      </c>
      <c r="W119" s="32">
        <v>675.24</v>
      </c>
      <c r="X119" s="32">
        <v>-1.34</v>
      </c>
      <c r="Y119" s="27">
        <v>15.9994</v>
      </c>
      <c r="Z119" s="27">
        <v>1</v>
      </c>
    </row>
    <row r="120" spans="8:26" x14ac:dyDescent="0.25">
      <c r="H120" s="27"/>
      <c r="I120" s="30" t="s">
        <v>50</v>
      </c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spans="8:26" x14ac:dyDescent="0.25">
      <c r="H121" s="27">
        <f>G19</f>
        <v>0</v>
      </c>
      <c r="I121" s="31" t="s">
        <v>64</v>
      </c>
      <c r="J121" s="32">
        <v>2.4299999999999999E-2</v>
      </c>
      <c r="K121" s="32">
        <v>1.09E-2</v>
      </c>
      <c r="L121" s="32">
        <v>38</v>
      </c>
      <c r="M121" s="32">
        <v>73.23</v>
      </c>
      <c r="N121" s="32">
        <v>66.89</v>
      </c>
      <c r="O121" s="32">
        <v>-22.02</v>
      </c>
      <c r="P121" s="32">
        <v>14.07</v>
      </c>
      <c r="Q121" s="33">
        <v>26.9</v>
      </c>
      <c r="R121" s="33">
        <v>-4.1200000000000001E-2</v>
      </c>
      <c r="S121" s="33">
        <v>1.64E-4</v>
      </c>
      <c r="T121" s="33">
        <v>-9.76E-8</v>
      </c>
      <c r="U121" s="32">
        <v>3.5150000000000001</v>
      </c>
      <c r="V121" s="32">
        <v>10.788</v>
      </c>
      <c r="W121" s="32"/>
      <c r="X121" s="32"/>
      <c r="Y121" s="27">
        <v>16.022580000000001</v>
      </c>
      <c r="Z121" s="27">
        <v>3</v>
      </c>
    </row>
    <row r="122" spans="8:26" x14ac:dyDescent="0.25">
      <c r="H122" s="27">
        <f t="shared" ref="H122:H129" si="5">G20</f>
        <v>0</v>
      </c>
      <c r="I122" s="70" t="s">
        <v>51</v>
      </c>
      <c r="J122" s="32">
        <v>2.9499999999999998E-2</v>
      </c>
      <c r="K122" s="32">
        <v>7.7000000000000002E-3</v>
      </c>
      <c r="L122" s="32">
        <v>35</v>
      </c>
      <c r="M122" s="32">
        <v>50.17</v>
      </c>
      <c r="N122" s="32">
        <v>52.66</v>
      </c>
      <c r="O122" s="32">
        <v>53.47</v>
      </c>
      <c r="P122" s="32">
        <v>89.39</v>
      </c>
      <c r="Q122" s="32">
        <v>-1.21</v>
      </c>
      <c r="R122" s="33">
        <v>7.6200000000000004E-2</v>
      </c>
      <c r="S122" s="33">
        <v>-4.8600000000000002E-5</v>
      </c>
      <c r="T122" s="33">
        <v>1.05E-8</v>
      </c>
      <c r="U122" s="32">
        <v>5.0990000000000002</v>
      </c>
      <c r="V122" s="32">
        <v>6.4359999999999999</v>
      </c>
      <c r="W122" s="32"/>
      <c r="X122" s="32"/>
      <c r="Y122" s="27">
        <v>15.01464</v>
      </c>
      <c r="Z122" s="27">
        <v>2</v>
      </c>
    </row>
    <row r="123" spans="8:26" x14ac:dyDescent="0.25">
      <c r="H123" s="27">
        <f t="shared" si="5"/>
        <v>0</v>
      </c>
      <c r="I123" s="70" t="s">
        <v>52</v>
      </c>
      <c r="J123" s="32">
        <v>1.2999999999999999E-2</v>
      </c>
      <c r="K123" s="32">
        <v>1.14E-2</v>
      </c>
      <c r="L123" s="32">
        <v>29</v>
      </c>
      <c r="M123" s="32">
        <v>52.82</v>
      </c>
      <c r="N123" s="32">
        <v>101.51</v>
      </c>
      <c r="O123" s="32">
        <v>31.65</v>
      </c>
      <c r="P123" s="32">
        <v>75.61</v>
      </c>
      <c r="Q123" s="33">
        <v>11.8</v>
      </c>
      <c r="R123" s="33">
        <v>-2.3E-2</v>
      </c>
      <c r="S123" s="33">
        <v>1.07E-4</v>
      </c>
      <c r="T123" s="33">
        <v>-6.2800000000000006E-8</v>
      </c>
      <c r="U123" s="32">
        <v>7.49</v>
      </c>
      <c r="V123" s="32">
        <v>6.93</v>
      </c>
      <c r="W123" s="32"/>
      <c r="X123" s="32"/>
      <c r="Y123" s="27">
        <v>15.01464</v>
      </c>
      <c r="Z123" s="27">
        <v>2</v>
      </c>
    </row>
    <row r="124" spans="8:26" x14ac:dyDescent="0.25">
      <c r="H124" s="27">
        <f t="shared" si="5"/>
        <v>0</v>
      </c>
      <c r="I124" s="70" t="s">
        <v>53</v>
      </c>
      <c r="J124" s="32">
        <v>1.6899999999999998E-2</v>
      </c>
      <c r="K124" s="32">
        <v>7.4000000000000003E-3</v>
      </c>
      <c r="L124" s="32">
        <v>9</v>
      </c>
      <c r="M124" s="32">
        <v>11.74</v>
      </c>
      <c r="N124" s="32">
        <v>48.84</v>
      </c>
      <c r="O124" s="32">
        <v>123.34</v>
      </c>
      <c r="P124" s="32">
        <v>163.16</v>
      </c>
      <c r="Q124" s="33">
        <v>-31.1</v>
      </c>
      <c r="R124" s="33">
        <v>0.22700000000000001</v>
      </c>
      <c r="S124" s="33">
        <v>-3.2000000000000003E-4</v>
      </c>
      <c r="T124" s="33">
        <v>1.4600000000000001E-7</v>
      </c>
      <c r="U124" s="32">
        <v>4.7030000000000003</v>
      </c>
      <c r="V124" s="32">
        <v>1.8959999999999999</v>
      </c>
      <c r="W124" s="32"/>
      <c r="X124" s="32"/>
      <c r="Y124" s="27">
        <v>14.0067</v>
      </c>
      <c r="Z124" s="27">
        <v>1</v>
      </c>
    </row>
    <row r="125" spans="8:26" x14ac:dyDescent="0.25">
      <c r="H125" s="27">
        <f t="shared" si="5"/>
        <v>0</v>
      </c>
      <c r="I125" s="70" t="s">
        <v>54</v>
      </c>
      <c r="J125" s="32">
        <v>2.5499999999999998E-2</v>
      </c>
      <c r="K125" s="32">
        <v>-9.9000000000000008E-3</v>
      </c>
      <c r="L125" s="32"/>
      <c r="M125" s="32">
        <v>74.599999999999994</v>
      </c>
      <c r="N125" s="32"/>
      <c r="O125" s="32">
        <v>23.61</v>
      </c>
      <c r="P125" s="32"/>
      <c r="Q125" s="32"/>
      <c r="R125" s="32"/>
      <c r="S125" s="32"/>
      <c r="T125" s="32"/>
      <c r="U125" s="32"/>
      <c r="V125" s="32">
        <v>3.335</v>
      </c>
      <c r="W125" s="32"/>
      <c r="X125" s="32"/>
      <c r="Y125" s="27">
        <v>14.0067</v>
      </c>
      <c r="Z125" s="27">
        <v>1</v>
      </c>
    </row>
    <row r="126" spans="8:26" x14ac:dyDescent="0.25">
      <c r="H126" s="27">
        <f t="shared" si="5"/>
        <v>0</v>
      </c>
      <c r="I126" s="70" t="s">
        <v>55</v>
      </c>
      <c r="J126" s="32">
        <v>8.5000000000000006E-3</v>
      </c>
      <c r="K126" s="32">
        <v>7.6E-3</v>
      </c>
      <c r="L126" s="32">
        <v>34</v>
      </c>
      <c r="M126" s="32">
        <v>57.55</v>
      </c>
      <c r="N126" s="32">
        <v>68.400000000000006</v>
      </c>
      <c r="O126" s="32">
        <v>55.52</v>
      </c>
      <c r="P126" s="32">
        <v>79.930000000000007</v>
      </c>
      <c r="Q126" s="32">
        <v>8.83</v>
      </c>
      <c r="R126" s="33">
        <v>-3.8400000000000001E-3</v>
      </c>
      <c r="S126" s="33">
        <v>4.35E-5</v>
      </c>
      <c r="T126" s="33">
        <v>-2.6000000000000001E-8</v>
      </c>
      <c r="U126" s="32">
        <v>3.649</v>
      </c>
      <c r="V126" s="32">
        <v>6.5279999999999996</v>
      </c>
      <c r="W126" s="32"/>
      <c r="X126" s="32"/>
      <c r="Y126" s="27">
        <v>14.0067</v>
      </c>
      <c r="Z126" s="27">
        <v>1</v>
      </c>
    </row>
    <row r="127" spans="8:26" x14ac:dyDescent="0.25">
      <c r="H127" s="27">
        <f t="shared" si="5"/>
        <v>0</v>
      </c>
      <c r="I127" s="31" t="s">
        <v>62</v>
      </c>
      <c r="J127" s="32"/>
      <c r="K127" s="32"/>
      <c r="L127" s="32"/>
      <c r="M127" s="32">
        <v>83.08</v>
      </c>
      <c r="N127" s="32">
        <v>68.91</v>
      </c>
      <c r="O127" s="32">
        <v>93.7</v>
      </c>
      <c r="P127" s="32">
        <v>119.66</v>
      </c>
      <c r="Q127" s="32">
        <v>5.69</v>
      </c>
      <c r="R127" s="33">
        <v>-4.1200000000000004E-3</v>
      </c>
      <c r="S127" s="33">
        <v>1.2799999999999999E-4</v>
      </c>
      <c r="T127" s="33">
        <v>-8.8800000000000001E-8</v>
      </c>
      <c r="U127" s="32" t="s">
        <v>28</v>
      </c>
      <c r="V127" s="32">
        <v>12.169</v>
      </c>
      <c r="W127" s="32"/>
      <c r="X127" s="32"/>
      <c r="Y127" s="27">
        <v>15.01464</v>
      </c>
      <c r="Z127" s="27">
        <v>2</v>
      </c>
    </row>
    <row r="128" spans="8:26" x14ac:dyDescent="0.25">
      <c r="H128" s="27">
        <f t="shared" si="5"/>
        <v>0</v>
      </c>
      <c r="I128" s="70" t="s">
        <v>56</v>
      </c>
      <c r="J128" s="32">
        <v>4.9599999999999998E-2</v>
      </c>
      <c r="K128" s="32">
        <v>-1.01E-2</v>
      </c>
      <c r="L128" s="32">
        <v>91</v>
      </c>
      <c r="M128" s="32">
        <v>125.66</v>
      </c>
      <c r="N128" s="32">
        <v>59.89</v>
      </c>
      <c r="O128" s="32">
        <v>88.43</v>
      </c>
      <c r="P128" s="32">
        <v>89.22</v>
      </c>
      <c r="Q128" s="33">
        <v>36.5</v>
      </c>
      <c r="R128" s="33">
        <v>-7.3300000000000004E-2</v>
      </c>
      <c r="S128" s="33">
        <v>1.84E-4</v>
      </c>
      <c r="T128" s="33">
        <v>-1.03E-7</v>
      </c>
      <c r="U128" s="32">
        <v>2.4140000000000001</v>
      </c>
      <c r="V128" s="32">
        <v>12.851000000000001</v>
      </c>
      <c r="W128" s="32"/>
      <c r="X128" s="32"/>
      <c r="Y128" s="27">
        <v>26.017400000000002</v>
      </c>
      <c r="Z128" s="27">
        <v>2</v>
      </c>
    </row>
    <row r="129" spans="8:26" x14ac:dyDescent="0.25">
      <c r="H129" s="27">
        <f t="shared" si="5"/>
        <v>1</v>
      </c>
      <c r="I129" s="31" t="s">
        <v>65</v>
      </c>
      <c r="J129" s="32">
        <v>4.3700000000000003E-2</v>
      </c>
      <c r="K129" s="32">
        <v>6.4000000000000003E-3</v>
      </c>
      <c r="L129" s="32">
        <v>91</v>
      </c>
      <c r="M129" s="32">
        <v>152.54</v>
      </c>
      <c r="N129" s="32">
        <v>127.24</v>
      </c>
      <c r="O129" s="32">
        <v>-66.569999999999993</v>
      </c>
      <c r="P129" s="32">
        <v>-16.829999999999998</v>
      </c>
      <c r="Q129" s="33">
        <v>25.9</v>
      </c>
      <c r="R129" s="33">
        <v>-3.7399999999999998E-3</v>
      </c>
      <c r="S129" s="33">
        <v>1.2899999999999999E-4</v>
      </c>
      <c r="T129" s="33">
        <v>-8.8800000000000001E-8</v>
      </c>
      <c r="U129" s="32">
        <v>9.6790000000000003</v>
      </c>
      <c r="V129" s="32">
        <v>16.738</v>
      </c>
      <c r="W129" s="32"/>
      <c r="X129" s="32"/>
      <c r="Y129" s="27">
        <v>46.005499999999998</v>
      </c>
      <c r="Z129" s="27">
        <v>3</v>
      </c>
    </row>
    <row r="130" spans="8:26" x14ac:dyDescent="0.25">
      <c r="H130" s="27"/>
      <c r="I130" s="30" t="s">
        <v>57</v>
      </c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spans="8:26" x14ac:dyDescent="0.25">
      <c r="H131" s="27">
        <f>G29</f>
        <v>0</v>
      </c>
      <c r="I131" s="70" t="s">
        <v>58</v>
      </c>
      <c r="J131" s="32">
        <v>3.0999999999999999E-3</v>
      </c>
      <c r="K131" s="32">
        <v>8.3999999999999995E-3</v>
      </c>
      <c r="L131" s="32">
        <v>63</v>
      </c>
      <c r="M131" s="32">
        <v>63.56</v>
      </c>
      <c r="N131" s="32">
        <v>20.09</v>
      </c>
      <c r="O131" s="32">
        <v>-17.329999999999998</v>
      </c>
      <c r="P131" s="32">
        <v>-22.99</v>
      </c>
      <c r="Q131" s="33">
        <v>35.299999999999997</v>
      </c>
      <c r="R131" s="33">
        <v>-7.5800000000000006E-2</v>
      </c>
      <c r="S131" s="33">
        <v>1.85E-4</v>
      </c>
      <c r="T131" s="33">
        <v>-1.03E-7</v>
      </c>
      <c r="U131" s="32">
        <v>2.36</v>
      </c>
      <c r="V131" s="32">
        <v>6.8840000000000003</v>
      </c>
      <c r="W131" s="32"/>
      <c r="X131" s="32"/>
      <c r="Y131" s="27">
        <v>33.072939999999996</v>
      </c>
      <c r="Z131" s="27">
        <v>2</v>
      </c>
    </row>
    <row r="132" spans="8:26" x14ac:dyDescent="0.25">
      <c r="H132" s="27">
        <f t="shared" ref="H132:H133" si="6">G30</f>
        <v>0</v>
      </c>
      <c r="I132" s="70" t="s">
        <v>59</v>
      </c>
      <c r="J132" s="32">
        <v>1.1900000000000001E-2</v>
      </c>
      <c r="K132" s="32">
        <v>4.8999999999999998E-3</v>
      </c>
      <c r="L132" s="32">
        <v>54</v>
      </c>
      <c r="M132" s="32">
        <v>68.78</v>
      </c>
      <c r="N132" s="32">
        <v>34.4</v>
      </c>
      <c r="O132" s="32">
        <v>41.87</v>
      </c>
      <c r="P132" s="32">
        <v>33.119999999999997</v>
      </c>
      <c r="Q132" s="33">
        <v>19.600000000000001</v>
      </c>
      <c r="R132" s="33">
        <v>-5.6100000000000004E-3</v>
      </c>
      <c r="S132" s="33">
        <v>4.0200000000000001E-5</v>
      </c>
      <c r="T132" s="33">
        <v>-2.7599999999999999E-8</v>
      </c>
      <c r="U132" s="32">
        <v>4.13</v>
      </c>
      <c r="V132" s="32">
        <v>6.8170000000000002</v>
      </c>
      <c r="W132" s="32"/>
      <c r="X132" s="32"/>
      <c r="Y132" s="27">
        <v>32.064999999999998</v>
      </c>
      <c r="Z132" s="27">
        <v>1</v>
      </c>
    </row>
    <row r="133" spans="8:26" x14ac:dyDescent="0.25">
      <c r="H133" s="27">
        <f t="shared" si="6"/>
        <v>0</v>
      </c>
      <c r="I133" s="70" t="s">
        <v>60</v>
      </c>
      <c r="J133" s="32">
        <v>1.9E-3</v>
      </c>
      <c r="K133" s="32">
        <v>5.1000000000000004E-3</v>
      </c>
      <c r="L133" s="32">
        <v>38</v>
      </c>
      <c r="M133" s="32">
        <v>52.1</v>
      </c>
      <c r="N133" s="32">
        <v>79.930000000000007</v>
      </c>
      <c r="O133" s="32">
        <v>39.1</v>
      </c>
      <c r="P133" s="32">
        <v>27.76</v>
      </c>
      <c r="Q133" s="33">
        <v>16.7</v>
      </c>
      <c r="R133" s="33">
        <v>4.81E-3</v>
      </c>
      <c r="S133" s="33">
        <v>2.7699999999999999E-5</v>
      </c>
      <c r="T133" s="33">
        <v>-2.11E-8</v>
      </c>
      <c r="U133" s="32">
        <v>1.5569999999999999</v>
      </c>
      <c r="V133" s="32">
        <v>5.984</v>
      </c>
      <c r="W133" s="32"/>
      <c r="X133" s="32"/>
      <c r="Y133" s="27">
        <v>32.064999999999998</v>
      </c>
      <c r="Z133" s="27">
        <v>1</v>
      </c>
    </row>
    <row r="136" spans="8:26" x14ac:dyDescent="0.25">
      <c r="I136" s="10" t="s">
        <v>93</v>
      </c>
    </row>
    <row r="137" spans="8:26" x14ac:dyDescent="0.25">
      <c r="I137" t="s">
        <v>68</v>
      </c>
      <c r="J137">
        <f>G37*0.98692327</f>
        <v>42.492614665784899</v>
      </c>
      <c r="K137" t="s">
        <v>84</v>
      </c>
    </row>
    <row r="138" spans="8:26" x14ac:dyDescent="0.25">
      <c r="I138" t="s">
        <v>85</v>
      </c>
      <c r="J138">
        <f>G35/G36</f>
        <v>0.70269740999999997</v>
      </c>
    </row>
    <row r="139" spans="8:26" x14ac:dyDescent="0.25">
      <c r="I139" s="15" t="s">
        <v>86</v>
      </c>
      <c r="J139" s="16">
        <f>(-1*LN(J137)-5.92714+6.09648/J138 + 1.28862*LN(J138)-0.169347*(J138^6) )/(15.2518 - 15.6875/J138-13.4721*LN(J138)+0.43577*(J138^6) )</f>
        <v>0.65092467998217063</v>
      </c>
    </row>
    <row r="141" spans="8:26" x14ac:dyDescent="0.25">
      <c r="I141" s="6" t="s">
        <v>94</v>
      </c>
    </row>
    <row r="142" spans="8:26" x14ac:dyDescent="0.25">
      <c r="I142" t="s">
        <v>95</v>
      </c>
      <c r="J142" s="14">
        <f>Q83-37.93</f>
        <v>107.35</v>
      </c>
    </row>
    <row r="143" spans="8:26" x14ac:dyDescent="0.25">
      <c r="I143" t="s">
        <v>96</v>
      </c>
      <c r="J143" s="14">
        <f>R83+0.21</f>
        <v>0.24597999999999998</v>
      </c>
    </row>
    <row r="144" spans="8:26" x14ac:dyDescent="0.25">
      <c r="I144" t="s">
        <v>66</v>
      </c>
      <c r="J144" s="4">
        <f>S83-0.000391</f>
        <v>2.6947999999999995E-4</v>
      </c>
    </row>
    <row r="145" spans="9:10" x14ac:dyDescent="0.25">
      <c r="I145" t="s">
        <v>97</v>
      </c>
      <c r="J145">
        <f>T83+0.000000206</f>
        <v>-2.4649999999999999E-7</v>
      </c>
    </row>
    <row r="147" spans="9:10" x14ac:dyDescent="0.25">
      <c r="I147" s="6" t="s">
        <v>103</v>
      </c>
    </row>
    <row r="148" spans="9:10" x14ac:dyDescent="0.25">
      <c r="I148" t="s">
        <v>95</v>
      </c>
      <c r="J148">
        <f>W83-597.82</f>
        <v>2046.6499999999996</v>
      </c>
    </row>
    <row r="149" spans="9:10" x14ac:dyDescent="0.25">
      <c r="I149" t="s">
        <v>96</v>
      </c>
      <c r="J149">
        <f>X83-11.202</f>
        <v>-17.605</v>
      </c>
    </row>
  </sheetData>
  <mergeCells count="19">
    <mergeCell ref="B2:G2"/>
    <mergeCell ref="B5:C5"/>
    <mergeCell ref="B7:C7"/>
    <mergeCell ref="E7:G7"/>
    <mergeCell ref="B18:C18"/>
    <mergeCell ref="E18:G18"/>
    <mergeCell ref="B24:C24"/>
    <mergeCell ref="E28:G28"/>
    <mergeCell ref="B33:G33"/>
    <mergeCell ref="I85:I86"/>
    <mergeCell ref="J85:L86"/>
    <mergeCell ref="O85:P85"/>
    <mergeCell ref="Q85:T86"/>
    <mergeCell ref="U85:V85"/>
    <mergeCell ref="W85:X86"/>
    <mergeCell ref="M86:N86"/>
    <mergeCell ref="O86:P86"/>
    <mergeCell ref="U86:V86"/>
    <mergeCell ref="M85:N85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0E606-ACD0-4866-A75C-BBB1B702E718}">
  <dimension ref="A1:Z149"/>
  <sheetViews>
    <sheetView showGridLines="0" topLeftCell="A11" workbookViewId="0">
      <selection activeCell="A49" sqref="A49:XFD49"/>
    </sheetView>
  </sheetViews>
  <sheetFormatPr defaultRowHeight="15" x14ac:dyDescent="0.25"/>
  <cols>
    <col min="1" max="1" width="4.7109375" style="7" customWidth="1"/>
    <col min="4" max="4" width="3.85546875" customWidth="1"/>
    <col min="5" max="5" width="10.42578125" customWidth="1"/>
    <col min="6" max="6" width="10" customWidth="1"/>
    <col min="7" max="7" width="18.140625" bestFit="1" customWidth="1"/>
    <col min="9" max="9" width="20.7109375" bestFit="1" customWidth="1"/>
    <col min="10" max="10" width="11" bestFit="1" customWidth="1"/>
    <col min="25" max="25" width="10.5703125" bestFit="1" customWidth="1"/>
  </cols>
  <sheetData>
    <row r="1" spans="2:18" ht="9" customHeight="1" x14ac:dyDescent="0.25"/>
    <row r="2" spans="2:18" ht="19.5" thickBot="1" x14ac:dyDescent="0.35">
      <c r="B2" s="195" t="s">
        <v>69</v>
      </c>
      <c r="C2" s="195"/>
      <c r="D2" s="195"/>
      <c r="E2" s="195"/>
      <c r="F2" s="195"/>
      <c r="G2" s="195"/>
      <c r="I2" s="85"/>
      <c r="J2" s="85"/>
      <c r="K2" s="85"/>
      <c r="L2" s="85"/>
      <c r="M2" s="85"/>
      <c r="N2" s="85"/>
      <c r="O2" s="85"/>
      <c r="P2" s="24"/>
      <c r="Q2" s="24"/>
      <c r="R2" s="24"/>
    </row>
    <row r="3" spans="2:18" ht="7.5" customHeight="1" x14ac:dyDescent="0.25">
      <c r="I3" s="81"/>
      <c r="J3" s="82"/>
      <c r="K3" s="82"/>
      <c r="L3" s="82"/>
      <c r="M3" s="82"/>
      <c r="N3" s="83"/>
      <c r="O3" s="85"/>
      <c r="P3" s="24"/>
      <c r="Q3" s="24"/>
      <c r="R3" s="24"/>
    </row>
    <row r="4" spans="2:18" ht="15.75" thickBot="1" x14ac:dyDescent="0.3">
      <c r="B4" s="17"/>
      <c r="F4" s="13" t="s">
        <v>77</v>
      </c>
      <c r="G4" s="20" t="s">
        <v>897</v>
      </c>
      <c r="I4" s="84"/>
      <c r="J4" s="85"/>
      <c r="K4" s="85"/>
      <c r="L4" s="85"/>
      <c r="M4" s="85"/>
      <c r="N4" s="86"/>
      <c r="O4" s="85"/>
      <c r="P4" s="24"/>
      <c r="Q4" s="24"/>
      <c r="R4" s="24"/>
    </row>
    <row r="5" spans="2:18" ht="15.75" thickBot="1" x14ac:dyDescent="0.3">
      <c r="B5" s="196"/>
      <c r="C5" s="197"/>
      <c r="D5" s="42"/>
      <c r="F5" s="13" t="s">
        <v>78</v>
      </c>
      <c r="G5" s="21" t="s">
        <v>112</v>
      </c>
      <c r="I5" s="84"/>
      <c r="J5" s="85"/>
      <c r="K5" s="85"/>
      <c r="L5" s="85"/>
      <c r="M5" s="85"/>
      <c r="N5" s="86"/>
      <c r="O5" s="85"/>
      <c r="P5" s="24"/>
      <c r="Q5" s="24"/>
      <c r="R5" s="24"/>
    </row>
    <row r="6" spans="2:18" ht="7.5" customHeight="1" x14ac:dyDescent="0.25">
      <c r="I6" s="84"/>
      <c r="J6" s="85"/>
      <c r="K6" s="85"/>
      <c r="L6" s="85"/>
      <c r="M6" s="85"/>
      <c r="N6" s="86"/>
      <c r="O6" s="85"/>
      <c r="P6" s="24"/>
      <c r="Q6" s="24"/>
      <c r="R6" s="24"/>
    </row>
    <row r="7" spans="2:18" x14ac:dyDescent="0.25">
      <c r="B7" s="198" t="s">
        <v>22</v>
      </c>
      <c r="C7" s="198"/>
      <c r="E7" s="198" t="s">
        <v>39</v>
      </c>
      <c r="F7" s="198"/>
      <c r="G7" s="198"/>
      <c r="I7" s="84"/>
      <c r="J7" s="85"/>
      <c r="K7" s="85"/>
      <c r="L7" s="85"/>
      <c r="M7" s="85"/>
      <c r="N7" s="86"/>
      <c r="O7" s="85"/>
      <c r="P7" s="24"/>
      <c r="Q7" s="24"/>
      <c r="R7" s="24"/>
    </row>
    <row r="8" spans="2:18" ht="18" x14ac:dyDescent="0.25">
      <c r="B8" s="1" t="s">
        <v>63</v>
      </c>
      <c r="C8" s="11">
        <v>1</v>
      </c>
      <c r="E8" s="8" t="s">
        <v>40</v>
      </c>
      <c r="G8" s="11"/>
      <c r="I8" s="84"/>
      <c r="J8" s="85"/>
      <c r="K8" s="85"/>
      <c r="L8" s="85"/>
      <c r="M8" s="85"/>
      <c r="N8" s="86"/>
      <c r="O8" s="85"/>
      <c r="P8" s="24"/>
      <c r="Q8" s="24"/>
      <c r="R8" s="24"/>
    </row>
    <row r="9" spans="2:18" ht="18" x14ac:dyDescent="0.25">
      <c r="B9" s="5" t="s">
        <v>23</v>
      </c>
      <c r="C9" s="11"/>
      <c r="E9" s="8" t="s">
        <v>41</v>
      </c>
      <c r="G9" s="11"/>
      <c r="I9" s="84"/>
      <c r="J9" s="85"/>
      <c r="K9" s="85"/>
      <c r="L9" s="85"/>
      <c r="M9" s="85"/>
      <c r="N9" s="86"/>
      <c r="O9" s="85"/>
      <c r="P9" s="24"/>
      <c r="Q9" s="24"/>
      <c r="R9" s="24"/>
    </row>
    <row r="10" spans="2:18" ht="15.75" customHeight="1" x14ac:dyDescent="0.25">
      <c r="B10" s="5" t="s">
        <v>24</v>
      </c>
      <c r="C10" s="11"/>
      <c r="E10" s="8" t="s">
        <v>42</v>
      </c>
      <c r="G10" s="11"/>
      <c r="I10" s="84"/>
      <c r="J10" s="85"/>
      <c r="K10" s="85"/>
      <c r="L10" s="85"/>
      <c r="M10" s="85"/>
      <c r="N10" s="86"/>
      <c r="O10" s="85"/>
      <c r="P10" s="24"/>
      <c r="Q10" s="24"/>
      <c r="R10" s="24"/>
    </row>
    <row r="11" spans="2:18" x14ac:dyDescent="0.25">
      <c r="B11" s="5" t="s">
        <v>25</v>
      </c>
      <c r="C11" s="11"/>
      <c r="E11" s="8" t="s">
        <v>43</v>
      </c>
      <c r="G11" s="11"/>
      <c r="I11" s="84"/>
      <c r="J11" s="85"/>
      <c r="K11" s="85"/>
      <c r="L11" s="85"/>
      <c r="M11" s="85"/>
      <c r="N11" s="86"/>
      <c r="O11" s="85"/>
      <c r="P11" s="24"/>
      <c r="Q11" s="24"/>
      <c r="R11" s="24"/>
    </row>
    <row r="12" spans="2:18" ht="18" x14ac:dyDescent="0.25">
      <c r="B12" s="1" t="s">
        <v>111</v>
      </c>
      <c r="C12" s="11"/>
      <c r="E12" s="8" t="s">
        <v>44</v>
      </c>
      <c r="G12" s="11"/>
      <c r="I12" s="84"/>
      <c r="J12" s="85"/>
      <c r="K12" s="85"/>
      <c r="L12" s="85"/>
      <c r="M12" s="85"/>
      <c r="N12" s="86"/>
      <c r="O12" s="85"/>
      <c r="P12" s="24"/>
      <c r="Q12" s="24"/>
      <c r="R12" s="24"/>
    </row>
    <row r="13" spans="2:18" x14ac:dyDescent="0.25">
      <c r="B13" s="5" t="s">
        <v>26</v>
      </c>
      <c r="C13" s="11"/>
      <c r="E13" s="8" t="s">
        <v>45</v>
      </c>
      <c r="G13" s="11"/>
      <c r="I13" s="84"/>
      <c r="J13" s="85"/>
      <c r="K13" s="85"/>
      <c r="L13" s="85"/>
      <c r="M13" s="85"/>
      <c r="N13" s="86"/>
      <c r="O13" s="85"/>
      <c r="P13" s="24"/>
      <c r="Q13" s="24"/>
      <c r="R13" s="24"/>
    </row>
    <row r="14" spans="2:18" x14ac:dyDescent="0.25">
      <c r="B14" s="5" t="s">
        <v>27</v>
      </c>
      <c r="C14" s="11"/>
      <c r="E14" s="8" t="s">
        <v>46</v>
      </c>
      <c r="G14" s="11"/>
      <c r="I14" s="84"/>
      <c r="J14" s="85"/>
      <c r="K14" s="85"/>
      <c r="L14" s="85"/>
      <c r="M14" s="85"/>
      <c r="N14" s="86"/>
      <c r="O14" s="85"/>
      <c r="P14" s="24"/>
      <c r="Q14" s="24"/>
      <c r="R14" s="24"/>
    </row>
    <row r="15" spans="2:18" x14ac:dyDescent="0.25">
      <c r="B15" s="5" t="s">
        <v>29</v>
      </c>
      <c r="C15" s="11">
        <v>3</v>
      </c>
      <c r="E15" s="8" t="s">
        <v>47</v>
      </c>
      <c r="G15" s="11">
        <v>1</v>
      </c>
      <c r="I15" s="84"/>
      <c r="J15" s="87"/>
      <c r="K15" s="87"/>
      <c r="L15" s="87"/>
      <c r="M15" s="87"/>
      <c r="N15" s="88"/>
      <c r="O15" s="87"/>
      <c r="P15" s="24"/>
      <c r="Q15" s="24"/>
      <c r="R15" s="24"/>
    </row>
    <row r="16" spans="2:18" x14ac:dyDescent="0.25">
      <c r="B16" s="5" t="s">
        <v>30</v>
      </c>
      <c r="C16" s="11"/>
      <c r="E16" s="8" t="s">
        <v>48</v>
      </c>
      <c r="G16" s="11"/>
      <c r="I16" s="84"/>
      <c r="J16" s="85"/>
      <c r="K16" s="85"/>
      <c r="L16" s="85"/>
      <c r="M16" s="85"/>
      <c r="N16" s="86"/>
      <c r="O16" s="85"/>
      <c r="P16" s="24"/>
      <c r="Q16" s="24"/>
      <c r="R16" s="24"/>
    </row>
    <row r="17" spans="2:18" x14ac:dyDescent="0.25">
      <c r="B17" s="5" t="s">
        <v>31</v>
      </c>
      <c r="C17" s="11"/>
      <c r="E17" s="9" t="s">
        <v>61</v>
      </c>
      <c r="G17" s="11"/>
      <c r="I17" s="84"/>
      <c r="J17" s="85"/>
      <c r="K17" s="85"/>
      <c r="L17" s="85"/>
      <c r="M17" s="85"/>
      <c r="N17" s="86"/>
      <c r="O17" s="85"/>
      <c r="P17" s="24"/>
      <c r="Q17" s="24"/>
      <c r="R17" s="24"/>
    </row>
    <row r="18" spans="2:18" x14ac:dyDescent="0.25">
      <c r="B18" s="198" t="s">
        <v>32</v>
      </c>
      <c r="C18" s="198"/>
      <c r="E18" s="198" t="s">
        <v>50</v>
      </c>
      <c r="F18" s="198"/>
      <c r="G18" s="198"/>
      <c r="I18" s="84"/>
      <c r="J18" s="85"/>
      <c r="K18" s="85"/>
      <c r="L18" s="85"/>
      <c r="M18" s="85"/>
      <c r="N18" s="86"/>
      <c r="O18" s="85"/>
      <c r="P18" s="24"/>
      <c r="Q18" s="24"/>
      <c r="R18" s="24"/>
    </row>
    <row r="19" spans="2:18" ht="18" x14ac:dyDescent="0.25">
      <c r="B19" s="5" t="s">
        <v>23</v>
      </c>
      <c r="C19" s="11"/>
      <c r="E19" s="9" t="s">
        <v>64</v>
      </c>
      <c r="G19" s="11">
        <v>1</v>
      </c>
      <c r="I19" s="84"/>
      <c r="J19" s="85"/>
      <c r="K19" s="85"/>
      <c r="L19" s="85"/>
      <c r="M19" s="85"/>
      <c r="N19" s="86"/>
      <c r="O19" s="85"/>
    </row>
    <row r="20" spans="2:18" x14ac:dyDescent="0.25">
      <c r="B20" s="5" t="s">
        <v>24</v>
      </c>
      <c r="C20" s="11"/>
      <c r="E20" s="8" t="s">
        <v>51</v>
      </c>
      <c r="G20" s="11"/>
      <c r="I20" s="84"/>
      <c r="J20" s="85"/>
      <c r="K20" s="85"/>
      <c r="L20" s="85"/>
      <c r="M20" s="85"/>
      <c r="N20" s="86"/>
      <c r="O20" s="85"/>
    </row>
    <row r="21" spans="2:18" x14ac:dyDescent="0.25">
      <c r="B21" s="5" t="s">
        <v>25</v>
      </c>
      <c r="C21" s="11"/>
      <c r="E21" s="8" t="s">
        <v>52</v>
      </c>
      <c r="G21" s="11"/>
      <c r="I21" s="84"/>
      <c r="J21" s="85"/>
      <c r="K21" s="85"/>
      <c r="L21" s="85"/>
      <c r="M21" s="85"/>
      <c r="N21" s="86"/>
      <c r="O21" s="85"/>
    </row>
    <row r="22" spans="2:18" x14ac:dyDescent="0.25">
      <c r="B22" s="5" t="s">
        <v>26</v>
      </c>
      <c r="C22" s="11">
        <v>3</v>
      </c>
      <c r="E22" s="8" t="s">
        <v>53</v>
      </c>
      <c r="G22" s="11"/>
      <c r="I22" s="84"/>
      <c r="J22" s="85"/>
      <c r="K22" s="85"/>
      <c r="L22" s="85"/>
      <c r="M22" s="85"/>
      <c r="N22" s="86"/>
      <c r="O22" s="85"/>
    </row>
    <row r="23" spans="2:18" x14ac:dyDescent="0.25">
      <c r="B23" s="5" t="s">
        <v>27</v>
      </c>
      <c r="C23" s="11"/>
      <c r="E23" s="8" t="s">
        <v>54</v>
      </c>
      <c r="G23" s="11"/>
      <c r="I23" s="84"/>
      <c r="J23" s="85"/>
      <c r="K23" s="85"/>
      <c r="L23" s="85"/>
      <c r="M23" s="85"/>
      <c r="N23" s="86"/>
      <c r="O23" s="85"/>
    </row>
    <row r="24" spans="2:18" x14ac:dyDescent="0.25">
      <c r="B24" s="199" t="s">
        <v>34</v>
      </c>
      <c r="C24" s="199"/>
      <c r="E24" s="8" t="s">
        <v>55</v>
      </c>
      <c r="G24" s="11"/>
      <c r="I24" s="46"/>
      <c r="J24" s="24"/>
      <c r="K24" s="24"/>
      <c r="L24" s="24"/>
      <c r="M24" s="24"/>
      <c r="N24" s="47"/>
    </row>
    <row r="25" spans="2:18" x14ac:dyDescent="0.25">
      <c r="B25" s="8" t="s">
        <v>35</v>
      </c>
      <c r="C25" s="11"/>
      <c r="E25" s="9" t="s">
        <v>62</v>
      </c>
      <c r="G25" s="11"/>
      <c r="I25" s="46"/>
      <c r="J25" s="24"/>
      <c r="K25" s="24"/>
      <c r="L25" s="24"/>
      <c r="M25" s="24"/>
      <c r="N25" s="47"/>
    </row>
    <row r="26" spans="2:18" x14ac:dyDescent="0.25">
      <c r="B26" s="8" t="s">
        <v>36</v>
      </c>
      <c r="C26" s="11"/>
      <c r="E26" s="8" t="s">
        <v>56</v>
      </c>
      <c r="G26" s="11"/>
      <c r="I26" s="89" t="s">
        <v>896</v>
      </c>
      <c r="J26" s="24"/>
      <c r="K26" s="24"/>
      <c r="L26" s="24"/>
      <c r="M26" s="24"/>
      <c r="N26" s="47"/>
    </row>
    <row r="27" spans="2:18" ht="13.5" customHeight="1" thickBot="1" x14ac:dyDescent="0.45">
      <c r="B27" s="8" t="s">
        <v>37</v>
      </c>
      <c r="C27" s="11"/>
      <c r="E27" s="9" t="s">
        <v>65</v>
      </c>
      <c r="G27" s="11"/>
      <c r="I27" s="90"/>
      <c r="J27" s="50"/>
      <c r="K27" s="50"/>
      <c r="L27" s="50"/>
      <c r="M27" s="50"/>
      <c r="N27" s="51"/>
    </row>
    <row r="28" spans="2:18" x14ac:dyDescent="0.25">
      <c r="B28" s="8" t="s">
        <v>38</v>
      </c>
      <c r="C28" s="11"/>
      <c r="E28" s="198" t="s">
        <v>57</v>
      </c>
      <c r="F28" s="198"/>
      <c r="G28" s="198"/>
    </row>
    <row r="29" spans="2:18" x14ac:dyDescent="0.25">
      <c r="E29" s="8" t="s">
        <v>58</v>
      </c>
      <c r="G29" s="11"/>
    </row>
    <row r="30" spans="2:18" x14ac:dyDescent="0.25">
      <c r="E30" s="8" t="s">
        <v>59</v>
      </c>
      <c r="G30" s="11"/>
    </row>
    <row r="31" spans="2:18" x14ac:dyDescent="0.25">
      <c r="E31" s="8" t="s">
        <v>60</v>
      </c>
      <c r="G31" s="11"/>
    </row>
    <row r="32" spans="2:18" ht="8.25" customHeight="1" x14ac:dyDescent="0.25"/>
    <row r="33" spans="2:11" x14ac:dyDescent="0.25">
      <c r="B33" s="200" t="s">
        <v>109</v>
      </c>
      <c r="C33" s="200"/>
      <c r="D33" s="200"/>
      <c r="E33" s="200"/>
      <c r="F33" s="200"/>
      <c r="G33" s="200"/>
    </row>
    <row r="34" spans="2:11" x14ac:dyDescent="0.25">
      <c r="B34" s="37" t="s">
        <v>74</v>
      </c>
      <c r="F34" s="12" t="s">
        <v>75</v>
      </c>
      <c r="G34" s="73">
        <f>Y83</f>
        <v>151.16256000000001</v>
      </c>
    </row>
    <row r="35" spans="2:11" x14ac:dyDescent="0.25">
      <c r="B35" s="37" t="s">
        <v>90</v>
      </c>
      <c r="F35" s="12" t="s">
        <v>101</v>
      </c>
      <c r="G35" s="2">
        <f>198+M83</f>
        <v>622.54</v>
      </c>
    </row>
    <row r="36" spans="2:11" x14ac:dyDescent="0.25">
      <c r="B36" s="37" t="s">
        <v>76</v>
      </c>
      <c r="F36" s="12" t="s">
        <v>101</v>
      </c>
      <c r="G36" s="2">
        <f>G35/(0.584+0.965*J83-J83^2)</f>
        <v>903.26027861199248</v>
      </c>
    </row>
    <row r="37" spans="2:11" ht="44.25" x14ac:dyDescent="0.55000000000000004">
      <c r="B37" s="37" t="s">
        <v>81</v>
      </c>
      <c r="F37" s="12" t="s">
        <v>79</v>
      </c>
      <c r="G37" s="2">
        <f>(0.113+0.0032*Z83-K83)^-2</f>
        <v>45.715518727133684</v>
      </c>
      <c r="K37" s="74"/>
    </row>
    <row r="38" spans="2:11" x14ac:dyDescent="0.25">
      <c r="B38" s="37" t="s">
        <v>80</v>
      </c>
      <c r="F38" s="12" t="s">
        <v>82</v>
      </c>
      <c r="G38" s="2">
        <f>17.5+L83</f>
        <v>440.5</v>
      </c>
    </row>
    <row r="39" spans="2:11" x14ac:dyDescent="0.25">
      <c r="B39" s="37" t="s">
        <v>83</v>
      </c>
      <c r="G39" s="14">
        <f>G37*G38/(83.1447*G36)</f>
        <v>0.26814029436069858</v>
      </c>
    </row>
    <row r="40" spans="2:11" x14ac:dyDescent="0.25">
      <c r="B40" s="37" t="s">
        <v>110</v>
      </c>
      <c r="G40" s="14">
        <f>J139</f>
        <v>0.5671269903550259</v>
      </c>
    </row>
    <row r="41" spans="2:11" x14ac:dyDescent="0.25">
      <c r="B41" s="37" t="s">
        <v>87</v>
      </c>
      <c r="F41" s="12" t="s">
        <v>101</v>
      </c>
      <c r="G41">
        <f>122.5+N83</f>
        <v>417.52</v>
      </c>
    </row>
    <row r="42" spans="2:11" x14ac:dyDescent="0.25">
      <c r="B42" s="37" t="s">
        <v>88</v>
      </c>
      <c r="F42" s="12" t="s">
        <v>67</v>
      </c>
      <c r="G42">
        <f>68.29+O83</f>
        <v>-24.210000000000065</v>
      </c>
    </row>
    <row r="43" spans="2:11" x14ac:dyDescent="0.25">
      <c r="B43" s="37" t="s">
        <v>89</v>
      </c>
      <c r="F43" s="12" t="s">
        <v>67</v>
      </c>
      <c r="G43">
        <f>53.88+P83</f>
        <v>80.119999999999962</v>
      </c>
    </row>
    <row r="44" spans="2:11" x14ac:dyDescent="0.25">
      <c r="B44" s="37" t="s">
        <v>91</v>
      </c>
      <c r="F44" s="12" t="s">
        <v>67</v>
      </c>
      <c r="G44" s="2">
        <f>1.092*8.3144598*G35*(LN(G37)-1.013)/(0.93 - G35/G36)/1000</f>
        <v>65.949706811227074</v>
      </c>
    </row>
    <row r="45" spans="2:11" x14ac:dyDescent="0.25">
      <c r="B45" s="38" t="s">
        <v>92</v>
      </c>
      <c r="C45" s="24"/>
      <c r="D45" s="24"/>
      <c r="E45" s="24"/>
      <c r="F45" s="25" t="s">
        <v>67</v>
      </c>
      <c r="G45" s="26">
        <f>-0.88+U83</f>
        <v>32.056999999999995</v>
      </c>
    </row>
    <row r="46" spans="2:11" ht="6.75" customHeight="1" x14ac:dyDescent="0.25">
      <c r="B46" s="24"/>
      <c r="C46" s="24"/>
      <c r="D46" s="24"/>
      <c r="E46" s="24"/>
      <c r="F46" s="25"/>
      <c r="G46" s="26"/>
    </row>
    <row r="47" spans="2:11" x14ac:dyDescent="0.25">
      <c r="B47" s="23" t="s">
        <v>98</v>
      </c>
      <c r="C47" s="23"/>
      <c r="D47" s="23"/>
      <c r="E47" s="23"/>
      <c r="F47" s="22" t="s">
        <v>101</v>
      </c>
      <c r="G47" s="39">
        <v>300</v>
      </c>
    </row>
    <row r="48" spans="2:11" x14ac:dyDescent="0.25">
      <c r="B48" s="37" t="s">
        <v>108</v>
      </c>
      <c r="F48" s="12"/>
      <c r="G48" s="19">
        <f>G47/G36</f>
        <v>0.33213018119317633</v>
      </c>
    </row>
    <row r="49" spans="1:7" x14ac:dyDescent="0.25">
      <c r="B49" s="37" t="s">
        <v>99</v>
      </c>
      <c r="F49" s="12" t="s">
        <v>100</v>
      </c>
      <c r="G49" s="2">
        <f>J142+J143*G47+J144*G47^2+J145*G47^3</f>
        <v>191.4161</v>
      </c>
    </row>
    <row r="50" spans="1:7" s="139" customFormat="1" x14ac:dyDescent="0.25">
      <c r="A50" s="137"/>
      <c r="B50" s="138" t="s">
        <v>102</v>
      </c>
      <c r="F50" s="140" t="s">
        <v>67</v>
      </c>
      <c r="G50" s="141">
        <f>G44*( ((G36-G47)/(G36-G35))^0.38)</f>
        <v>88.198384002136322</v>
      </c>
    </row>
    <row r="51" spans="1:7" x14ac:dyDescent="0.25">
      <c r="B51" s="37" t="s">
        <v>103</v>
      </c>
      <c r="F51" s="12" t="s">
        <v>104</v>
      </c>
      <c r="G51" s="18">
        <f>G34*EXP(J148/G47+J149)</f>
        <v>3.1370339753853623E-3</v>
      </c>
    </row>
    <row r="52" spans="1:7" x14ac:dyDescent="0.25">
      <c r="B52" s="37" t="s">
        <v>105</v>
      </c>
      <c r="F52" s="12" t="s">
        <v>106</v>
      </c>
      <c r="G52" s="3">
        <f>G34/( (83.1447*G36/G37)*(G39^(1 + ((1-G47/G36)^(2/7)))  ) )</f>
        <v>1.1088374174046456</v>
      </c>
    </row>
    <row r="53" spans="1:7" x14ac:dyDescent="0.25">
      <c r="B53" s="37" t="s">
        <v>107</v>
      </c>
      <c r="F53" s="12" t="s">
        <v>79</v>
      </c>
      <c r="G53" s="3">
        <f>G37*EXP( (5.92714-6.09648/G48-1.28862*LN(G48)+0.169347*(G48^6) )+G40*(15.2518-15.6875/G48-13.4721*LN(G48)+0.43577*(G48^6)) )</f>
        <v>4.5701182416000941E-8</v>
      </c>
    </row>
    <row r="83" spans="8:26" x14ac:dyDescent="0.25">
      <c r="H83" s="27"/>
      <c r="I83" s="27"/>
      <c r="J83" s="27">
        <f>SUMPRODUCT($H$88:$H$133,J88:J133)</f>
        <v>0.12529999999999999</v>
      </c>
      <c r="K83" s="27">
        <f t="shared" ref="K83:Z83" si="0">SUMPRODUCT($H$88:$H$133,K88:K133)</f>
        <v>2.9100000000000001E-2</v>
      </c>
      <c r="L83" s="27">
        <f t="shared" si="0"/>
        <v>423</v>
      </c>
      <c r="M83" s="27">
        <f t="shared" si="0"/>
        <v>424.53999999999996</v>
      </c>
      <c r="N83" s="27">
        <f t="shared" si="0"/>
        <v>295.02</v>
      </c>
      <c r="O83" s="27">
        <f t="shared" si="0"/>
        <v>-92.500000000000071</v>
      </c>
      <c r="P83" s="27">
        <f t="shared" si="0"/>
        <v>26.239999999999959</v>
      </c>
      <c r="Q83" s="27">
        <f t="shared" si="0"/>
        <v>146.28</v>
      </c>
      <c r="R83" s="27">
        <f t="shared" si="0"/>
        <v>-1.4800000000000091E-3</v>
      </c>
      <c r="S83" s="27">
        <f t="shared" si="0"/>
        <v>6.9547999999999995E-4</v>
      </c>
      <c r="T83" s="27">
        <f t="shared" si="0"/>
        <v>-4.6130000000000003E-7</v>
      </c>
      <c r="U83" s="27">
        <f>SUMPRODUCT($H$88:$H$133,U88:U133)</f>
        <v>32.936999999999998</v>
      </c>
      <c r="V83" s="27">
        <f t="shared" si="0"/>
        <v>48.313000000000002</v>
      </c>
      <c r="W83" s="27">
        <f t="shared" si="0"/>
        <v>2644.47</v>
      </c>
      <c r="X83" s="27">
        <f t="shared" si="0"/>
        <v>-6.4030000000000005</v>
      </c>
      <c r="Y83" s="27">
        <f t="shared" si="0"/>
        <v>151.16256000000001</v>
      </c>
      <c r="Z83" s="27">
        <f t="shared" si="0"/>
        <v>20</v>
      </c>
    </row>
    <row r="84" spans="8:26" ht="18" x14ac:dyDescent="0.25">
      <c r="H84" s="27"/>
      <c r="I84" s="28" t="s">
        <v>0</v>
      </c>
      <c r="J84" s="29" t="s">
        <v>1</v>
      </c>
      <c r="K84" s="29" t="s">
        <v>2</v>
      </c>
      <c r="L84" s="29" t="s">
        <v>3</v>
      </c>
      <c r="M84" s="29" t="s">
        <v>4</v>
      </c>
      <c r="N84" s="29" t="s">
        <v>5</v>
      </c>
      <c r="O84" s="29" t="s">
        <v>6</v>
      </c>
      <c r="P84" s="29" t="s">
        <v>7</v>
      </c>
      <c r="Q84" s="29" t="s">
        <v>8</v>
      </c>
      <c r="R84" s="29" t="s">
        <v>9</v>
      </c>
      <c r="S84" s="29" t="s">
        <v>10</v>
      </c>
      <c r="T84" s="29" t="s">
        <v>11</v>
      </c>
      <c r="U84" s="29" t="s">
        <v>12</v>
      </c>
      <c r="V84" s="29" t="s">
        <v>13</v>
      </c>
      <c r="W84" s="29" t="s">
        <v>8</v>
      </c>
      <c r="X84" s="29" t="s">
        <v>9</v>
      </c>
      <c r="Y84" s="29" t="s">
        <v>72</v>
      </c>
      <c r="Z84" s="29" t="s">
        <v>70</v>
      </c>
    </row>
    <row r="85" spans="8:26" x14ac:dyDescent="0.25">
      <c r="H85" s="27"/>
      <c r="I85" s="201"/>
      <c r="J85" s="202" t="s">
        <v>14</v>
      </c>
      <c r="K85" s="202"/>
      <c r="L85" s="202"/>
      <c r="M85" s="202" t="s">
        <v>15</v>
      </c>
      <c r="N85" s="202"/>
      <c r="O85" s="202" t="s">
        <v>17</v>
      </c>
      <c r="P85" s="202"/>
      <c r="Q85" s="202" t="s">
        <v>19</v>
      </c>
      <c r="R85" s="202"/>
      <c r="S85" s="202"/>
      <c r="T85" s="202"/>
      <c r="U85" s="202" t="s">
        <v>20</v>
      </c>
      <c r="V85" s="202"/>
      <c r="W85" s="202" t="s">
        <v>21</v>
      </c>
      <c r="X85" s="202"/>
      <c r="Y85" s="29" t="s">
        <v>73</v>
      </c>
      <c r="Z85" s="29" t="s">
        <v>71</v>
      </c>
    </row>
    <row r="86" spans="8:26" x14ac:dyDescent="0.25">
      <c r="H86" s="27"/>
      <c r="I86" s="201"/>
      <c r="J86" s="202"/>
      <c r="K86" s="202"/>
      <c r="L86" s="202"/>
      <c r="M86" s="202" t="s">
        <v>16</v>
      </c>
      <c r="N86" s="202"/>
      <c r="O86" s="202" t="s">
        <v>18</v>
      </c>
      <c r="P86" s="202"/>
      <c r="Q86" s="202"/>
      <c r="R86" s="202"/>
      <c r="S86" s="202"/>
      <c r="T86" s="202"/>
      <c r="U86" s="202" t="s">
        <v>16</v>
      </c>
      <c r="V86" s="202"/>
      <c r="W86" s="202"/>
      <c r="X86" s="202"/>
      <c r="Y86" s="27"/>
      <c r="Z86" s="27"/>
    </row>
    <row r="87" spans="8:26" x14ac:dyDescent="0.25">
      <c r="H87" s="27"/>
      <c r="I87" s="30" t="s">
        <v>22</v>
      </c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8:26" ht="18" x14ac:dyDescent="0.25">
      <c r="H88" s="27">
        <f>C8</f>
        <v>1</v>
      </c>
      <c r="I88" s="31" t="s">
        <v>63</v>
      </c>
      <c r="J88" s="32">
        <v>1.41E-2</v>
      </c>
      <c r="K88" s="32">
        <v>-1.1999999999999999E-3</v>
      </c>
      <c r="L88" s="32">
        <v>65</v>
      </c>
      <c r="M88" s="32">
        <v>23.58</v>
      </c>
      <c r="N88" s="32">
        <v>-5.0999999999999996</v>
      </c>
      <c r="O88" s="32">
        <v>-76.45</v>
      </c>
      <c r="P88" s="32">
        <v>-43.96</v>
      </c>
      <c r="Q88" s="33">
        <v>19.5</v>
      </c>
      <c r="R88" s="33">
        <v>-8.0800000000000004E-3</v>
      </c>
      <c r="S88" s="33">
        <v>1.5300000000000001E-4</v>
      </c>
      <c r="T88" s="33">
        <v>-9.6699999999999999E-8</v>
      </c>
      <c r="U88" s="32">
        <v>0.90800000000000003</v>
      </c>
      <c r="V88" s="32">
        <v>2.3730000000000002</v>
      </c>
      <c r="W88" s="32">
        <v>548.29</v>
      </c>
      <c r="X88" s="32">
        <v>-1.7190000000000001</v>
      </c>
      <c r="Y88" s="34">
        <v>15.034520000000001</v>
      </c>
      <c r="Z88" s="27">
        <v>4</v>
      </c>
    </row>
    <row r="89" spans="8:26" ht="18" x14ac:dyDescent="0.25">
      <c r="H89" s="27">
        <f t="shared" ref="H89:H97" si="1">C9</f>
        <v>0</v>
      </c>
      <c r="I89" s="70" t="s">
        <v>23</v>
      </c>
      <c r="J89" s="32">
        <v>1.89E-2</v>
      </c>
      <c r="K89" s="32">
        <v>0</v>
      </c>
      <c r="L89" s="32">
        <v>56</v>
      </c>
      <c r="M89" s="32">
        <v>22.88</v>
      </c>
      <c r="N89" s="32">
        <v>11.27</v>
      </c>
      <c r="O89" s="32">
        <v>-20.64</v>
      </c>
      <c r="P89" s="32">
        <v>8.42</v>
      </c>
      <c r="Q89" s="33">
        <v>-0.90900000000000003</v>
      </c>
      <c r="R89" s="33">
        <v>9.5000000000000001E-2</v>
      </c>
      <c r="S89" s="33">
        <v>-5.4400000000000001E-5</v>
      </c>
      <c r="T89" s="33">
        <v>1.1900000000000001E-8</v>
      </c>
      <c r="U89" s="32">
        <v>2.59</v>
      </c>
      <c r="V89" s="32">
        <v>2.226</v>
      </c>
      <c r="W89" s="32">
        <v>94.16</v>
      </c>
      <c r="X89" s="32">
        <v>-0.19900000000000001</v>
      </c>
      <c r="Y89" s="27">
        <v>14.026579999999999</v>
      </c>
      <c r="Z89" s="27">
        <v>3</v>
      </c>
    </row>
    <row r="90" spans="8:26" x14ac:dyDescent="0.25">
      <c r="H90" s="27">
        <f t="shared" si="1"/>
        <v>0</v>
      </c>
      <c r="I90" s="70" t="s">
        <v>24</v>
      </c>
      <c r="J90" s="32">
        <v>1.6400000000000001E-2</v>
      </c>
      <c r="K90" s="32">
        <v>2E-3</v>
      </c>
      <c r="L90" s="32">
        <v>41</v>
      </c>
      <c r="M90" s="32">
        <v>21.74</v>
      </c>
      <c r="N90" s="32">
        <v>12.64</v>
      </c>
      <c r="O90" s="32">
        <v>29.89</v>
      </c>
      <c r="P90" s="32">
        <v>58.36</v>
      </c>
      <c r="Q90" s="33">
        <v>-23</v>
      </c>
      <c r="R90" s="33">
        <v>0.20399999999999999</v>
      </c>
      <c r="S90" s="33">
        <v>-2.6499999999999999E-4</v>
      </c>
      <c r="T90" s="33">
        <v>1.1999999999999999E-7</v>
      </c>
      <c r="U90" s="32">
        <v>0.749</v>
      </c>
      <c r="V90" s="32">
        <v>1.6910000000000001</v>
      </c>
      <c r="W90" s="32">
        <v>-322.14999999999998</v>
      </c>
      <c r="X90" s="32">
        <v>1.1870000000000001</v>
      </c>
      <c r="Y90" s="27">
        <v>13.01864</v>
      </c>
      <c r="Z90" s="27">
        <v>2</v>
      </c>
    </row>
    <row r="91" spans="8:26" x14ac:dyDescent="0.25">
      <c r="H91" s="27">
        <f t="shared" si="1"/>
        <v>0</v>
      </c>
      <c r="I91" s="70" t="s">
        <v>25</v>
      </c>
      <c r="J91" s="32">
        <v>6.7000000000000002E-3</v>
      </c>
      <c r="K91" s="32">
        <v>4.3E-3</v>
      </c>
      <c r="L91" s="32">
        <v>27</v>
      </c>
      <c r="M91" s="32">
        <v>18.25</v>
      </c>
      <c r="N91" s="32">
        <v>46.43</v>
      </c>
      <c r="O91" s="32">
        <v>82.23</v>
      </c>
      <c r="P91" s="32">
        <v>116.02</v>
      </c>
      <c r="Q91" s="33">
        <v>-66.2</v>
      </c>
      <c r="R91" s="33">
        <v>0.42699999999999999</v>
      </c>
      <c r="S91" s="33">
        <v>-6.4099999999999997E-4</v>
      </c>
      <c r="T91" s="33">
        <v>3.0100000000000001E-7</v>
      </c>
      <c r="U91" s="32">
        <v>-1.46</v>
      </c>
      <c r="V91" s="32">
        <v>0.63600000000000001</v>
      </c>
      <c r="W91" s="32">
        <v>-573.55999999999995</v>
      </c>
      <c r="X91" s="32">
        <v>2.3069999999999999</v>
      </c>
      <c r="Y91" s="27">
        <v>12.0107</v>
      </c>
      <c r="Z91" s="27">
        <v>1</v>
      </c>
    </row>
    <row r="92" spans="8:26" ht="18" x14ac:dyDescent="0.25">
      <c r="H92" s="27">
        <f t="shared" si="1"/>
        <v>0</v>
      </c>
      <c r="I92" s="31" t="s">
        <v>111</v>
      </c>
      <c r="J92" s="32">
        <v>1.1299999999999999E-2</v>
      </c>
      <c r="K92" s="32">
        <v>-2.8E-3</v>
      </c>
      <c r="L92" s="32">
        <v>56</v>
      </c>
      <c r="M92" s="32">
        <v>18.18</v>
      </c>
      <c r="N92" s="32">
        <v>-4.32</v>
      </c>
      <c r="O92" s="32">
        <v>-9.6300000000000008</v>
      </c>
      <c r="P92" s="32">
        <v>3.77</v>
      </c>
      <c r="Q92" s="33">
        <v>23.6</v>
      </c>
      <c r="R92" s="33">
        <v>-3.8100000000000002E-2</v>
      </c>
      <c r="S92" s="33">
        <v>1.7200000000000001E-4</v>
      </c>
      <c r="T92" s="33">
        <v>-1.03E-7</v>
      </c>
      <c r="U92" s="32">
        <v>-0.47299999999999998</v>
      </c>
      <c r="V92" s="32">
        <v>1.724</v>
      </c>
      <c r="W92" s="32">
        <v>495.01</v>
      </c>
      <c r="X92" s="32">
        <v>-1.5389999999999999</v>
      </c>
      <c r="Y92" s="27">
        <v>14.026579999999999</v>
      </c>
      <c r="Z92" s="27">
        <v>3</v>
      </c>
    </row>
    <row r="93" spans="8:26" x14ac:dyDescent="0.25">
      <c r="H93" s="27">
        <f t="shared" si="1"/>
        <v>0</v>
      </c>
      <c r="I93" s="70" t="s">
        <v>26</v>
      </c>
      <c r="J93" s="40">
        <v>1.29E-2</v>
      </c>
      <c r="K93" s="32">
        <v>-5.9999999999999995E-4</v>
      </c>
      <c r="L93" s="32">
        <v>46</v>
      </c>
      <c r="M93" s="32">
        <v>24.96</v>
      </c>
      <c r="N93" s="32">
        <v>8.73</v>
      </c>
      <c r="O93" s="32">
        <v>37.97</v>
      </c>
      <c r="P93" s="32">
        <v>48.53</v>
      </c>
      <c r="Q93" s="32">
        <v>-8</v>
      </c>
      <c r="R93" s="33">
        <v>0.105</v>
      </c>
      <c r="S93" s="33">
        <v>-9.6299999999999996E-5</v>
      </c>
      <c r="T93" s="33">
        <v>3.5600000000000001E-8</v>
      </c>
      <c r="U93" s="32">
        <v>2.6909999999999998</v>
      </c>
      <c r="V93" s="32">
        <v>2.2050000000000001</v>
      </c>
      <c r="W93" s="32">
        <v>82.28</v>
      </c>
      <c r="X93" s="32">
        <v>-0.24199999999999999</v>
      </c>
      <c r="Y93" s="27">
        <v>13.01864</v>
      </c>
      <c r="Z93" s="27">
        <v>2</v>
      </c>
    </row>
    <row r="94" spans="8:26" x14ac:dyDescent="0.25">
      <c r="H94" s="27">
        <f t="shared" si="1"/>
        <v>0</v>
      </c>
      <c r="I94" s="70" t="s">
        <v>27</v>
      </c>
      <c r="J94" s="32">
        <v>1.17E-2</v>
      </c>
      <c r="K94" s="32">
        <v>1.1000000000000001E-3</v>
      </c>
      <c r="L94" s="32">
        <v>38</v>
      </c>
      <c r="M94" s="32">
        <v>24.14</v>
      </c>
      <c r="N94" s="32">
        <v>11.14</v>
      </c>
      <c r="O94" s="32">
        <v>83.99</v>
      </c>
      <c r="P94" s="32">
        <v>92.36</v>
      </c>
      <c r="Q94" s="33">
        <v>-28.1</v>
      </c>
      <c r="R94" s="33">
        <v>0.20799999999999999</v>
      </c>
      <c r="S94" s="33">
        <v>-3.0600000000000001E-4</v>
      </c>
      <c r="T94" s="33">
        <v>1.4600000000000001E-7</v>
      </c>
      <c r="U94" s="32">
        <v>3.0630000000000002</v>
      </c>
      <c r="V94" s="32">
        <v>2.1379999999999999</v>
      </c>
      <c r="W94" s="32" t="s">
        <v>28</v>
      </c>
      <c r="X94" s="32" t="s">
        <v>28</v>
      </c>
      <c r="Y94" s="27">
        <v>12.0107</v>
      </c>
      <c r="Z94" s="27">
        <v>1</v>
      </c>
    </row>
    <row r="95" spans="8:26" x14ac:dyDescent="0.25">
      <c r="H95" s="27">
        <f t="shared" si="1"/>
        <v>3</v>
      </c>
      <c r="I95" s="70" t="s">
        <v>29</v>
      </c>
      <c r="J95" s="32">
        <v>2.5999999999999999E-3</v>
      </c>
      <c r="K95" s="32">
        <v>2.8E-3</v>
      </c>
      <c r="L95" s="32">
        <v>36</v>
      </c>
      <c r="M95" s="32">
        <v>26.15</v>
      </c>
      <c r="N95" s="32">
        <v>17.78</v>
      </c>
      <c r="O95" s="32">
        <v>142.13999999999999</v>
      </c>
      <c r="P95" s="32">
        <v>136.69999999999999</v>
      </c>
      <c r="Q95" s="33">
        <v>27.4</v>
      </c>
      <c r="R95" s="33">
        <v>-5.57E-2</v>
      </c>
      <c r="S95" s="33">
        <v>1.01E-4</v>
      </c>
      <c r="T95" s="33">
        <v>-5.02E-8</v>
      </c>
      <c r="U95" s="32">
        <v>4.72</v>
      </c>
      <c r="V95" s="32">
        <v>2.661</v>
      </c>
      <c r="W95" s="32" t="s">
        <v>28</v>
      </c>
      <c r="X95" s="32" t="s">
        <v>28</v>
      </c>
      <c r="Y95" s="27">
        <v>12.0107</v>
      </c>
      <c r="Z95" s="27">
        <v>1</v>
      </c>
    </row>
    <row r="96" spans="8:26" x14ac:dyDescent="0.25">
      <c r="H96" s="27">
        <f t="shared" si="1"/>
        <v>0</v>
      </c>
      <c r="I96" s="70" t="s">
        <v>30</v>
      </c>
      <c r="J96" s="32">
        <v>2.7000000000000001E-3</v>
      </c>
      <c r="K96" s="32">
        <v>-8.0000000000000004E-4</v>
      </c>
      <c r="L96" s="32">
        <v>46</v>
      </c>
      <c r="M96" s="32">
        <v>9.1999999999999993</v>
      </c>
      <c r="N96" s="32">
        <v>-11.18</v>
      </c>
      <c r="O96" s="32">
        <v>79.3</v>
      </c>
      <c r="P96" s="32">
        <v>77.709999999999994</v>
      </c>
      <c r="Q96" s="33">
        <v>24.5</v>
      </c>
      <c r="R96" s="33">
        <v>-2.7099999999999999E-2</v>
      </c>
      <c r="S96" s="33">
        <v>1.11E-4</v>
      </c>
      <c r="T96" s="33">
        <v>-6.7799999999999998E-8</v>
      </c>
      <c r="U96" s="32">
        <v>2.3220000000000001</v>
      </c>
      <c r="V96" s="32">
        <v>1.155</v>
      </c>
      <c r="W96" s="32" t="s">
        <v>28</v>
      </c>
      <c r="X96" s="32" t="s">
        <v>28</v>
      </c>
      <c r="Y96" s="27">
        <v>13.01864</v>
      </c>
      <c r="Z96" s="27">
        <v>2</v>
      </c>
    </row>
    <row r="97" spans="8:26" x14ac:dyDescent="0.25">
      <c r="H97" s="27">
        <f t="shared" si="1"/>
        <v>0</v>
      </c>
      <c r="I97" s="70" t="s">
        <v>31</v>
      </c>
      <c r="J97" s="32">
        <v>2E-3</v>
      </c>
      <c r="K97" s="32">
        <v>1.6000000000000001E-3</v>
      </c>
      <c r="L97" s="32">
        <v>37</v>
      </c>
      <c r="M97" s="32">
        <v>27.38</v>
      </c>
      <c r="N97" s="32">
        <v>64.319999999999993</v>
      </c>
      <c r="O97" s="32">
        <v>115.51</v>
      </c>
      <c r="P97" s="32">
        <v>109.82</v>
      </c>
      <c r="Q97" s="32">
        <v>7.87</v>
      </c>
      <c r="R97" s="33">
        <v>2.01E-2</v>
      </c>
      <c r="S97" s="33">
        <v>-8.3299999999999999E-6</v>
      </c>
      <c r="T97" s="33">
        <v>1.39E-9</v>
      </c>
      <c r="U97" s="32">
        <v>4.1509999999999998</v>
      </c>
      <c r="V97" s="32">
        <v>3.302</v>
      </c>
      <c r="W97" s="32" t="s">
        <v>28</v>
      </c>
      <c r="X97" s="32" t="s">
        <v>28</v>
      </c>
      <c r="Y97" s="27">
        <v>12.0107</v>
      </c>
      <c r="Z97" s="27">
        <v>1</v>
      </c>
    </row>
    <row r="98" spans="8:26" x14ac:dyDescent="0.25">
      <c r="H98" s="27"/>
      <c r="I98" s="30" t="s">
        <v>32</v>
      </c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spans="8:26" ht="18" x14ac:dyDescent="0.25">
      <c r="H99" s="27">
        <f>C19</f>
        <v>0</v>
      </c>
      <c r="I99" s="70" t="s">
        <v>23</v>
      </c>
      <c r="J99" s="32">
        <v>0.01</v>
      </c>
      <c r="K99" s="32">
        <v>2.5000000000000001E-3</v>
      </c>
      <c r="L99" s="32">
        <v>48</v>
      </c>
      <c r="M99" s="32">
        <v>27.15</v>
      </c>
      <c r="N99" s="32">
        <v>7.75</v>
      </c>
      <c r="O99" s="32">
        <v>-26.8</v>
      </c>
      <c r="P99" s="32">
        <v>-3.68</v>
      </c>
      <c r="Q99" s="32">
        <v>-6.03</v>
      </c>
      <c r="R99" s="33">
        <v>8.5400000000000004E-2</v>
      </c>
      <c r="S99" s="33">
        <v>-7.9999999999999996E-6</v>
      </c>
      <c r="T99" s="33">
        <v>-1.7999999999999999E-8</v>
      </c>
      <c r="U99" s="32">
        <v>0.49</v>
      </c>
      <c r="V99" s="32">
        <v>2.3980000000000001</v>
      </c>
      <c r="W99" s="32">
        <v>307.52999999999997</v>
      </c>
      <c r="X99" s="32">
        <v>-0.79800000000000004</v>
      </c>
      <c r="Y99" s="27">
        <v>14.026579999999999</v>
      </c>
      <c r="Z99" s="27">
        <v>3</v>
      </c>
    </row>
    <row r="100" spans="8:26" x14ac:dyDescent="0.25">
      <c r="H100" s="27">
        <f t="shared" ref="H100:H103" si="2">C20</f>
        <v>0</v>
      </c>
      <c r="I100" s="70" t="s">
        <v>24</v>
      </c>
      <c r="J100" s="32">
        <v>1.2200000000000001E-2</v>
      </c>
      <c r="K100" s="32">
        <v>4.0000000000000002E-4</v>
      </c>
      <c r="L100" s="32">
        <v>38</v>
      </c>
      <c r="M100" s="32">
        <v>21.78</v>
      </c>
      <c r="N100" s="32">
        <v>19.88</v>
      </c>
      <c r="O100" s="32">
        <v>8.67</v>
      </c>
      <c r="P100" s="32">
        <v>40.99</v>
      </c>
      <c r="Q100" s="33">
        <v>-20.5</v>
      </c>
      <c r="R100" s="33">
        <v>0.16200000000000001</v>
      </c>
      <c r="S100" s="33">
        <v>-1.6000000000000001E-4</v>
      </c>
      <c r="T100" s="33">
        <v>6.2400000000000003E-8</v>
      </c>
      <c r="U100" s="32">
        <v>3.2429999999999999</v>
      </c>
      <c r="V100" s="32">
        <v>1.9419999999999999</v>
      </c>
      <c r="W100" s="32">
        <v>-394.29</v>
      </c>
      <c r="X100" s="32">
        <v>1.2509999999999999</v>
      </c>
      <c r="Y100" s="27">
        <v>13.01864</v>
      </c>
      <c r="Z100" s="27">
        <v>2</v>
      </c>
    </row>
    <row r="101" spans="8:26" x14ac:dyDescent="0.25">
      <c r="H101" s="27">
        <f t="shared" si="2"/>
        <v>0</v>
      </c>
      <c r="I101" s="70" t="s">
        <v>25</v>
      </c>
      <c r="J101" s="32">
        <v>4.1999999999999997E-3</v>
      </c>
      <c r="K101" s="32">
        <v>6.1000000000000004E-3</v>
      </c>
      <c r="L101" s="32">
        <v>27</v>
      </c>
      <c r="M101" s="32">
        <v>21.32</v>
      </c>
      <c r="N101" s="32">
        <v>60.15</v>
      </c>
      <c r="O101" s="32">
        <v>79.72</v>
      </c>
      <c r="P101" s="32">
        <v>87.88</v>
      </c>
      <c r="Q101" s="33">
        <v>-90.9</v>
      </c>
      <c r="R101" s="33">
        <v>0.55700000000000005</v>
      </c>
      <c r="S101" s="33">
        <v>-8.9999999999999998E-4</v>
      </c>
      <c r="T101" s="33">
        <v>4.6899999999999998E-7</v>
      </c>
      <c r="U101" s="32">
        <v>-1.373</v>
      </c>
      <c r="V101" s="32">
        <v>0.64400000000000002</v>
      </c>
      <c r="W101" s="32" t="s">
        <v>28</v>
      </c>
      <c r="X101" s="32" t="s">
        <v>28</v>
      </c>
      <c r="Y101" s="27">
        <v>12.0107</v>
      </c>
      <c r="Z101" s="27">
        <v>1</v>
      </c>
    </row>
    <row r="102" spans="8:26" x14ac:dyDescent="0.25">
      <c r="H102" s="27">
        <f t="shared" si="2"/>
        <v>3</v>
      </c>
      <c r="I102" s="70" t="s">
        <v>26</v>
      </c>
      <c r="J102" s="32" t="s">
        <v>33</v>
      </c>
      <c r="K102" s="32">
        <v>1.1000000000000001E-3</v>
      </c>
      <c r="L102" s="32">
        <v>41</v>
      </c>
      <c r="M102" s="32">
        <v>26.73</v>
      </c>
      <c r="N102" s="32">
        <v>8.1300000000000008</v>
      </c>
      <c r="O102" s="32">
        <v>2.09</v>
      </c>
      <c r="P102" s="32">
        <v>11.3</v>
      </c>
      <c r="Q102" s="32">
        <v>-2.14</v>
      </c>
      <c r="R102" s="33">
        <v>5.74E-2</v>
      </c>
      <c r="S102" s="33">
        <v>-1.64E-6</v>
      </c>
      <c r="T102" s="33">
        <v>-1.59E-8</v>
      </c>
      <c r="U102" s="32">
        <v>1.101</v>
      </c>
      <c r="V102" s="32">
        <v>2.544</v>
      </c>
      <c r="W102" s="32">
        <v>259.64999999999998</v>
      </c>
      <c r="X102" s="32">
        <v>-0.70199999999999996</v>
      </c>
      <c r="Y102" s="27">
        <v>13.01864</v>
      </c>
      <c r="Z102" s="27">
        <v>2</v>
      </c>
    </row>
    <row r="103" spans="8:26" x14ac:dyDescent="0.25">
      <c r="H103" s="27">
        <f t="shared" si="2"/>
        <v>0</v>
      </c>
      <c r="I103" s="70" t="s">
        <v>27</v>
      </c>
      <c r="J103" s="32">
        <v>1.43E-2</v>
      </c>
      <c r="K103" s="32">
        <v>8.0000000000000004E-4</v>
      </c>
      <c r="L103" s="32">
        <v>32</v>
      </c>
      <c r="M103" s="32">
        <v>31.01</v>
      </c>
      <c r="N103" s="32">
        <v>37.020000000000003</v>
      </c>
      <c r="O103" s="32">
        <v>46.43</v>
      </c>
      <c r="P103" s="32">
        <v>54.05</v>
      </c>
      <c r="Q103" s="32">
        <v>-8.25</v>
      </c>
      <c r="R103" s="33">
        <v>0.10100000000000001</v>
      </c>
      <c r="S103" s="33">
        <v>-1.4200000000000001E-4</v>
      </c>
      <c r="T103" s="33">
        <v>6.7799999999999998E-8</v>
      </c>
      <c r="U103" s="32">
        <v>2.3940000000000001</v>
      </c>
      <c r="V103" s="32">
        <v>3.0590000000000002</v>
      </c>
      <c r="W103" s="32">
        <v>-245.74</v>
      </c>
      <c r="X103" s="32">
        <v>0.91200000000000003</v>
      </c>
      <c r="Y103" s="27">
        <v>12.0107</v>
      </c>
      <c r="Z103" s="27">
        <v>1</v>
      </c>
    </row>
    <row r="104" spans="8:26" x14ac:dyDescent="0.25">
      <c r="H104" s="27"/>
      <c r="I104" s="30" t="s">
        <v>34</v>
      </c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spans="8:26" x14ac:dyDescent="0.25">
      <c r="H105" s="27">
        <f>C25</f>
        <v>0</v>
      </c>
      <c r="I105" s="70" t="s">
        <v>35</v>
      </c>
      <c r="J105" s="32">
        <v>1.11E-2</v>
      </c>
      <c r="K105" s="32">
        <v>-5.7000000000000002E-3</v>
      </c>
      <c r="L105" s="32">
        <v>27</v>
      </c>
      <c r="M105" s="32">
        <v>-0.03</v>
      </c>
      <c r="N105" s="32">
        <v>-15.78</v>
      </c>
      <c r="O105" s="32">
        <v>-251.92</v>
      </c>
      <c r="P105" s="32">
        <v>-247.19</v>
      </c>
      <c r="Q105" s="33">
        <v>26.5</v>
      </c>
      <c r="R105" s="33">
        <v>-9.1300000000000006E-2</v>
      </c>
      <c r="S105" s="33">
        <v>1.9100000000000001E-4</v>
      </c>
      <c r="T105" s="33">
        <v>-1.03E-7</v>
      </c>
      <c r="U105" s="32">
        <v>1.3979999999999999</v>
      </c>
      <c r="V105" s="32">
        <v>-0.67</v>
      </c>
      <c r="W105" s="32" t="s">
        <v>28</v>
      </c>
      <c r="X105" s="32" t="s">
        <v>28</v>
      </c>
      <c r="Y105" s="36">
        <v>18.998403199999998</v>
      </c>
      <c r="Z105" s="27">
        <v>1</v>
      </c>
    </row>
    <row r="106" spans="8:26" x14ac:dyDescent="0.25">
      <c r="H106" s="27">
        <f t="shared" ref="H106:H108" si="3">C26</f>
        <v>0</v>
      </c>
      <c r="I106" s="70" t="s">
        <v>36</v>
      </c>
      <c r="J106" s="32">
        <v>1.0500000000000001E-2</v>
      </c>
      <c r="K106" s="32">
        <v>-4.8999999999999998E-3</v>
      </c>
      <c r="L106" s="32">
        <v>58</v>
      </c>
      <c r="M106" s="32">
        <v>38.130000000000003</v>
      </c>
      <c r="N106" s="32">
        <v>13.55</v>
      </c>
      <c r="O106" s="32">
        <v>-71.55</v>
      </c>
      <c r="P106" s="32">
        <v>-64.31</v>
      </c>
      <c r="Q106" s="33">
        <v>33.299999999999997</v>
      </c>
      <c r="R106" s="33">
        <v>-9.6299999999999997E-2</v>
      </c>
      <c r="S106" s="33">
        <v>1.8699999999999999E-4</v>
      </c>
      <c r="T106" s="33">
        <v>-9.9600000000000005E-8</v>
      </c>
      <c r="U106" s="32">
        <v>2.5150000000000001</v>
      </c>
      <c r="V106" s="32">
        <v>4.532</v>
      </c>
      <c r="W106" s="32">
        <v>625.45000000000005</v>
      </c>
      <c r="X106" s="32">
        <v>-1.8140000000000001</v>
      </c>
      <c r="Y106" s="27">
        <v>35.453000000000003</v>
      </c>
      <c r="Z106" s="27">
        <v>1</v>
      </c>
    </row>
    <row r="107" spans="8:26" x14ac:dyDescent="0.25">
      <c r="H107" s="27">
        <f t="shared" si="3"/>
        <v>0</v>
      </c>
      <c r="I107" s="70" t="s">
        <v>37</v>
      </c>
      <c r="J107" s="32">
        <v>1.3299999999999999E-2</v>
      </c>
      <c r="K107" s="32">
        <v>5.7000000000000002E-3</v>
      </c>
      <c r="L107" s="32">
        <v>71</v>
      </c>
      <c r="M107" s="32">
        <v>66.86</v>
      </c>
      <c r="N107" s="32">
        <v>43.43</v>
      </c>
      <c r="O107" s="32">
        <v>-29.48</v>
      </c>
      <c r="P107" s="32">
        <v>-38.06</v>
      </c>
      <c r="Q107" s="33">
        <v>28.6</v>
      </c>
      <c r="R107" s="33">
        <v>-6.4899999999999999E-2</v>
      </c>
      <c r="S107" s="33">
        <v>1.36E-4</v>
      </c>
      <c r="T107" s="33">
        <v>-7.4499999999999999E-8</v>
      </c>
      <c r="U107" s="32">
        <v>3.6030000000000002</v>
      </c>
      <c r="V107" s="32">
        <v>6.5819999999999999</v>
      </c>
      <c r="W107" s="32">
        <v>738.91</v>
      </c>
      <c r="X107" s="32">
        <v>-2.0379999999999998</v>
      </c>
      <c r="Y107" s="27">
        <v>79.903999999999996</v>
      </c>
      <c r="Z107" s="27">
        <v>1</v>
      </c>
    </row>
    <row r="108" spans="8:26" x14ac:dyDescent="0.25">
      <c r="H108" s="27">
        <f t="shared" si="3"/>
        <v>0</v>
      </c>
      <c r="I108" s="70" t="s">
        <v>38</v>
      </c>
      <c r="J108" s="32">
        <v>6.7999999999999996E-3</v>
      </c>
      <c r="K108" s="32">
        <v>-3.3999999999999998E-3</v>
      </c>
      <c r="L108" s="32">
        <v>97</v>
      </c>
      <c r="M108" s="32">
        <v>93.84</v>
      </c>
      <c r="N108" s="32">
        <v>41.69</v>
      </c>
      <c r="O108" s="32">
        <v>21.06</v>
      </c>
      <c r="P108" s="32">
        <v>5.74</v>
      </c>
      <c r="Q108" s="33">
        <v>32.1</v>
      </c>
      <c r="R108" s="33">
        <v>-6.4100000000000004E-2</v>
      </c>
      <c r="S108" s="33">
        <v>1.26E-4</v>
      </c>
      <c r="T108" s="33">
        <v>-6.87E-8</v>
      </c>
      <c r="U108" s="32">
        <v>2.7240000000000002</v>
      </c>
      <c r="V108" s="32">
        <v>9.52</v>
      </c>
      <c r="W108" s="32">
        <v>809.55</v>
      </c>
      <c r="X108" s="32">
        <v>-2.2240000000000002</v>
      </c>
      <c r="Y108" s="27">
        <v>126.90447</v>
      </c>
      <c r="Z108" s="27">
        <v>1</v>
      </c>
    </row>
    <row r="109" spans="8:26" x14ac:dyDescent="0.25">
      <c r="H109" s="27"/>
      <c r="I109" s="30" t="s">
        <v>39</v>
      </c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spans="8:26" x14ac:dyDescent="0.25">
      <c r="H110" s="27">
        <f>G8</f>
        <v>0</v>
      </c>
      <c r="I110" s="70" t="s">
        <v>40</v>
      </c>
      <c r="J110" s="32">
        <v>7.4099999999999999E-2</v>
      </c>
      <c r="K110" s="32">
        <v>1.12E-2</v>
      </c>
      <c r="L110" s="32">
        <v>28</v>
      </c>
      <c r="M110" s="32">
        <v>92.88</v>
      </c>
      <c r="N110" s="32">
        <v>44.45</v>
      </c>
      <c r="O110" s="32">
        <v>-208.04</v>
      </c>
      <c r="P110" s="32">
        <v>-189.2</v>
      </c>
      <c r="Q110" s="33">
        <v>25.7</v>
      </c>
      <c r="R110" s="33">
        <v>-6.9099999999999995E-2</v>
      </c>
      <c r="S110" s="33">
        <v>1.7699999999999999E-4</v>
      </c>
      <c r="T110" s="33">
        <v>-9.8799999999999998E-8</v>
      </c>
      <c r="U110" s="32">
        <v>2.4060000000000001</v>
      </c>
      <c r="V110" s="32">
        <v>16.826000000000001</v>
      </c>
      <c r="W110" s="32">
        <v>2173.7199999999998</v>
      </c>
      <c r="X110" s="32">
        <v>-5.0570000000000004</v>
      </c>
      <c r="Y110" s="27">
        <v>17.007339999999999</v>
      </c>
      <c r="Z110" s="27">
        <v>2</v>
      </c>
    </row>
    <row r="111" spans="8:26" x14ac:dyDescent="0.25">
      <c r="H111" s="27">
        <f t="shared" ref="H111:H119" si="4">G9</f>
        <v>0</v>
      </c>
      <c r="I111" s="70" t="s">
        <v>41</v>
      </c>
      <c r="J111" s="32">
        <v>2.4E-2</v>
      </c>
      <c r="K111" s="32">
        <v>1.84E-2</v>
      </c>
      <c r="L111" s="32">
        <v>-25</v>
      </c>
      <c r="M111" s="32">
        <v>76.34</v>
      </c>
      <c r="N111" s="32">
        <v>82.83</v>
      </c>
      <c r="O111" s="32">
        <v>-221.65</v>
      </c>
      <c r="P111" s="32">
        <v>-197.37</v>
      </c>
      <c r="Q111" s="32">
        <v>-2.81</v>
      </c>
      <c r="R111" s="33">
        <v>0.111</v>
      </c>
      <c r="S111" s="33">
        <v>-1.16E-4</v>
      </c>
      <c r="T111" s="33">
        <v>4.9399999999999999E-8</v>
      </c>
      <c r="U111" s="32">
        <v>4.49</v>
      </c>
      <c r="V111" s="32">
        <v>12.499000000000001</v>
      </c>
      <c r="W111" s="32">
        <v>3018.17</v>
      </c>
      <c r="X111" s="32">
        <v>-7.3140000000000001</v>
      </c>
      <c r="Y111" s="27">
        <v>17.007339999999999</v>
      </c>
      <c r="Z111" s="27">
        <v>2</v>
      </c>
    </row>
    <row r="112" spans="8:26" x14ac:dyDescent="0.25">
      <c r="H112" s="27">
        <f t="shared" si="4"/>
        <v>0</v>
      </c>
      <c r="I112" s="70" t="s">
        <v>42</v>
      </c>
      <c r="J112" s="32">
        <v>1.6799999999999999E-2</v>
      </c>
      <c r="K112" s="32">
        <v>1.5E-3</v>
      </c>
      <c r="L112" s="32">
        <v>18</v>
      </c>
      <c r="M112" s="32">
        <v>22.42</v>
      </c>
      <c r="N112" s="32">
        <v>22.23</v>
      </c>
      <c r="O112" s="32">
        <v>-132.22</v>
      </c>
      <c r="P112" s="32">
        <v>-105</v>
      </c>
      <c r="Q112" s="33">
        <v>25.5</v>
      </c>
      <c r="R112" s="33">
        <v>-6.3200000000000006E-2</v>
      </c>
      <c r="S112" s="33">
        <v>1.11E-4</v>
      </c>
      <c r="T112" s="33">
        <v>-5.4800000000000001E-8</v>
      </c>
      <c r="U112" s="32">
        <v>1.1879999999999999</v>
      </c>
      <c r="V112" s="32">
        <v>2.41</v>
      </c>
      <c r="W112" s="32">
        <v>122.09</v>
      </c>
      <c r="X112" s="32">
        <v>-0.38600000000000001</v>
      </c>
      <c r="Y112" s="27">
        <v>15.9994</v>
      </c>
      <c r="Z112" s="27">
        <v>1</v>
      </c>
    </row>
    <row r="113" spans="8:26" x14ac:dyDescent="0.25">
      <c r="H113" s="27">
        <f t="shared" si="4"/>
        <v>0</v>
      </c>
      <c r="I113" s="70" t="s">
        <v>43</v>
      </c>
      <c r="J113" s="32">
        <v>9.7999999999999997E-3</v>
      </c>
      <c r="K113" s="32">
        <v>4.7999999999999996E-3</v>
      </c>
      <c r="L113" s="32">
        <v>13</v>
      </c>
      <c r="M113" s="32">
        <v>31.22</v>
      </c>
      <c r="N113" s="32">
        <v>23.05</v>
      </c>
      <c r="O113" s="32">
        <v>-138.16</v>
      </c>
      <c r="P113" s="32">
        <v>-98.22</v>
      </c>
      <c r="Q113" s="33">
        <v>12.2</v>
      </c>
      <c r="R113" s="33">
        <v>-1.26E-2</v>
      </c>
      <c r="S113" s="33">
        <v>6.0300000000000002E-5</v>
      </c>
      <c r="T113" s="33">
        <v>-3.8600000000000002E-8</v>
      </c>
      <c r="U113" s="32">
        <v>5.8789999999999996</v>
      </c>
      <c r="V113" s="32">
        <v>4.6820000000000004</v>
      </c>
      <c r="W113" s="32">
        <v>440.24</v>
      </c>
      <c r="X113" s="32">
        <v>-0.95299999999999996</v>
      </c>
      <c r="Y113" s="27">
        <v>15.9994</v>
      </c>
      <c r="Z113" s="27">
        <v>1</v>
      </c>
    </row>
    <row r="114" spans="8:26" x14ac:dyDescent="0.25">
      <c r="H114" s="27">
        <f t="shared" si="4"/>
        <v>0</v>
      </c>
      <c r="I114" s="70" t="s">
        <v>44</v>
      </c>
      <c r="J114" s="32">
        <v>3.7999999999999999E-2</v>
      </c>
      <c r="K114" s="32">
        <v>3.0999999999999999E-3</v>
      </c>
      <c r="L114" s="32">
        <v>62</v>
      </c>
      <c r="M114" s="32">
        <v>76.75</v>
      </c>
      <c r="N114" s="32">
        <v>61.2</v>
      </c>
      <c r="O114" s="32">
        <v>-133.22</v>
      </c>
      <c r="P114" s="32">
        <v>-120.5</v>
      </c>
      <c r="Q114" s="32">
        <v>6.45</v>
      </c>
      <c r="R114" s="33">
        <v>6.7000000000000004E-2</v>
      </c>
      <c r="S114" s="33">
        <v>-3.57E-5</v>
      </c>
      <c r="T114" s="33">
        <v>2.86E-9</v>
      </c>
      <c r="U114" s="32">
        <v>4.1890000000000001</v>
      </c>
      <c r="V114" s="32">
        <v>8.9719999999999995</v>
      </c>
      <c r="W114" s="32">
        <v>340.35</v>
      </c>
      <c r="X114" s="32">
        <v>-0.35</v>
      </c>
      <c r="Y114" s="27">
        <v>28.010100000000001</v>
      </c>
      <c r="Z114" s="27">
        <v>2</v>
      </c>
    </row>
    <row r="115" spans="8:26" x14ac:dyDescent="0.25">
      <c r="H115" s="27">
        <f t="shared" si="4"/>
        <v>0</v>
      </c>
      <c r="I115" s="70" t="s">
        <v>45</v>
      </c>
      <c r="J115" s="32">
        <v>2.8400000000000002E-2</v>
      </c>
      <c r="K115" s="32">
        <v>2.8E-3</v>
      </c>
      <c r="L115" s="32">
        <v>55</v>
      </c>
      <c r="M115" s="32">
        <v>94.97</v>
      </c>
      <c r="N115" s="32">
        <v>75.97</v>
      </c>
      <c r="O115" s="32">
        <v>-164.5</v>
      </c>
      <c r="P115" s="32">
        <v>-126.27</v>
      </c>
      <c r="Q115" s="33">
        <v>30.4</v>
      </c>
      <c r="R115" s="33">
        <v>-8.2900000000000001E-2</v>
      </c>
      <c r="S115" s="33">
        <v>2.3599999999999999E-4</v>
      </c>
      <c r="T115" s="33">
        <v>-1.31E-7</v>
      </c>
      <c r="U115" s="32">
        <v>0</v>
      </c>
      <c r="V115" s="32">
        <v>6.6449999999999996</v>
      </c>
      <c r="W115" s="32" t="s">
        <v>28</v>
      </c>
      <c r="X115" s="32" t="s">
        <v>28</v>
      </c>
      <c r="Y115" s="27">
        <v>28.010100000000001</v>
      </c>
      <c r="Z115" s="27">
        <v>2</v>
      </c>
    </row>
    <row r="116" spans="8:26" x14ac:dyDescent="0.25">
      <c r="H116" s="27">
        <f t="shared" si="4"/>
        <v>0</v>
      </c>
      <c r="I116" s="70" t="s">
        <v>46</v>
      </c>
      <c r="J116" s="32">
        <v>3.7900000000000003E-2</v>
      </c>
      <c r="K116" s="32">
        <v>3.0000000000000001E-3</v>
      </c>
      <c r="L116" s="32">
        <v>82</v>
      </c>
      <c r="M116" s="32">
        <v>72.239999999999995</v>
      </c>
      <c r="N116" s="32">
        <v>36.9</v>
      </c>
      <c r="O116" s="32">
        <v>-162.03</v>
      </c>
      <c r="P116" s="32">
        <v>-143.47999999999999</v>
      </c>
      <c r="Q116" s="33">
        <v>30.9</v>
      </c>
      <c r="R116" s="33">
        <v>-3.3599999999999998E-2</v>
      </c>
      <c r="S116" s="33">
        <v>1.6000000000000001E-4</v>
      </c>
      <c r="T116" s="33">
        <v>-9.8799999999999998E-8</v>
      </c>
      <c r="U116" s="32">
        <v>3.1970000000000001</v>
      </c>
      <c r="V116" s="32">
        <v>9.093</v>
      </c>
      <c r="W116" s="32">
        <v>740.92</v>
      </c>
      <c r="X116" s="32">
        <v>-1.7130000000000001</v>
      </c>
      <c r="Y116" s="27">
        <v>29.018040000000003</v>
      </c>
      <c r="Z116" s="27">
        <v>3</v>
      </c>
    </row>
    <row r="117" spans="8:26" x14ac:dyDescent="0.25">
      <c r="H117" s="27">
        <f t="shared" si="4"/>
        <v>1</v>
      </c>
      <c r="I117" s="70" t="s">
        <v>47</v>
      </c>
      <c r="J117" s="32">
        <v>7.9100000000000004E-2</v>
      </c>
      <c r="K117" s="32">
        <v>7.7000000000000002E-3</v>
      </c>
      <c r="L117" s="32">
        <v>89</v>
      </c>
      <c r="M117" s="32">
        <v>169.09</v>
      </c>
      <c r="N117" s="32">
        <v>155.5</v>
      </c>
      <c r="O117" s="32">
        <v>-426.72</v>
      </c>
      <c r="P117" s="32">
        <v>-387.87</v>
      </c>
      <c r="Q117" s="33">
        <v>24.1</v>
      </c>
      <c r="R117" s="33">
        <v>4.2700000000000002E-2</v>
      </c>
      <c r="S117" s="33">
        <v>8.0400000000000003E-5</v>
      </c>
      <c r="T117" s="33">
        <v>-6.87E-8</v>
      </c>
      <c r="U117" s="32">
        <v>11.051</v>
      </c>
      <c r="V117" s="32">
        <v>19.536999999999999</v>
      </c>
      <c r="W117" s="32">
        <v>1317.23</v>
      </c>
      <c r="X117" s="32">
        <v>-2.5779999999999998</v>
      </c>
      <c r="Y117" s="27">
        <v>45.017440000000001</v>
      </c>
      <c r="Z117" s="27">
        <v>4</v>
      </c>
    </row>
    <row r="118" spans="8:26" x14ac:dyDescent="0.25">
      <c r="H118" s="27">
        <f t="shared" si="4"/>
        <v>0</v>
      </c>
      <c r="I118" s="70" t="s">
        <v>48</v>
      </c>
      <c r="J118" s="32">
        <v>4.8099999999999997E-2</v>
      </c>
      <c r="K118" s="32">
        <v>5.0000000000000001E-4</v>
      </c>
      <c r="L118" s="32">
        <v>82</v>
      </c>
      <c r="M118" s="32">
        <v>81.099999999999994</v>
      </c>
      <c r="N118" s="32">
        <v>53.6</v>
      </c>
      <c r="O118" s="32">
        <v>-337.92</v>
      </c>
      <c r="P118" s="32">
        <v>-301.95</v>
      </c>
      <c r="Q118" s="33">
        <v>24.5</v>
      </c>
      <c r="R118" s="33">
        <v>4.02E-2</v>
      </c>
      <c r="S118" s="33">
        <v>4.0200000000000001E-5</v>
      </c>
      <c r="T118" s="33">
        <v>-4.5200000000000001E-8</v>
      </c>
      <c r="U118" s="32">
        <v>6.9589999999999996</v>
      </c>
      <c r="V118" s="32">
        <v>9.6329999999999991</v>
      </c>
      <c r="W118" s="32">
        <v>483.88</v>
      </c>
      <c r="X118" s="32">
        <v>-0.96599999999999997</v>
      </c>
      <c r="Y118" s="27">
        <v>44.009500000000003</v>
      </c>
      <c r="Z118" s="27">
        <v>3</v>
      </c>
    </row>
    <row r="119" spans="8:26" x14ac:dyDescent="0.25">
      <c r="H119" s="27">
        <f t="shared" si="4"/>
        <v>0</v>
      </c>
      <c r="I119" s="31" t="s">
        <v>61</v>
      </c>
      <c r="J119" s="32" t="s">
        <v>49</v>
      </c>
      <c r="K119" s="32">
        <v>1.01E-2</v>
      </c>
      <c r="L119" s="32">
        <v>36</v>
      </c>
      <c r="M119" s="32">
        <v>-10.5</v>
      </c>
      <c r="N119" s="32">
        <v>2.08</v>
      </c>
      <c r="O119" s="32">
        <v>-247.61</v>
      </c>
      <c r="P119" s="32">
        <v>-250.83</v>
      </c>
      <c r="Q119" s="32">
        <v>6.82</v>
      </c>
      <c r="R119" s="33">
        <v>1.9599999999999999E-2</v>
      </c>
      <c r="S119" s="33">
        <v>1.27E-5</v>
      </c>
      <c r="T119" s="33">
        <v>-1.7800000000000001E-8</v>
      </c>
      <c r="U119" s="32">
        <v>3.6240000000000001</v>
      </c>
      <c r="V119" s="32">
        <v>5.9089999999999998</v>
      </c>
      <c r="W119" s="32">
        <v>675.24</v>
      </c>
      <c r="X119" s="32">
        <v>-1.34</v>
      </c>
      <c r="Y119" s="27">
        <v>15.9994</v>
      </c>
      <c r="Z119" s="27">
        <v>1</v>
      </c>
    </row>
    <row r="120" spans="8:26" x14ac:dyDescent="0.25">
      <c r="H120" s="27"/>
      <c r="I120" s="30" t="s">
        <v>50</v>
      </c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spans="8:26" x14ac:dyDescent="0.25">
      <c r="H121" s="27">
        <f>G19</f>
        <v>1</v>
      </c>
      <c r="I121" s="31" t="s">
        <v>64</v>
      </c>
      <c r="J121" s="32">
        <v>2.4299999999999999E-2</v>
      </c>
      <c r="K121" s="32">
        <v>1.09E-2</v>
      </c>
      <c r="L121" s="32">
        <v>38</v>
      </c>
      <c r="M121" s="32">
        <v>73.23</v>
      </c>
      <c r="N121" s="32">
        <v>66.89</v>
      </c>
      <c r="O121" s="32">
        <v>-22.02</v>
      </c>
      <c r="P121" s="32">
        <v>14.07</v>
      </c>
      <c r="Q121" s="33">
        <v>26.9</v>
      </c>
      <c r="R121" s="33">
        <v>-4.1200000000000001E-2</v>
      </c>
      <c r="S121" s="33">
        <v>1.64E-4</v>
      </c>
      <c r="T121" s="33">
        <v>-9.76E-8</v>
      </c>
      <c r="U121" s="32">
        <v>3.5150000000000001</v>
      </c>
      <c r="V121" s="32">
        <v>10.788</v>
      </c>
      <c r="W121" s="32"/>
      <c r="X121" s="32"/>
      <c r="Y121" s="27">
        <v>16.022580000000001</v>
      </c>
      <c r="Z121" s="27">
        <v>3</v>
      </c>
    </row>
    <row r="122" spans="8:26" x14ac:dyDescent="0.25">
      <c r="H122" s="27">
        <f t="shared" ref="H122:H129" si="5">G20</f>
        <v>0</v>
      </c>
      <c r="I122" s="70" t="s">
        <v>51</v>
      </c>
      <c r="J122" s="32">
        <v>2.9499999999999998E-2</v>
      </c>
      <c r="K122" s="32">
        <v>7.7000000000000002E-3</v>
      </c>
      <c r="L122" s="32">
        <v>35</v>
      </c>
      <c r="M122" s="32">
        <v>50.17</v>
      </c>
      <c r="N122" s="32">
        <v>52.66</v>
      </c>
      <c r="O122" s="32">
        <v>53.47</v>
      </c>
      <c r="P122" s="32">
        <v>89.39</v>
      </c>
      <c r="Q122" s="32">
        <v>-1.21</v>
      </c>
      <c r="R122" s="33">
        <v>7.6200000000000004E-2</v>
      </c>
      <c r="S122" s="33">
        <v>-4.8600000000000002E-5</v>
      </c>
      <c r="T122" s="33">
        <v>1.05E-8</v>
      </c>
      <c r="U122" s="32">
        <v>5.0990000000000002</v>
      </c>
      <c r="V122" s="32">
        <v>6.4359999999999999</v>
      </c>
      <c r="W122" s="32"/>
      <c r="X122" s="32"/>
      <c r="Y122" s="27">
        <v>15.01464</v>
      </c>
      <c r="Z122" s="27">
        <v>2</v>
      </c>
    </row>
    <row r="123" spans="8:26" x14ac:dyDescent="0.25">
      <c r="H123" s="27">
        <f t="shared" si="5"/>
        <v>0</v>
      </c>
      <c r="I123" s="70" t="s">
        <v>52</v>
      </c>
      <c r="J123" s="32">
        <v>1.2999999999999999E-2</v>
      </c>
      <c r="K123" s="32">
        <v>1.14E-2</v>
      </c>
      <c r="L123" s="32">
        <v>29</v>
      </c>
      <c r="M123" s="32">
        <v>52.82</v>
      </c>
      <c r="N123" s="32">
        <v>101.51</v>
      </c>
      <c r="O123" s="32">
        <v>31.65</v>
      </c>
      <c r="P123" s="32">
        <v>75.61</v>
      </c>
      <c r="Q123" s="33">
        <v>11.8</v>
      </c>
      <c r="R123" s="33">
        <v>-2.3E-2</v>
      </c>
      <c r="S123" s="33">
        <v>1.07E-4</v>
      </c>
      <c r="T123" s="33">
        <v>-6.2800000000000006E-8</v>
      </c>
      <c r="U123" s="32">
        <v>7.49</v>
      </c>
      <c r="V123" s="32">
        <v>6.93</v>
      </c>
      <c r="W123" s="32"/>
      <c r="X123" s="32"/>
      <c r="Y123" s="27">
        <v>15.01464</v>
      </c>
      <c r="Z123" s="27">
        <v>2</v>
      </c>
    </row>
    <row r="124" spans="8:26" x14ac:dyDescent="0.25">
      <c r="H124" s="27">
        <f t="shared" si="5"/>
        <v>0</v>
      </c>
      <c r="I124" s="70" t="s">
        <v>53</v>
      </c>
      <c r="J124" s="32">
        <v>1.6899999999999998E-2</v>
      </c>
      <c r="K124" s="32">
        <v>7.4000000000000003E-3</v>
      </c>
      <c r="L124" s="32">
        <v>9</v>
      </c>
      <c r="M124" s="32">
        <v>11.74</v>
      </c>
      <c r="N124" s="32">
        <v>48.84</v>
      </c>
      <c r="O124" s="32">
        <v>123.34</v>
      </c>
      <c r="P124" s="32">
        <v>163.16</v>
      </c>
      <c r="Q124" s="33">
        <v>-31.1</v>
      </c>
      <c r="R124" s="33">
        <v>0.22700000000000001</v>
      </c>
      <c r="S124" s="33">
        <v>-3.2000000000000003E-4</v>
      </c>
      <c r="T124" s="33">
        <v>1.4600000000000001E-7</v>
      </c>
      <c r="U124" s="32">
        <v>4.7030000000000003</v>
      </c>
      <c r="V124" s="32">
        <v>1.8959999999999999</v>
      </c>
      <c r="W124" s="32"/>
      <c r="X124" s="32"/>
      <c r="Y124" s="27">
        <v>14.0067</v>
      </c>
      <c r="Z124" s="27">
        <v>1</v>
      </c>
    </row>
    <row r="125" spans="8:26" x14ac:dyDescent="0.25">
      <c r="H125" s="27">
        <f t="shared" si="5"/>
        <v>0</v>
      </c>
      <c r="I125" s="70" t="s">
        <v>54</v>
      </c>
      <c r="J125" s="32">
        <v>2.5499999999999998E-2</v>
      </c>
      <c r="K125" s="32">
        <v>-9.9000000000000008E-3</v>
      </c>
      <c r="L125" s="32"/>
      <c r="M125" s="32">
        <v>74.599999999999994</v>
      </c>
      <c r="N125" s="32"/>
      <c r="O125" s="32">
        <v>23.61</v>
      </c>
      <c r="P125" s="32"/>
      <c r="Q125" s="32"/>
      <c r="R125" s="32"/>
      <c r="S125" s="32"/>
      <c r="T125" s="32"/>
      <c r="U125" s="32"/>
      <c r="V125" s="32">
        <v>3.335</v>
      </c>
      <c r="W125" s="32"/>
      <c r="X125" s="32"/>
      <c r="Y125" s="27">
        <v>14.0067</v>
      </c>
      <c r="Z125" s="27">
        <v>1</v>
      </c>
    </row>
    <row r="126" spans="8:26" x14ac:dyDescent="0.25">
      <c r="H126" s="27">
        <f t="shared" si="5"/>
        <v>0</v>
      </c>
      <c r="I126" s="70" t="s">
        <v>55</v>
      </c>
      <c r="J126" s="32">
        <v>8.5000000000000006E-3</v>
      </c>
      <c r="K126" s="32">
        <v>7.6E-3</v>
      </c>
      <c r="L126" s="32">
        <v>34</v>
      </c>
      <c r="M126" s="32">
        <v>57.55</v>
      </c>
      <c r="N126" s="32">
        <v>68.400000000000006</v>
      </c>
      <c r="O126" s="32">
        <v>55.52</v>
      </c>
      <c r="P126" s="32">
        <v>79.930000000000007</v>
      </c>
      <c r="Q126" s="32">
        <v>8.83</v>
      </c>
      <c r="R126" s="33">
        <v>-3.8400000000000001E-3</v>
      </c>
      <c r="S126" s="33">
        <v>4.35E-5</v>
      </c>
      <c r="T126" s="33">
        <v>-2.6000000000000001E-8</v>
      </c>
      <c r="U126" s="32">
        <v>3.649</v>
      </c>
      <c r="V126" s="32">
        <v>6.5279999999999996</v>
      </c>
      <c r="W126" s="32"/>
      <c r="X126" s="32"/>
      <c r="Y126" s="27">
        <v>14.0067</v>
      </c>
      <c r="Z126" s="27">
        <v>1</v>
      </c>
    </row>
    <row r="127" spans="8:26" x14ac:dyDescent="0.25">
      <c r="H127" s="27">
        <f t="shared" si="5"/>
        <v>0</v>
      </c>
      <c r="I127" s="31" t="s">
        <v>62</v>
      </c>
      <c r="J127" s="32"/>
      <c r="K127" s="32"/>
      <c r="L127" s="32"/>
      <c r="M127" s="32">
        <v>83.08</v>
      </c>
      <c r="N127" s="32">
        <v>68.91</v>
      </c>
      <c r="O127" s="32">
        <v>93.7</v>
      </c>
      <c r="P127" s="32">
        <v>119.66</v>
      </c>
      <c r="Q127" s="32">
        <v>5.69</v>
      </c>
      <c r="R127" s="33">
        <v>-4.1200000000000004E-3</v>
      </c>
      <c r="S127" s="33">
        <v>1.2799999999999999E-4</v>
      </c>
      <c r="T127" s="33">
        <v>-8.8800000000000001E-8</v>
      </c>
      <c r="U127" s="32" t="s">
        <v>28</v>
      </c>
      <c r="V127" s="32">
        <v>12.169</v>
      </c>
      <c r="W127" s="32"/>
      <c r="X127" s="32"/>
      <c r="Y127" s="27">
        <v>15.01464</v>
      </c>
      <c r="Z127" s="27">
        <v>2</v>
      </c>
    </row>
    <row r="128" spans="8:26" x14ac:dyDescent="0.25">
      <c r="H128" s="27">
        <f t="shared" si="5"/>
        <v>0</v>
      </c>
      <c r="I128" s="70" t="s">
        <v>56</v>
      </c>
      <c r="J128" s="32">
        <v>4.9599999999999998E-2</v>
      </c>
      <c r="K128" s="32">
        <v>-1.01E-2</v>
      </c>
      <c r="L128" s="32">
        <v>91</v>
      </c>
      <c r="M128" s="32">
        <v>125.66</v>
      </c>
      <c r="N128" s="32">
        <v>59.89</v>
      </c>
      <c r="O128" s="32">
        <v>88.43</v>
      </c>
      <c r="P128" s="32">
        <v>89.22</v>
      </c>
      <c r="Q128" s="33">
        <v>36.5</v>
      </c>
      <c r="R128" s="33">
        <v>-7.3300000000000004E-2</v>
      </c>
      <c r="S128" s="33">
        <v>1.84E-4</v>
      </c>
      <c r="T128" s="33">
        <v>-1.03E-7</v>
      </c>
      <c r="U128" s="32">
        <v>2.4140000000000001</v>
      </c>
      <c r="V128" s="32">
        <v>12.851000000000001</v>
      </c>
      <c r="W128" s="32"/>
      <c r="X128" s="32"/>
      <c r="Y128" s="27">
        <v>26.017400000000002</v>
      </c>
      <c r="Z128" s="27">
        <v>2</v>
      </c>
    </row>
    <row r="129" spans="8:26" x14ac:dyDescent="0.25">
      <c r="H129" s="27">
        <f t="shared" si="5"/>
        <v>0</v>
      </c>
      <c r="I129" s="31" t="s">
        <v>65</v>
      </c>
      <c r="J129" s="32">
        <v>4.3700000000000003E-2</v>
      </c>
      <c r="K129" s="32">
        <v>6.4000000000000003E-3</v>
      </c>
      <c r="L129" s="32">
        <v>91</v>
      </c>
      <c r="M129" s="32">
        <v>152.54</v>
      </c>
      <c r="N129" s="32">
        <v>127.24</v>
      </c>
      <c r="O129" s="32">
        <v>-66.569999999999993</v>
      </c>
      <c r="P129" s="32">
        <v>-16.829999999999998</v>
      </c>
      <c r="Q129" s="33">
        <v>25.9</v>
      </c>
      <c r="R129" s="33">
        <v>-3.7399999999999998E-3</v>
      </c>
      <c r="S129" s="33">
        <v>1.2899999999999999E-4</v>
      </c>
      <c r="T129" s="33">
        <v>-8.8800000000000001E-8</v>
      </c>
      <c r="U129" s="32">
        <v>9.6790000000000003</v>
      </c>
      <c r="V129" s="32">
        <v>16.738</v>
      </c>
      <c r="W129" s="32"/>
      <c r="X129" s="32"/>
      <c r="Y129" s="27">
        <v>46.005499999999998</v>
      </c>
      <c r="Z129" s="27">
        <v>3</v>
      </c>
    </row>
    <row r="130" spans="8:26" x14ac:dyDescent="0.25">
      <c r="H130" s="27"/>
      <c r="I130" s="30" t="s">
        <v>57</v>
      </c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spans="8:26" x14ac:dyDescent="0.25">
      <c r="H131" s="27">
        <f>G29</f>
        <v>0</v>
      </c>
      <c r="I131" s="70" t="s">
        <v>58</v>
      </c>
      <c r="J131" s="32">
        <v>3.0999999999999999E-3</v>
      </c>
      <c r="K131" s="32">
        <v>8.3999999999999995E-3</v>
      </c>
      <c r="L131" s="32">
        <v>63</v>
      </c>
      <c r="M131" s="32">
        <v>63.56</v>
      </c>
      <c r="N131" s="32">
        <v>20.09</v>
      </c>
      <c r="O131" s="32">
        <v>-17.329999999999998</v>
      </c>
      <c r="P131" s="32">
        <v>-22.99</v>
      </c>
      <c r="Q131" s="33">
        <v>35.299999999999997</v>
      </c>
      <c r="R131" s="33">
        <v>-7.5800000000000006E-2</v>
      </c>
      <c r="S131" s="33">
        <v>1.85E-4</v>
      </c>
      <c r="T131" s="33">
        <v>-1.03E-7</v>
      </c>
      <c r="U131" s="32">
        <v>2.36</v>
      </c>
      <c r="V131" s="32">
        <v>6.8840000000000003</v>
      </c>
      <c r="W131" s="32"/>
      <c r="X131" s="32"/>
      <c r="Y131" s="27">
        <v>33.072939999999996</v>
      </c>
      <c r="Z131" s="27">
        <v>2</v>
      </c>
    </row>
    <row r="132" spans="8:26" x14ac:dyDescent="0.25">
      <c r="H132" s="27">
        <f t="shared" ref="H132:H133" si="6">G30</f>
        <v>0</v>
      </c>
      <c r="I132" s="70" t="s">
        <v>59</v>
      </c>
      <c r="J132" s="32">
        <v>1.1900000000000001E-2</v>
      </c>
      <c r="K132" s="32">
        <v>4.8999999999999998E-3</v>
      </c>
      <c r="L132" s="32">
        <v>54</v>
      </c>
      <c r="M132" s="32">
        <v>68.78</v>
      </c>
      <c r="N132" s="32">
        <v>34.4</v>
      </c>
      <c r="O132" s="32">
        <v>41.87</v>
      </c>
      <c r="P132" s="32">
        <v>33.119999999999997</v>
      </c>
      <c r="Q132" s="33">
        <v>19.600000000000001</v>
      </c>
      <c r="R132" s="33">
        <v>-5.6100000000000004E-3</v>
      </c>
      <c r="S132" s="33">
        <v>4.0200000000000001E-5</v>
      </c>
      <c r="T132" s="33">
        <v>-2.7599999999999999E-8</v>
      </c>
      <c r="U132" s="32">
        <v>4.13</v>
      </c>
      <c r="V132" s="32">
        <v>6.8170000000000002</v>
      </c>
      <c r="W132" s="32"/>
      <c r="X132" s="32"/>
      <c r="Y132" s="27">
        <v>32.064999999999998</v>
      </c>
      <c r="Z132" s="27">
        <v>1</v>
      </c>
    </row>
    <row r="133" spans="8:26" x14ac:dyDescent="0.25">
      <c r="H133" s="27">
        <f t="shared" si="6"/>
        <v>0</v>
      </c>
      <c r="I133" s="70" t="s">
        <v>60</v>
      </c>
      <c r="J133" s="32">
        <v>1.9E-3</v>
      </c>
      <c r="K133" s="32">
        <v>5.1000000000000004E-3</v>
      </c>
      <c r="L133" s="32">
        <v>38</v>
      </c>
      <c r="M133" s="32">
        <v>52.1</v>
      </c>
      <c r="N133" s="32">
        <v>79.930000000000007</v>
      </c>
      <c r="O133" s="32">
        <v>39.1</v>
      </c>
      <c r="P133" s="32">
        <v>27.76</v>
      </c>
      <c r="Q133" s="33">
        <v>16.7</v>
      </c>
      <c r="R133" s="33">
        <v>4.81E-3</v>
      </c>
      <c r="S133" s="33">
        <v>2.7699999999999999E-5</v>
      </c>
      <c r="T133" s="33">
        <v>-2.11E-8</v>
      </c>
      <c r="U133" s="32">
        <v>1.5569999999999999</v>
      </c>
      <c r="V133" s="32">
        <v>5.984</v>
      </c>
      <c r="W133" s="32"/>
      <c r="X133" s="32"/>
      <c r="Y133" s="27">
        <v>32.064999999999998</v>
      </c>
      <c r="Z133" s="27">
        <v>1</v>
      </c>
    </row>
    <row r="136" spans="8:26" x14ac:dyDescent="0.25">
      <c r="I136" s="10" t="s">
        <v>93</v>
      </c>
    </row>
    <row r="137" spans="8:26" x14ac:dyDescent="0.25">
      <c r="I137" t="s">
        <v>68</v>
      </c>
      <c r="J137">
        <f>G37*0.98692327</f>
        <v>45.117709231929013</v>
      </c>
      <c r="K137" t="s">
        <v>84</v>
      </c>
    </row>
    <row r="138" spans="8:26" x14ac:dyDescent="0.25">
      <c r="I138" t="s">
        <v>85</v>
      </c>
      <c r="J138">
        <f>G35/G36</f>
        <v>0.68921440999999994</v>
      </c>
    </row>
    <row r="139" spans="8:26" x14ac:dyDescent="0.25">
      <c r="I139" s="15" t="s">
        <v>86</v>
      </c>
      <c r="J139" s="16">
        <f>(-1*LN(J137)-5.92714+6.09648/J138 + 1.28862*LN(J138)-0.169347*(J138^6) )/(15.2518 - 15.6875/J138-13.4721*LN(J138)+0.43577*(J138^6) )</f>
        <v>0.5671269903550259</v>
      </c>
    </row>
    <row r="141" spans="8:26" x14ac:dyDescent="0.25">
      <c r="I141" s="6" t="s">
        <v>94</v>
      </c>
    </row>
    <row r="142" spans="8:26" x14ac:dyDescent="0.25">
      <c r="I142" t="s">
        <v>95</v>
      </c>
      <c r="J142" s="14">
        <f>Q83-37.93</f>
        <v>108.35</v>
      </c>
    </row>
    <row r="143" spans="8:26" x14ac:dyDescent="0.25">
      <c r="I143" t="s">
        <v>96</v>
      </c>
      <c r="J143" s="14">
        <f>R83+0.21</f>
        <v>0.20851999999999998</v>
      </c>
    </row>
    <row r="144" spans="8:26" x14ac:dyDescent="0.25">
      <c r="I144" t="s">
        <v>66</v>
      </c>
      <c r="J144" s="4">
        <f>S83-0.000391</f>
        <v>3.0447999999999993E-4</v>
      </c>
    </row>
    <row r="145" spans="9:10" x14ac:dyDescent="0.25">
      <c r="I145" t="s">
        <v>97</v>
      </c>
      <c r="J145">
        <f>T83+0.000000206</f>
        <v>-2.5530000000000002E-7</v>
      </c>
    </row>
    <row r="147" spans="9:10" x14ac:dyDescent="0.25">
      <c r="I147" s="6" t="s">
        <v>103</v>
      </c>
    </row>
    <row r="148" spans="9:10" x14ac:dyDescent="0.25">
      <c r="I148" t="s">
        <v>95</v>
      </c>
      <c r="J148">
        <f>W83-597.82</f>
        <v>2046.6499999999996</v>
      </c>
    </row>
    <row r="149" spans="9:10" x14ac:dyDescent="0.25">
      <c r="I149" t="s">
        <v>96</v>
      </c>
      <c r="J149">
        <f>X83-11.202</f>
        <v>-17.605</v>
      </c>
    </row>
  </sheetData>
  <mergeCells count="19">
    <mergeCell ref="B2:G2"/>
    <mergeCell ref="B5:C5"/>
    <mergeCell ref="B7:C7"/>
    <mergeCell ref="E7:G7"/>
    <mergeCell ref="B18:C18"/>
    <mergeCell ref="E18:G18"/>
    <mergeCell ref="B24:C24"/>
    <mergeCell ref="E28:G28"/>
    <mergeCell ref="B33:G33"/>
    <mergeCell ref="I85:I86"/>
    <mergeCell ref="J85:L86"/>
    <mergeCell ref="O85:P85"/>
    <mergeCell ref="Q85:T86"/>
    <mergeCell ref="U85:V85"/>
    <mergeCell ref="W85:X86"/>
    <mergeCell ref="M86:N86"/>
    <mergeCell ref="O86:P86"/>
    <mergeCell ref="U86:V86"/>
    <mergeCell ref="M85:N85"/>
  </mergeCells>
  <hyperlinks>
    <hyperlink ref="I26" r:id="rId1" xr:uid="{9AB767DD-CD81-429E-A0F5-CF823994B034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8F7B2-11A2-41B6-9C37-EC59B7353B5C}">
  <dimension ref="A1:M308"/>
  <sheetViews>
    <sheetView showGridLines="0" tabSelected="1" zoomScale="80" zoomScaleNormal="80" workbookViewId="0">
      <selection activeCell="E26" sqref="E26"/>
    </sheetView>
  </sheetViews>
  <sheetFormatPr defaultRowHeight="15" x14ac:dyDescent="0.25"/>
  <cols>
    <col min="1" max="1" width="17.85546875" style="37" bestFit="1" customWidth="1"/>
    <col min="2" max="2" width="57.5703125" style="37" customWidth="1"/>
    <col min="3" max="3" width="18.7109375" style="37" bestFit="1" customWidth="1"/>
    <col min="4" max="4" width="19" style="37" bestFit="1" customWidth="1"/>
    <col min="5" max="5" width="54.85546875" style="37" bestFit="1" customWidth="1"/>
    <col min="6" max="6" width="20.85546875" style="142" bestFit="1" customWidth="1"/>
    <col min="7" max="7" width="12.85546875" style="37" bestFit="1" customWidth="1"/>
    <col min="8" max="8" width="35.85546875" style="37" bestFit="1" customWidth="1"/>
    <col min="9" max="9" width="9.5703125" style="37" customWidth="1"/>
    <col min="10" max="10" width="40.140625" style="143" bestFit="1" customWidth="1"/>
    <col min="11" max="11" width="36" style="143" customWidth="1"/>
    <col min="12" max="12" width="18.7109375" style="143" bestFit="1" customWidth="1"/>
    <col min="13" max="13" width="17.140625" style="143" bestFit="1" customWidth="1"/>
    <col min="14" max="16384" width="9.140625" style="37"/>
  </cols>
  <sheetData>
    <row r="1" spans="1:13" ht="15.75" thickBot="1" x14ac:dyDescent="0.3"/>
    <row r="2" spans="1:13" ht="28.5" customHeight="1" x14ac:dyDescent="0.25">
      <c r="A2" s="144"/>
      <c r="B2" s="145"/>
      <c r="C2" s="145"/>
      <c r="D2" s="145"/>
      <c r="E2" s="145"/>
      <c r="F2" s="146"/>
      <c r="G2" s="145"/>
      <c r="H2" s="147"/>
      <c r="I2" s="38"/>
      <c r="J2" s="174" t="s">
        <v>898</v>
      </c>
      <c r="K2" s="175"/>
      <c r="L2" s="175"/>
      <c r="M2" s="176"/>
    </row>
    <row r="3" spans="1:13" ht="15.75" thickBot="1" x14ac:dyDescent="0.3">
      <c r="A3" s="148"/>
      <c r="B3" s="38"/>
      <c r="C3" s="38"/>
      <c r="D3" s="38"/>
      <c r="E3" s="38"/>
      <c r="F3" s="149"/>
      <c r="G3" s="38"/>
      <c r="H3" s="150"/>
      <c r="I3" s="38"/>
      <c r="J3" s="177"/>
      <c r="K3" s="178"/>
      <c r="L3" s="178"/>
      <c r="M3" s="179"/>
    </row>
    <row r="4" spans="1:13" ht="30" thickBot="1" x14ac:dyDescent="0.3">
      <c r="A4" s="148"/>
      <c r="B4" s="236" t="s">
        <v>215</v>
      </c>
      <c r="C4" s="149"/>
      <c r="D4" s="238" t="s">
        <v>899</v>
      </c>
      <c r="E4" s="239" t="s">
        <v>900</v>
      </c>
      <c r="F4" s="38"/>
      <c r="G4" s="38"/>
      <c r="H4" s="150"/>
      <c r="I4" s="38"/>
      <c r="J4" s="151"/>
      <c r="K4" s="152"/>
      <c r="L4" s="152"/>
      <c r="M4" s="153"/>
    </row>
    <row r="5" spans="1:13" ht="30" thickBot="1" x14ac:dyDescent="0.3">
      <c r="A5" s="148"/>
      <c r="B5" s="237" t="s">
        <v>216</v>
      </c>
      <c r="C5" s="38"/>
      <c r="D5" s="38"/>
      <c r="E5" s="38"/>
      <c r="F5" s="149"/>
      <c r="G5" s="38"/>
      <c r="H5" s="150"/>
      <c r="I5" s="38"/>
      <c r="J5" s="151" t="s">
        <v>225</v>
      </c>
      <c r="K5" s="152" t="s">
        <v>226</v>
      </c>
      <c r="L5" s="152" t="s">
        <v>227</v>
      </c>
      <c r="M5" s="153" t="s">
        <v>748</v>
      </c>
    </row>
    <row r="6" spans="1:13" x14ac:dyDescent="0.25">
      <c r="A6" s="148"/>
      <c r="B6" s="38"/>
      <c r="C6" s="38"/>
      <c r="D6" s="38"/>
      <c r="E6" s="38"/>
      <c r="F6" s="38"/>
      <c r="G6" s="38"/>
      <c r="H6" s="150"/>
      <c r="I6" s="38"/>
      <c r="J6" s="151" t="s">
        <v>228</v>
      </c>
      <c r="K6" s="152"/>
      <c r="L6" s="152"/>
      <c r="M6" s="153"/>
    </row>
    <row r="7" spans="1:13" x14ac:dyDescent="0.25">
      <c r="A7" s="148"/>
      <c r="B7" s="38"/>
      <c r="C7" s="149"/>
      <c r="D7" s="38"/>
      <c r="E7" s="38"/>
      <c r="F7" s="38"/>
      <c r="G7" s="38"/>
      <c r="H7" s="150"/>
      <c r="I7" s="38"/>
      <c r="J7" s="151" t="s">
        <v>228</v>
      </c>
      <c r="K7" s="152" t="s">
        <v>229</v>
      </c>
      <c r="L7" s="152" t="s">
        <v>230</v>
      </c>
      <c r="M7" s="153">
        <v>0</v>
      </c>
    </row>
    <row r="8" spans="1:13" ht="15.75" thickBot="1" x14ac:dyDescent="0.3">
      <c r="A8" s="148"/>
      <c r="B8" s="38"/>
      <c r="C8" s="149"/>
      <c r="D8" s="38"/>
      <c r="E8" s="38"/>
      <c r="F8" s="38"/>
      <c r="G8" s="38"/>
      <c r="H8" s="150"/>
      <c r="I8" s="38"/>
      <c r="J8" s="151" t="s">
        <v>231</v>
      </c>
      <c r="K8" s="152" t="s">
        <v>229</v>
      </c>
      <c r="L8" s="152" t="s">
        <v>749</v>
      </c>
      <c r="M8" s="153" t="s">
        <v>232</v>
      </c>
    </row>
    <row r="9" spans="1:13" ht="15.75" customHeight="1" x14ac:dyDescent="0.25">
      <c r="A9" s="148"/>
      <c r="B9" s="186" t="s">
        <v>217</v>
      </c>
      <c r="C9" s="188"/>
      <c r="D9" s="38"/>
      <c r="E9" s="186" t="s">
        <v>218</v>
      </c>
      <c r="F9" s="187"/>
      <c r="G9" s="188"/>
      <c r="H9" s="150"/>
      <c r="I9" s="38"/>
      <c r="J9" s="151" t="s">
        <v>233</v>
      </c>
      <c r="K9" s="152" t="s">
        <v>229</v>
      </c>
      <c r="L9" s="152" t="s">
        <v>750</v>
      </c>
      <c r="M9" s="153" t="s">
        <v>234</v>
      </c>
    </row>
    <row r="10" spans="1:13" ht="15" customHeight="1" thickBot="1" x14ac:dyDescent="0.3">
      <c r="A10" s="148"/>
      <c r="B10" s="189"/>
      <c r="C10" s="191"/>
      <c r="D10" s="38"/>
      <c r="E10" s="189"/>
      <c r="F10" s="190"/>
      <c r="G10" s="191"/>
      <c r="H10" s="150"/>
      <c r="I10" s="38"/>
      <c r="J10" s="151" t="s">
        <v>235</v>
      </c>
      <c r="K10" s="152" t="s">
        <v>229</v>
      </c>
      <c r="L10" s="152" t="s">
        <v>751</v>
      </c>
      <c r="M10" s="153" t="s">
        <v>236</v>
      </c>
    </row>
    <row r="11" spans="1:13" ht="15.75" customHeight="1" x14ac:dyDescent="0.25">
      <c r="A11" s="148"/>
      <c r="B11" s="154" t="s">
        <v>910</v>
      </c>
      <c r="C11" s="155">
        <v>1</v>
      </c>
      <c r="D11" s="149">
        <v>181</v>
      </c>
      <c r="E11" s="154" t="s">
        <v>220</v>
      </c>
      <c r="F11" s="156">
        <f>'181'!G42</f>
        <v>-68.760000000000062</v>
      </c>
      <c r="G11" s="157" t="s">
        <v>221</v>
      </c>
      <c r="H11" s="150"/>
      <c r="I11" s="38"/>
      <c r="J11" s="151" t="s">
        <v>237</v>
      </c>
      <c r="K11" s="152" t="s">
        <v>229</v>
      </c>
      <c r="L11" s="152" t="s">
        <v>752</v>
      </c>
      <c r="M11" s="153" t="s">
        <v>238</v>
      </c>
    </row>
    <row r="12" spans="1:13" x14ac:dyDescent="0.25">
      <c r="A12" s="148"/>
      <c r="B12" s="158" t="s">
        <v>910</v>
      </c>
      <c r="C12" s="159">
        <v>3</v>
      </c>
      <c r="D12" s="149">
        <v>6</v>
      </c>
      <c r="E12" s="158" t="s">
        <v>220</v>
      </c>
      <c r="F12" s="160">
        <f>M87</f>
        <v>0</v>
      </c>
      <c r="G12" s="161" t="s">
        <v>221</v>
      </c>
      <c r="H12" s="150"/>
      <c r="I12" s="38"/>
      <c r="J12" s="151" t="s">
        <v>239</v>
      </c>
      <c r="K12" s="152"/>
      <c r="L12" s="152"/>
      <c r="M12" s="153"/>
    </row>
    <row r="13" spans="1:13" x14ac:dyDescent="0.25">
      <c r="A13" s="148"/>
      <c r="B13" s="162"/>
      <c r="C13" s="163"/>
      <c r="D13" s="149"/>
      <c r="E13" s="162"/>
      <c r="F13" s="149"/>
      <c r="G13" s="163"/>
      <c r="H13" s="150"/>
      <c r="I13" s="38"/>
      <c r="J13" s="151" t="s">
        <v>240</v>
      </c>
      <c r="K13" s="152" t="s">
        <v>229</v>
      </c>
      <c r="L13" s="152" t="s">
        <v>753</v>
      </c>
      <c r="M13" s="153" t="s">
        <v>241</v>
      </c>
    </row>
    <row r="14" spans="1:13" x14ac:dyDescent="0.25">
      <c r="A14" s="148"/>
      <c r="B14" s="158" t="s">
        <v>911</v>
      </c>
      <c r="C14" s="159">
        <v>1</v>
      </c>
      <c r="D14" s="149">
        <v>151</v>
      </c>
      <c r="E14" s="158" t="s">
        <v>223</v>
      </c>
      <c r="F14" s="160">
        <f>'151'!G42</f>
        <v>-24.210000000000065</v>
      </c>
      <c r="G14" s="161" t="s">
        <v>221</v>
      </c>
      <c r="H14" s="150"/>
      <c r="I14" s="38"/>
      <c r="J14" s="151" t="s">
        <v>242</v>
      </c>
      <c r="K14" s="152" t="s">
        <v>229</v>
      </c>
      <c r="L14" s="152" t="s">
        <v>754</v>
      </c>
      <c r="M14" s="153" t="s">
        <v>243</v>
      </c>
    </row>
    <row r="15" spans="1:13" ht="15.75" thickBot="1" x14ac:dyDescent="0.3">
      <c r="A15" s="148"/>
      <c r="B15" s="164" t="s">
        <v>911</v>
      </c>
      <c r="C15" s="165">
        <v>2</v>
      </c>
      <c r="D15" s="149">
        <v>36</v>
      </c>
      <c r="E15" s="164" t="s">
        <v>223</v>
      </c>
      <c r="F15" s="166">
        <v>-285.8</v>
      </c>
      <c r="G15" s="167" t="s">
        <v>221</v>
      </c>
      <c r="H15" s="150"/>
      <c r="I15" s="38"/>
      <c r="J15" s="151" t="s">
        <v>244</v>
      </c>
      <c r="K15" s="152" t="s">
        <v>229</v>
      </c>
      <c r="L15" s="152" t="s">
        <v>755</v>
      </c>
      <c r="M15" s="153" t="s">
        <v>245</v>
      </c>
    </row>
    <row r="16" spans="1:13" ht="15.75" thickBot="1" x14ac:dyDescent="0.3">
      <c r="A16" s="148"/>
      <c r="B16" s="38"/>
      <c r="C16" s="149"/>
      <c r="D16" s="38"/>
      <c r="E16" s="38"/>
      <c r="F16" s="38"/>
      <c r="G16" s="38"/>
      <c r="H16" s="150"/>
      <c r="I16" s="38"/>
      <c r="J16" s="151" t="s">
        <v>246</v>
      </c>
      <c r="K16" s="152" t="s">
        <v>229</v>
      </c>
      <c r="L16" s="152" t="s">
        <v>247</v>
      </c>
      <c r="M16" s="153" t="s">
        <v>248</v>
      </c>
    </row>
    <row r="17" spans="1:13" ht="21.75" thickBot="1" x14ac:dyDescent="0.3">
      <c r="A17" s="148"/>
      <c r="B17" s="192" t="s">
        <v>914</v>
      </c>
      <c r="C17" s="193"/>
      <c r="D17" s="193"/>
      <c r="E17" s="194"/>
      <c r="F17" s="38"/>
      <c r="G17" s="38"/>
      <c r="H17" s="150"/>
      <c r="I17" s="38"/>
      <c r="J17" s="151" t="s">
        <v>249</v>
      </c>
      <c r="K17" s="152" t="s">
        <v>229</v>
      </c>
      <c r="L17" s="152" t="s">
        <v>756</v>
      </c>
      <c r="M17" s="153" t="s">
        <v>250</v>
      </c>
    </row>
    <row r="18" spans="1:13" x14ac:dyDescent="0.25">
      <c r="A18" s="148"/>
      <c r="B18" s="38"/>
      <c r="C18" s="149"/>
      <c r="D18" s="38"/>
      <c r="E18" s="38"/>
      <c r="F18" s="38"/>
      <c r="G18" s="38"/>
      <c r="H18" s="150"/>
      <c r="I18" s="38"/>
      <c r="J18" s="151" t="s">
        <v>251</v>
      </c>
      <c r="K18" s="152"/>
      <c r="L18" s="152"/>
      <c r="M18" s="153"/>
    </row>
    <row r="19" spans="1:13" ht="15.75" thickBot="1" x14ac:dyDescent="0.3">
      <c r="A19" s="148"/>
      <c r="B19" s="38"/>
      <c r="C19" s="38"/>
      <c r="D19" s="38"/>
      <c r="E19" s="38"/>
      <c r="F19" s="149"/>
      <c r="G19" s="38"/>
      <c r="H19" s="150"/>
      <c r="I19" s="38"/>
      <c r="J19" s="151" t="s">
        <v>251</v>
      </c>
      <c r="K19" s="152" t="s">
        <v>229</v>
      </c>
      <c r="L19" s="152" t="s">
        <v>252</v>
      </c>
      <c r="M19" s="153">
        <v>0</v>
      </c>
    </row>
    <row r="20" spans="1:13" s="112" customFormat="1" ht="24" thickBot="1" x14ac:dyDescent="0.4">
      <c r="A20" s="118"/>
      <c r="B20" s="113" t="s">
        <v>901</v>
      </c>
      <c r="C20" s="114">
        <f>(C14*F14)+(C15*F15)-(C11*F11)-(C12*F12)</f>
        <v>-527.04999999999995</v>
      </c>
      <c r="D20" s="114" t="s">
        <v>221</v>
      </c>
      <c r="E20" s="119"/>
      <c r="F20" s="243" t="s">
        <v>939</v>
      </c>
      <c r="G20" s="244"/>
      <c r="H20" s="245"/>
      <c r="I20" s="120"/>
      <c r="J20" s="151" t="s">
        <v>253</v>
      </c>
      <c r="K20" s="152" t="s">
        <v>229</v>
      </c>
      <c r="L20" s="152" t="s">
        <v>757</v>
      </c>
      <c r="M20" s="153" t="s">
        <v>254</v>
      </c>
    </row>
    <row r="21" spans="1:13" ht="15.75" thickBot="1" x14ac:dyDescent="0.3">
      <c r="A21" s="148"/>
      <c r="B21" s="38"/>
      <c r="C21" s="38"/>
      <c r="D21" s="38"/>
      <c r="E21" s="38"/>
      <c r="F21" s="234" t="s">
        <v>915</v>
      </c>
      <c r="G21" s="224">
        <v>3785441.99</v>
      </c>
      <c r="H21" s="224" t="s">
        <v>928</v>
      </c>
      <c r="I21" s="38"/>
      <c r="J21" s="151" t="s">
        <v>255</v>
      </c>
      <c r="K21" s="152" t="s">
        <v>229</v>
      </c>
      <c r="L21" s="152" t="s">
        <v>256</v>
      </c>
      <c r="M21" s="153" t="s">
        <v>257</v>
      </c>
    </row>
    <row r="22" spans="1:13" ht="15" customHeight="1" x14ac:dyDescent="0.25">
      <c r="A22" s="148"/>
      <c r="B22" s="228" t="s">
        <v>902</v>
      </c>
      <c r="C22" s="229"/>
      <c r="D22" s="230"/>
      <c r="E22" s="168"/>
      <c r="F22" s="235" t="s">
        <v>922</v>
      </c>
      <c r="G22" s="224">
        <v>4.1859999999999999</v>
      </c>
      <c r="H22" s="224" t="s">
        <v>940</v>
      </c>
      <c r="I22" s="38"/>
      <c r="J22" s="151" t="s">
        <v>258</v>
      </c>
      <c r="K22" s="152"/>
      <c r="L22" s="152"/>
      <c r="M22" s="153"/>
    </row>
    <row r="23" spans="1:13" ht="15.75" customHeight="1" thickBot="1" x14ac:dyDescent="0.3">
      <c r="A23" s="148"/>
      <c r="B23" s="231"/>
      <c r="C23" s="232"/>
      <c r="D23" s="233"/>
      <c r="E23" s="168"/>
      <c r="F23" s="235" t="s">
        <v>924</v>
      </c>
      <c r="G23" s="224">
        <v>5</v>
      </c>
      <c r="H23" s="224" t="s">
        <v>101</v>
      </c>
      <c r="I23" s="38"/>
      <c r="J23" s="151" t="s">
        <v>259</v>
      </c>
      <c r="K23" s="152" t="s">
        <v>229</v>
      </c>
      <c r="L23" s="152" t="s">
        <v>758</v>
      </c>
      <c r="M23" s="153" t="s">
        <v>260</v>
      </c>
    </row>
    <row r="24" spans="1:13" x14ac:dyDescent="0.25">
      <c r="A24" s="148"/>
      <c r="B24" s="131" t="s">
        <v>903</v>
      </c>
      <c r="C24" s="133">
        <v>181</v>
      </c>
      <c r="D24" s="133" t="s">
        <v>908</v>
      </c>
      <c r="E24" s="38"/>
      <c r="F24" s="235" t="s">
        <v>916</v>
      </c>
      <c r="G24" s="224">
        <f>G21/G22/G23</f>
        <v>180862.01576684188</v>
      </c>
      <c r="H24" s="224" t="s">
        <v>925</v>
      </c>
      <c r="I24" s="38"/>
      <c r="J24" s="151" t="s">
        <v>261</v>
      </c>
      <c r="K24" s="152"/>
      <c r="L24" s="152"/>
      <c r="M24" s="153"/>
    </row>
    <row r="25" spans="1:13" x14ac:dyDescent="0.25">
      <c r="A25" s="148"/>
      <c r="B25" s="132" t="s">
        <v>904</v>
      </c>
      <c r="C25" s="134">
        <v>1300</v>
      </c>
      <c r="D25" s="134" t="s">
        <v>907</v>
      </c>
      <c r="E25" s="38"/>
      <c r="F25" s="235"/>
      <c r="G25" s="224">
        <f>G24/1000</f>
        <v>180.86201576684189</v>
      </c>
      <c r="H25" s="224" t="s">
        <v>926</v>
      </c>
      <c r="I25" s="38"/>
      <c r="J25" s="151" t="s">
        <v>261</v>
      </c>
      <c r="K25" s="152" t="s">
        <v>262</v>
      </c>
      <c r="L25" s="152" t="s">
        <v>759</v>
      </c>
      <c r="M25" s="153">
        <v>0</v>
      </c>
    </row>
    <row r="26" spans="1:13" x14ac:dyDescent="0.25">
      <c r="A26" s="148"/>
      <c r="B26" s="132" t="s">
        <v>905</v>
      </c>
      <c r="C26" s="224">
        <f>C25/C24</f>
        <v>7.1823204419889501</v>
      </c>
      <c r="D26" s="226" t="s">
        <v>906</v>
      </c>
      <c r="E26" s="38"/>
      <c r="F26" s="235"/>
      <c r="G26" s="224">
        <f>G25*1.05</f>
        <v>189.90511655518401</v>
      </c>
      <c r="H26" s="224" t="s">
        <v>926</v>
      </c>
      <c r="I26" s="38"/>
      <c r="J26" s="151" t="s">
        <v>263</v>
      </c>
      <c r="K26" s="152" t="s">
        <v>264</v>
      </c>
      <c r="L26" s="152" t="s">
        <v>760</v>
      </c>
      <c r="M26" s="153" t="s">
        <v>265</v>
      </c>
    </row>
    <row r="27" spans="1:13" x14ac:dyDescent="0.25">
      <c r="A27" s="148"/>
      <c r="B27" s="132"/>
      <c r="C27" s="224">
        <f>C26*C20</f>
        <v>-3785.441988950276</v>
      </c>
      <c r="D27" s="226" t="s">
        <v>917</v>
      </c>
      <c r="E27" s="38"/>
      <c r="F27" s="235" t="s">
        <v>929</v>
      </c>
      <c r="G27" s="134">
        <v>2.5</v>
      </c>
      <c r="H27" s="223" t="s">
        <v>933</v>
      </c>
      <c r="I27" s="38"/>
      <c r="J27" s="151" t="s">
        <v>261</v>
      </c>
      <c r="K27" s="152" t="s">
        <v>266</v>
      </c>
      <c r="L27" s="152" t="s">
        <v>267</v>
      </c>
      <c r="M27" s="153">
        <v>111.884</v>
      </c>
    </row>
    <row r="28" spans="1:13" x14ac:dyDescent="0.25">
      <c r="A28" s="148"/>
      <c r="B28" s="132"/>
      <c r="C28" s="224">
        <f>C27/4.184</f>
        <v>-904.7423491754962</v>
      </c>
      <c r="D28" s="226" t="s">
        <v>909</v>
      </c>
      <c r="E28" s="38"/>
      <c r="F28" s="235" t="s">
        <v>930</v>
      </c>
      <c r="G28" s="134">
        <v>45</v>
      </c>
      <c r="H28" s="223" t="s">
        <v>934</v>
      </c>
      <c r="I28" s="38"/>
      <c r="J28" s="151" t="s">
        <v>261</v>
      </c>
      <c r="K28" s="152" t="s">
        <v>266</v>
      </c>
      <c r="L28" s="152" t="s">
        <v>759</v>
      </c>
      <c r="M28" s="153">
        <v>30.91</v>
      </c>
    </row>
    <row r="29" spans="1:13" ht="15.75" thickBot="1" x14ac:dyDescent="0.3">
      <c r="A29" s="148"/>
      <c r="B29" s="135"/>
      <c r="C29" s="225">
        <f>C27*4.184</f>
        <v>-15838.289281767955</v>
      </c>
      <c r="D29" s="227" t="s">
        <v>913</v>
      </c>
      <c r="E29" s="38"/>
      <c r="F29" s="246" t="s">
        <v>931</v>
      </c>
      <c r="G29" s="247">
        <f>G28/G27</f>
        <v>18</v>
      </c>
      <c r="H29" s="247" t="s">
        <v>935</v>
      </c>
      <c r="I29" s="38"/>
      <c r="J29" s="151" t="s">
        <v>268</v>
      </c>
      <c r="K29" s="152" t="s">
        <v>266</v>
      </c>
      <c r="L29" s="152" t="s">
        <v>761</v>
      </c>
      <c r="M29" s="153" t="s">
        <v>269</v>
      </c>
    </row>
    <row r="30" spans="1:13" ht="30" customHeight="1" thickBot="1" x14ac:dyDescent="0.3">
      <c r="A30" s="169"/>
      <c r="B30" s="250" t="s">
        <v>915</v>
      </c>
      <c r="C30" s="251">
        <f>C27*1000</f>
        <v>-3785441.9889502758</v>
      </c>
      <c r="D30" s="248" t="s">
        <v>928</v>
      </c>
      <c r="E30" s="252"/>
      <c r="F30" s="253" t="s">
        <v>932</v>
      </c>
      <c r="G30" s="249">
        <f>G26/G27</f>
        <v>75.962046622073601</v>
      </c>
      <c r="H30" s="249" t="s">
        <v>936</v>
      </c>
      <c r="I30" s="38"/>
      <c r="J30" s="151" t="s">
        <v>270</v>
      </c>
      <c r="K30" s="152" t="s">
        <v>266</v>
      </c>
      <c r="L30" s="152" t="s">
        <v>271</v>
      </c>
      <c r="M30" s="153" t="s">
        <v>272</v>
      </c>
    </row>
    <row r="31" spans="1:13" x14ac:dyDescent="0.25">
      <c r="J31" s="151" t="s">
        <v>273</v>
      </c>
      <c r="K31" s="152"/>
      <c r="L31" s="152"/>
      <c r="M31" s="153"/>
    </row>
    <row r="32" spans="1:13" x14ac:dyDescent="0.25">
      <c r="A32"/>
      <c r="B32"/>
      <c r="J32" s="151" t="s">
        <v>273</v>
      </c>
      <c r="K32" s="152" t="s">
        <v>229</v>
      </c>
      <c r="L32" s="152" t="s">
        <v>274</v>
      </c>
      <c r="M32" s="153">
        <v>0</v>
      </c>
    </row>
    <row r="33" spans="1:13" ht="15.75" thickBot="1" x14ac:dyDescent="0.3">
      <c r="A33"/>
      <c r="B33"/>
      <c r="J33" s="151" t="s">
        <v>275</v>
      </c>
      <c r="K33" s="152" t="s">
        <v>229</v>
      </c>
      <c r="L33" s="152" t="s">
        <v>276</v>
      </c>
      <c r="M33" s="153" t="s">
        <v>277</v>
      </c>
    </row>
    <row r="34" spans="1:13" ht="15.75" customHeight="1" thickBot="1" x14ac:dyDescent="0.3">
      <c r="A34" s="205" t="s">
        <v>918</v>
      </c>
      <c r="B34" s="206"/>
      <c r="C34" s="206"/>
      <c r="D34" s="207"/>
      <c r="J34" s="151" t="s">
        <v>278</v>
      </c>
      <c r="K34" s="152" t="s">
        <v>229</v>
      </c>
      <c r="L34" s="152" t="s">
        <v>762</v>
      </c>
      <c r="M34" s="153" t="s">
        <v>279</v>
      </c>
    </row>
    <row r="35" spans="1:13" ht="15.75" thickBot="1" x14ac:dyDescent="0.3">
      <c r="A35" s="208"/>
      <c r="B35" s="209" t="s">
        <v>927</v>
      </c>
      <c r="C35" s="210"/>
      <c r="D35" s="211"/>
      <c r="J35" s="151" t="s">
        <v>280</v>
      </c>
      <c r="K35" s="152" t="s">
        <v>229</v>
      </c>
      <c r="L35" s="152" t="s">
        <v>281</v>
      </c>
      <c r="M35" s="153" t="s">
        <v>282</v>
      </c>
    </row>
    <row r="36" spans="1:13" x14ac:dyDescent="0.25">
      <c r="A36" s="208"/>
      <c r="B36" s="24"/>
      <c r="C36" s="24"/>
      <c r="D36" s="47"/>
      <c r="E36" s="213"/>
      <c r="J36" s="151" t="s">
        <v>283</v>
      </c>
      <c r="K36" s="152" t="s">
        <v>229</v>
      </c>
      <c r="L36" s="152" t="s">
        <v>763</v>
      </c>
      <c r="M36" s="153" t="s">
        <v>284</v>
      </c>
    </row>
    <row r="37" spans="1:13" x14ac:dyDescent="0.25">
      <c r="A37" s="208"/>
      <c r="B37" s="24"/>
      <c r="C37" s="24"/>
      <c r="D37" s="47"/>
      <c r="J37" s="151" t="s">
        <v>285</v>
      </c>
      <c r="K37" s="152"/>
      <c r="L37" s="152"/>
      <c r="M37" s="153"/>
    </row>
    <row r="38" spans="1:13" x14ac:dyDescent="0.25">
      <c r="A38" s="208"/>
      <c r="B38" s="216"/>
      <c r="C38" s="216"/>
      <c r="D38" s="212"/>
      <c r="J38" s="151" t="s">
        <v>285</v>
      </c>
      <c r="K38" s="152" t="s">
        <v>229</v>
      </c>
      <c r="L38" s="152" t="s">
        <v>286</v>
      </c>
      <c r="M38" s="153">
        <v>0</v>
      </c>
    </row>
    <row r="39" spans="1:13" x14ac:dyDescent="0.25">
      <c r="A39" s="208" t="s">
        <v>915</v>
      </c>
      <c r="B39" s="216">
        <v>3785000</v>
      </c>
      <c r="C39" s="216" t="s">
        <v>919</v>
      </c>
      <c r="D39" s="212"/>
      <c r="J39" s="151" t="s">
        <v>285</v>
      </c>
      <c r="K39" s="152" t="s">
        <v>266</v>
      </c>
      <c r="L39" s="152" t="s">
        <v>286</v>
      </c>
      <c r="M39" s="153">
        <v>76.5</v>
      </c>
    </row>
    <row r="40" spans="1:13" x14ac:dyDescent="0.25">
      <c r="A40" s="208"/>
      <c r="B40" s="216"/>
      <c r="C40" s="216"/>
      <c r="D40" s="212"/>
      <c r="J40" s="151" t="s">
        <v>285</v>
      </c>
      <c r="K40" s="152" t="s">
        <v>262</v>
      </c>
      <c r="L40" s="152" t="s">
        <v>286</v>
      </c>
      <c r="M40" s="153">
        <v>2.09</v>
      </c>
    </row>
    <row r="41" spans="1:13" x14ac:dyDescent="0.25">
      <c r="A41" s="208" t="s">
        <v>920</v>
      </c>
      <c r="B41" s="216"/>
      <c r="C41" s="216"/>
      <c r="D41" s="212"/>
      <c r="J41" s="151" t="s">
        <v>287</v>
      </c>
      <c r="K41" s="152" t="s">
        <v>266</v>
      </c>
      <c r="L41" s="152" t="s">
        <v>764</v>
      </c>
      <c r="M41" s="153">
        <v>457.964</v>
      </c>
    </row>
    <row r="42" spans="1:13" x14ac:dyDescent="0.25">
      <c r="A42" s="208" t="s">
        <v>921</v>
      </c>
      <c r="B42" s="216"/>
      <c r="C42" s="216"/>
      <c r="D42" s="212"/>
      <c r="J42" s="151" t="s">
        <v>288</v>
      </c>
      <c r="K42" s="152" t="s">
        <v>229</v>
      </c>
      <c r="L42" s="152" t="s">
        <v>289</v>
      </c>
      <c r="M42" s="153" t="s">
        <v>290</v>
      </c>
    </row>
    <row r="43" spans="1:13" x14ac:dyDescent="0.25">
      <c r="A43" s="208"/>
      <c r="B43" s="216" t="s">
        <v>922</v>
      </c>
      <c r="C43" s="216">
        <v>4.1859999999999999</v>
      </c>
      <c r="D43" s="212" t="s">
        <v>923</v>
      </c>
      <c r="J43" s="151" t="s">
        <v>291</v>
      </c>
      <c r="K43" s="152"/>
      <c r="L43" s="152"/>
      <c r="M43" s="153"/>
    </row>
    <row r="44" spans="1:13" x14ac:dyDescent="0.25">
      <c r="A44" s="208"/>
      <c r="B44" s="216" t="s">
        <v>924</v>
      </c>
      <c r="C44" s="216">
        <v>5</v>
      </c>
      <c r="D44" s="212" t="s">
        <v>101</v>
      </c>
      <c r="J44" s="151" t="s">
        <v>291</v>
      </c>
      <c r="K44" s="152" t="s">
        <v>229</v>
      </c>
      <c r="L44" s="152" t="s">
        <v>292</v>
      </c>
      <c r="M44" s="153">
        <v>0</v>
      </c>
    </row>
    <row r="45" spans="1:13" x14ac:dyDescent="0.25">
      <c r="A45" s="208"/>
      <c r="B45" s="216"/>
      <c r="C45" s="216"/>
      <c r="D45" s="212"/>
      <c r="J45" s="151" t="s">
        <v>291</v>
      </c>
      <c r="K45" s="152" t="s">
        <v>266</v>
      </c>
      <c r="L45" s="152" t="s">
        <v>292</v>
      </c>
      <c r="M45" s="153">
        <v>178.2</v>
      </c>
    </row>
    <row r="46" spans="1:13" x14ac:dyDescent="0.25">
      <c r="A46" s="208" t="s">
        <v>916</v>
      </c>
      <c r="B46" s="216">
        <f>B39/C43/C44</f>
        <v>180840.89823220257</v>
      </c>
      <c r="C46" s="216" t="s">
        <v>925</v>
      </c>
      <c r="D46" s="212"/>
      <c r="J46" s="151" t="s">
        <v>293</v>
      </c>
      <c r="K46" s="152" t="s">
        <v>266</v>
      </c>
      <c r="L46" s="152" t="s">
        <v>765</v>
      </c>
      <c r="M46" s="153">
        <v>1925.9</v>
      </c>
    </row>
    <row r="47" spans="1:13" x14ac:dyDescent="0.25">
      <c r="A47" s="208"/>
      <c r="B47" s="216">
        <f>B46/1000</f>
        <v>180.84089823220256</v>
      </c>
      <c r="C47" s="216" t="s">
        <v>926</v>
      </c>
      <c r="D47" s="212"/>
      <c r="J47" s="151" t="s">
        <v>293</v>
      </c>
      <c r="K47" s="152" t="s">
        <v>264</v>
      </c>
      <c r="L47" s="152" t="s">
        <v>765</v>
      </c>
      <c r="M47" s="153" t="s">
        <v>294</v>
      </c>
    </row>
    <row r="48" spans="1:13" x14ac:dyDescent="0.25">
      <c r="A48" s="208"/>
      <c r="B48" s="217">
        <f>B47*1.05</f>
        <v>189.8829431438127</v>
      </c>
      <c r="C48" s="217" t="s">
        <v>926</v>
      </c>
      <c r="D48" s="212"/>
      <c r="J48" s="151" t="s">
        <v>295</v>
      </c>
      <c r="K48" s="152" t="s">
        <v>229</v>
      </c>
      <c r="L48" s="152" t="s">
        <v>766</v>
      </c>
      <c r="M48" s="153" t="s">
        <v>296</v>
      </c>
    </row>
    <row r="49" spans="1:13" x14ac:dyDescent="0.25">
      <c r="A49" s="208"/>
      <c r="B49" s="216"/>
      <c r="C49" s="216"/>
      <c r="D49" s="212"/>
      <c r="J49" s="151" t="s">
        <v>767</v>
      </c>
      <c r="K49" s="152" t="s">
        <v>229</v>
      </c>
      <c r="L49" s="152" t="s">
        <v>768</v>
      </c>
      <c r="M49" s="153" t="s">
        <v>297</v>
      </c>
    </row>
    <row r="50" spans="1:13" x14ac:dyDescent="0.25">
      <c r="A50" s="46"/>
      <c r="B50" s="24"/>
      <c r="C50" s="24"/>
      <c r="D50" s="47"/>
      <c r="J50" s="151" t="s">
        <v>298</v>
      </c>
      <c r="K50" s="152" t="s">
        <v>229</v>
      </c>
      <c r="L50" s="152" t="s">
        <v>769</v>
      </c>
      <c r="M50" s="153" t="s">
        <v>299</v>
      </c>
    </row>
    <row r="51" spans="1:13" x14ac:dyDescent="0.25">
      <c r="A51" s="46"/>
      <c r="B51" s="27" t="s">
        <v>929</v>
      </c>
      <c r="C51" s="27">
        <v>2.5</v>
      </c>
      <c r="D51" s="218" t="s">
        <v>933</v>
      </c>
      <c r="J51" s="151" t="s">
        <v>298</v>
      </c>
      <c r="K51" s="152" t="s">
        <v>264</v>
      </c>
      <c r="L51" s="152" t="s">
        <v>769</v>
      </c>
      <c r="M51" s="153" t="s">
        <v>300</v>
      </c>
    </row>
    <row r="52" spans="1:13" x14ac:dyDescent="0.25">
      <c r="A52" s="46"/>
      <c r="B52" s="27" t="s">
        <v>930</v>
      </c>
      <c r="C52" s="27">
        <v>45</v>
      </c>
      <c r="D52" s="218" t="s">
        <v>934</v>
      </c>
      <c r="J52" s="151" t="s">
        <v>301</v>
      </c>
      <c r="K52" s="152" t="s">
        <v>229</v>
      </c>
      <c r="L52" s="152" t="s">
        <v>770</v>
      </c>
      <c r="M52" s="153" t="s">
        <v>302</v>
      </c>
    </row>
    <row r="53" spans="1:13" x14ac:dyDescent="0.25">
      <c r="A53" s="46"/>
      <c r="B53" s="27" t="s">
        <v>931</v>
      </c>
      <c r="C53" s="27">
        <f>C52/C51</f>
        <v>18</v>
      </c>
      <c r="D53" s="218" t="s">
        <v>935</v>
      </c>
      <c r="J53" s="151" t="s">
        <v>303</v>
      </c>
      <c r="K53" s="152" t="s">
        <v>229</v>
      </c>
      <c r="L53" s="152" t="s">
        <v>771</v>
      </c>
      <c r="M53" s="153" t="s">
        <v>304</v>
      </c>
    </row>
    <row r="54" spans="1:13" ht="15.75" thickBot="1" x14ac:dyDescent="0.3">
      <c r="A54" s="49"/>
      <c r="B54" s="219" t="s">
        <v>932</v>
      </c>
      <c r="C54" s="220">
        <f>B48/C51</f>
        <v>75.953177257525084</v>
      </c>
      <c r="D54" s="221" t="s">
        <v>936</v>
      </c>
      <c r="J54" s="151" t="s">
        <v>305</v>
      </c>
      <c r="K54" s="152" t="s">
        <v>229</v>
      </c>
      <c r="L54" s="152" t="s">
        <v>772</v>
      </c>
      <c r="M54" s="153" t="s">
        <v>306</v>
      </c>
    </row>
    <row r="55" spans="1:13" x14ac:dyDescent="0.25">
      <c r="A55"/>
      <c r="B55"/>
      <c r="C55"/>
      <c r="D55"/>
      <c r="J55" s="151" t="s">
        <v>307</v>
      </c>
      <c r="K55" s="152" t="s">
        <v>229</v>
      </c>
      <c r="L55" s="152" t="s">
        <v>773</v>
      </c>
      <c r="M55" s="153" t="s">
        <v>308</v>
      </c>
    </row>
    <row r="56" spans="1:13" x14ac:dyDescent="0.25">
      <c r="A56"/>
      <c r="B56"/>
      <c r="C56"/>
      <c r="D56"/>
      <c r="J56" s="151" t="s">
        <v>307</v>
      </c>
      <c r="K56" s="152" t="s">
        <v>264</v>
      </c>
      <c r="L56" s="152" t="s">
        <v>773</v>
      </c>
      <c r="M56" s="153" t="s">
        <v>309</v>
      </c>
    </row>
    <row r="57" spans="1:13" x14ac:dyDescent="0.25">
      <c r="J57" s="151" t="s">
        <v>310</v>
      </c>
      <c r="K57" s="152" t="s">
        <v>229</v>
      </c>
      <c r="L57" s="152" t="s">
        <v>311</v>
      </c>
      <c r="M57" s="153" t="s">
        <v>312</v>
      </c>
    </row>
    <row r="58" spans="1:13" x14ac:dyDescent="0.25">
      <c r="J58" s="151" t="s">
        <v>313</v>
      </c>
      <c r="K58" s="152" t="s">
        <v>229</v>
      </c>
      <c r="L58" s="152" t="s">
        <v>774</v>
      </c>
      <c r="M58" s="153" t="s">
        <v>314</v>
      </c>
    </row>
    <row r="59" spans="1:13" x14ac:dyDescent="0.25">
      <c r="J59" s="151" t="s">
        <v>315</v>
      </c>
      <c r="K59" s="152" t="s">
        <v>229</v>
      </c>
      <c r="L59" s="152" t="s">
        <v>316</v>
      </c>
      <c r="M59" s="153" t="s">
        <v>317</v>
      </c>
    </row>
    <row r="60" spans="1:13" x14ac:dyDescent="0.25">
      <c r="J60" s="151" t="s">
        <v>318</v>
      </c>
      <c r="K60" s="152" t="s">
        <v>229</v>
      </c>
      <c r="L60" s="152" t="s">
        <v>775</v>
      </c>
      <c r="M60" s="153" t="s">
        <v>319</v>
      </c>
    </row>
    <row r="61" spans="1:13" x14ac:dyDescent="0.25">
      <c r="J61" s="151" t="s">
        <v>320</v>
      </c>
      <c r="K61" s="152"/>
      <c r="L61" s="152"/>
      <c r="M61" s="153"/>
    </row>
    <row r="62" spans="1:13" x14ac:dyDescent="0.25">
      <c r="J62" s="151" t="s">
        <v>776</v>
      </c>
      <c r="K62" s="152" t="s">
        <v>229</v>
      </c>
      <c r="L62" s="152" t="s">
        <v>66</v>
      </c>
      <c r="M62" s="153">
        <v>0</v>
      </c>
    </row>
    <row r="63" spans="1:13" x14ac:dyDescent="0.25">
      <c r="J63" s="151" t="s">
        <v>777</v>
      </c>
      <c r="K63" s="152" t="s">
        <v>229</v>
      </c>
      <c r="L63" s="152" t="s">
        <v>66</v>
      </c>
      <c r="M63" s="153">
        <v>1.9</v>
      </c>
    </row>
    <row r="64" spans="1:13" x14ac:dyDescent="0.25">
      <c r="J64" s="151" t="s">
        <v>320</v>
      </c>
      <c r="K64" s="152" t="s">
        <v>266</v>
      </c>
      <c r="L64" s="152" t="s">
        <v>66</v>
      </c>
      <c r="M64" s="153">
        <v>716.67</v>
      </c>
    </row>
    <row r="65" spans="10:13" x14ac:dyDescent="0.25">
      <c r="J65" s="151" t="s">
        <v>321</v>
      </c>
      <c r="K65" s="152" t="s">
        <v>266</v>
      </c>
      <c r="L65" s="152" t="s">
        <v>778</v>
      </c>
      <c r="M65" s="153" t="s">
        <v>322</v>
      </c>
    </row>
    <row r="66" spans="10:13" x14ac:dyDescent="0.25">
      <c r="J66" s="151" t="s">
        <v>323</v>
      </c>
      <c r="K66" s="152" t="s">
        <v>262</v>
      </c>
      <c r="L66" s="152" t="s">
        <v>779</v>
      </c>
      <c r="M66" s="153">
        <v>89.41</v>
      </c>
    </row>
    <row r="67" spans="10:13" x14ac:dyDescent="0.25">
      <c r="J67" s="151" t="s">
        <v>323</v>
      </c>
      <c r="K67" s="152" t="s">
        <v>266</v>
      </c>
      <c r="L67" s="152" t="s">
        <v>779</v>
      </c>
      <c r="M67" s="153">
        <v>116.7</v>
      </c>
    </row>
    <row r="68" spans="10:13" x14ac:dyDescent="0.25">
      <c r="J68" s="151" t="s">
        <v>324</v>
      </c>
      <c r="K68" s="152" t="s">
        <v>266</v>
      </c>
      <c r="L68" s="152" t="s">
        <v>325</v>
      </c>
      <c r="M68" s="153" t="s">
        <v>326</v>
      </c>
    </row>
    <row r="69" spans="10:13" x14ac:dyDescent="0.25">
      <c r="J69" s="151" t="s">
        <v>780</v>
      </c>
      <c r="K69" s="152" t="s">
        <v>266</v>
      </c>
      <c r="L69" s="152" t="s">
        <v>781</v>
      </c>
      <c r="M69" s="153" t="s">
        <v>327</v>
      </c>
    </row>
    <row r="70" spans="10:13" x14ac:dyDescent="0.25">
      <c r="J70" s="151" t="s">
        <v>328</v>
      </c>
      <c r="K70" s="152" t="s">
        <v>264</v>
      </c>
      <c r="L70" s="152" t="s">
        <v>782</v>
      </c>
      <c r="M70" s="153" t="s">
        <v>329</v>
      </c>
    </row>
    <row r="71" spans="10:13" x14ac:dyDescent="0.25">
      <c r="J71" s="151" t="s">
        <v>330</v>
      </c>
      <c r="K71" s="152" t="s">
        <v>264</v>
      </c>
      <c r="L71" s="152" t="s">
        <v>783</v>
      </c>
      <c r="M71" s="153" t="s">
        <v>331</v>
      </c>
    </row>
    <row r="72" spans="10:13" x14ac:dyDescent="0.25">
      <c r="J72" s="151" t="s">
        <v>332</v>
      </c>
      <c r="K72" s="152" t="s">
        <v>264</v>
      </c>
      <c r="L72" s="152" t="s">
        <v>784</v>
      </c>
      <c r="M72" s="153" t="s">
        <v>333</v>
      </c>
    </row>
    <row r="73" spans="10:13" x14ac:dyDescent="0.25">
      <c r="J73" s="151" t="s">
        <v>334</v>
      </c>
      <c r="K73" s="152"/>
      <c r="L73" s="152"/>
      <c r="M73" s="153"/>
    </row>
    <row r="74" spans="10:13" x14ac:dyDescent="0.25">
      <c r="J74" s="151" t="s">
        <v>335</v>
      </c>
      <c r="K74" s="152" t="s">
        <v>266</v>
      </c>
      <c r="L74" s="152" t="s">
        <v>336</v>
      </c>
      <c r="M74" s="153">
        <v>121.7</v>
      </c>
    </row>
    <row r="75" spans="10:13" x14ac:dyDescent="0.25">
      <c r="J75" s="151" t="s">
        <v>337</v>
      </c>
      <c r="K75" s="152" t="s">
        <v>264</v>
      </c>
      <c r="L75" s="152" t="s">
        <v>785</v>
      </c>
      <c r="M75" s="153" t="s">
        <v>338</v>
      </c>
    </row>
    <row r="76" spans="10:13" x14ac:dyDescent="0.25">
      <c r="J76" s="151" t="s">
        <v>334</v>
      </c>
      <c r="K76" s="152" t="s">
        <v>266</v>
      </c>
      <c r="L76" s="152" t="s">
        <v>786</v>
      </c>
      <c r="M76" s="153">
        <v>0</v>
      </c>
    </row>
    <row r="77" spans="10:13" x14ac:dyDescent="0.25">
      <c r="J77" s="151" t="s">
        <v>339</v>
      </c>
      <c r="K77" s="152"/>
      <c r="L77" s="152"/>
      <c r="M77" s="153"/>
    </row>
    <row r="78" spans="10:13" x14ac:dyDescent="0.25">
      <c r="J78" s="151" t="s">
        <v>339</v>
      </c>
      <c r="K78" s="152" t="s">
        <v>229</v>
      </c>
      <c r="L78" s="152" t="s">
        <v>340</v>
      </c>
      <c r="M78" s="153">
        <v>0</v>
      </c>
    </row>
    <row r="79" spans="10:13" x14ac:dyDescent="0.25">
      <c r="J79" s="151" t="s">
        <v>341</v>
      </c>
      <c r="K79" s="152"/>
      <c r="L79" s="152"/>
      <c r="M79" s="153"/>
    </row>
    <row r="80" spans="10:13" x14ac:dyDescent="0.25">
      <c r="J80" s="151" t="s">
        <v>341</v>
      </c>
      <c r="K80" s="152" t="s">
        <v>229</v>
      </c>
      <c r="L80" s="152" t="s">
        <v>342</v>
      </c>
      <c r="M80" s="153">
        <v>0</v>
      </c>
    </row>
    <row r="81" spans="10:13" x14ac:dyDescent="0.25">
      <c r="J81" s="151" t="s">
        <v>343</v>
      </c>
      <c r="K81" s="152" t="s">
        <v>229</v>
      </c>
      <c r="L81" s="152" t="s">
        <v>344</v>
      </c>
      <c r="M81" s="153" t="s">
        <v>345</v>
      </c>
    </row>
    <row r="82" spans="10:13" x14ac:dyDescent="0.25">
      <c r="J82" s="151" t="s">
        <v>346</v>
      </c>
      <c r="K82" s="152" t="s">
        <v>264</v>
      </c>
      <c r="L82" s="152" t="s">
        <v>787</v>
      </c>
      <c r="M82" s="153" t="s">
        <v>347</v>
      </c>
    </row>
    <row r="83" spans="10:13" x14ac:dyDescent="0.25">
      <c r="J83" s="151" t="s">
        <v>348</v>
      </c>
      <c r="K83" s="152"/>
      <c r="L83" s="152"/>
      <c r="M83" s="153"/>
    </row>
    <row r="84" spans="10:13" x14ac:dyDescent="0.25">
      <c r="J84" s="151" t="s">
        <v>348</v>
      </c>
      <c r="K84" s="152" t="s">
        <v>266</v>
      </c>
      <c r="L84" s="152" t="s">
        <v>788</v>
      </c>
      <c r="M84" s="153">
        <v>0</v>
      </c>
    </row>
    <row r="85" spans="10:13" x14ac:dyDescent="0.25">
      <c r="J85" s="151" t="s">
        <v>349</v>
      </c>
      <c r="K85" s="152"/>
      <c r="L85" s="152"/>
      <c r="M85" s="153"/>
    </row>
    <row r="86" spans="10:13" x14ac:dyDescent="0.25">
      <c r="J86" s="151" t="s">
        <v>350</v>
      </c>
      <c r="K86" s="152" t="s">
        <v>266</v>
      </c>
      <c r="L86" s="152" t="s">
        <v>351</v>
      </c>
      <c r="M86" s="153">
        <v>218</v>
      </c>
    </row>
    <row r="87" spans="10:13" x14ac:dyDescent="0.25">
      <c r="J87" s="240" t="s">
        <v>349</v>
      </c>
      <c r="K87" s="241" t="s">
        <v>266</v>
      </c>
      <c r="L87" s="241" t="s">
        <v>789</v>
      </c>
      <c r="M87" s="242">
        <v>0</v>
      </c>
    </row>
    <row r="88" spans="10:13" x14ac:dyDescent="0.25">
      <c r="J88" s="151" t="s">
        <v>352</v>
      </c>
      <c r="K88" s="152" t="s">
        <v>266</v>
      </c>
      <c r="L88" s="152" t="s">
        <v>790</v>
      </c>
      <c r="M88" s="153" t="s">
        <v>353</v>
      </c>
    </row>
    <row r="89" spans="10:13" x14ac:dyDescent="0.25">
      <c r="J89" s="151" t="s">
        <v>352</v>
      </c>
      <c r="K89" s="152" t="s">
        <v>262</v>
      </c>
      <c r="L89" s="152" t="s">
        <v>790</v>
      </c>
      <c r="M89" s="153" t="s">
        <v>354</v>
      </c>
    </row>
    <row r="90" spans="10:13" x14ac:dyDescent="0.25">
      <c r="J90" s="151" t="s">
        <v>355</v>
      </c>
      <c r="K90" s="152" t="s">
        <v>264</v>
      </c>
      <c r="L90" s="152" t="s">
        <v>791</v>
      </c>
      <c r="M90" s="153">
        <v>0</v>
      </c>
    </row>
    <row r="91" spans="10:13" x14ac:dyDescent="0.25">
      <c r="J91" s="151" t="s">
        <v>356</v>
      </c>
      <c r="K91" s="152" t="s">
        <v>264</v>
      </c>
      <c r="L91" s="152" t="s">
        <v>792</v>
      </c>
      <c r="M91" s="153" t="s">
        <v>357</v>
      </c>
    </row>
    <row r="92" spans="10:13" x14ac:dyDescent="0.25">
      <c r="J92" s="151" t="s">
        <v>358</v>
      </c>
      <c r="K92" s="152" t="s">
        <v>262</v>
      </c>
      <c r="L92" s="152" t="s">
        <v>793</v>
      </c>
      <c r="M92" s="153" t="s">
        <v>359</v>
      </c>
    </row>
    <row r="93" spans="10:13" x14ac:dyDescent="0.25">
      <c r="J93" s="151" t="s">
        <v>360</v>
      </c>
      <c r="K93" s="152" t="s">
        <v>262</v>
      </c>
      <c r="L93" s="152" t="s">
        <v>794</v>
      </c>
      <c r="M93" s="153" t="s">
        <v>361</v>
      </c>
    </row>
    <row r="94" spans="10:13" x14ac:dyDescent="0.25">
      <c r="J94" s="151" t="s">
        <v>362</v>
      </c>
      <c r="K94" s="152" t="s">
        <v>266</v>
      </c>
      <c r="L94" s="152" t="s">
        <v>363</v>
      </c>
      <c r="M94" s="153">
        <v>130.5</v>
      </c>
    </row>
    <row r="95" spans="10:13" x14ac:dyDescent="0.25">
      <c r="J95" s="151" t="s">
        <v>270</v>
      </c>
      <c r="K95" s="152" t="s">
        <v>262</v>
      </c>
      <c r="L95" s="152" t="s">
        <v>271</v>
      </c>
      <c r="M95" s="153" t="s">
        <v>364</v>
      </c>
    </row>
    <row r="96" spans="10:13" x14ac:dyDescent="0.25">
      <c r="J96" s="151" t="s">
        <v>365</v>
      </c>
      <c r="K96" s="152" t="s">
        <v>266</v>
      </c>
      <c r="L96" s="152" t="s">
        <v>366</v>
      </c>
      <c r="M96" s="153" t="s">
        <v>367</v>
      </c>
    </row>
    <row r="97" spans="10:13" x14ac:dyDescent="0.25">
      <c r="J97" s="151" t="s">
        <v>365</v>
      </c>
      <c r="K97" s="152" t="s">
        <v>264</v>
      </c>
      <c r="L97" s="152" t="s">
        <v>366</v>
      </c>
      <c r="M97" s="153" t="s">
        <v>338</v>
      </c>
    </row>
    <row r="98" spans="10:13" x14ac:dyDescent="0.25">
      <c r="J98" s="151" t="s">
        <v>368</v>
      </c>
      <c r="K98" s="152" t="s">
        <v>266</v>
      </c>
      <c r="L98" s="152" t="s">
        <v>369</v>
      </c>
      <c r="M98" s="153" t="s">
        <v>370</v>
      </c>
    </row>
    <row r="99" spans="10:13" x14ac:dyDescent="0.25">
      <c r="J99" s="151" t="s">
        <v>371</v>
      </c>
      <c r="K99" s="152" t="s">
        <v>266</v>
      </c>
      <c r="L99" s="152" t="s">
        <v>372</v>
      </c>
      <c r="M99" s="153">
        <v>26.5</v>
      </c>
    </row>
    <row r="100" spans="10:13" x14ac:dyDescent="0.25">
      <c r="J100" s="151" t="s">
        <v>373</v>
      </c>
      <c r="K100" s="152"/>
      <c r="L100" s="152"/>
      <c r="M100" s="153"/>
    </row>
    <row r="101" spans="10:13" x14ac:dyDescent="0.25">
      <c r="J101" s="151" t="s">
        <v>373</v>
      </c>
      <c r="K101" s="152" t="s">
        <v>229</v>
      </c>
      <c r="L101" s="152" t="s">
        <v>795</v>
      </c>
      <c r="M101" s="153">
        <v>0</v>
      </c>
    </row>
    <row r="102" spans="10:13" x14ac:dyDescent="0.25">
      <c r="J102" s="151" t="s">
        <v>373</v>
      </c>
      <c r="K102" s="152" t="s">
        <v>266</v>
      </c>
      <c r="L102" s="152" t="s">
        <v>795</v>
      </c>
      <c r="M102" s="153">
        <v>62.438000000000002</v>
      </c>
    </row>
    <row r="103" spans="10:13" x14ac:dyDescent="0.25">
      <c r="J103" s="151" t="s">
        <v>373</v>
      </c>
      <c r="K103" s="152" t="s">
        <v>264</v>
      </c>
      <c r="L103" s="152" t="s">
        <v>795</v>
      </c>
      <c r="M103" s="153">
        <v>23</v>
      </c>
    </row>
    <row r="104" spans="10:13" x14ac:dyDescent="0.25">
      <c r="J104" s="151" t="s">
        <v>374</v>
      </c>
      <c r="K104" s="152" t="s">
        <v>264</v>
      </c>
      <c r="L104" s="152" t="s">
        <v>796</v>
      </c>
      <c r="M104" s="153" t="s">
        <v>375</v>
      </c>
    </row>
    <row r="105" spans="10:13" x14ac:dyDescent="0.25">
      <c r="J105" s="151" t="s">
        <v>376</v>
      </c>
      <c r="K105" s="152"/>
      <c r="L105" s="152"/>
      <c r="M105" s="153"/>
    </row>
    <row r="106" spans="10:13" x14ac:dyDescent="0.25">
      <c r="J106" s="151" t="s">
        <v>376</v>
      </c>
      <c r="K106" s="152" t="s">
        <v>229</v>
      </c>
      <c r="L106" s="152" t="s">
        <v>377</v>
      </c>
      <c r="M106" s="153">
        <v>0</v>
      </c>
    </row>
    <row r="107" spans="10:13" x14ac:dyDescent="0.25">
      <c r="J107" s="151" t="s">
        <v>378</v>
      </c>
      <c r="K107" s="152" t="s">
        <v>229</v>
      </c>
      <c r="L107" s="152" t="s">
        <v>797</v>
      </c>
      <c r="M107" s="153">
        <v>5.4</v>
      </c>
    </row>
    <row r="108" spans="10:13" x14ac:dyDescent="0.25">
      <c r="J108" s="151" t="s">
        <v>379</v>
      </c>
      <c r="K108" s="152" t="s">
        <v>229</v>
      </c>
      <c r="L108" s="152" t="s">
        <v>798</v>
      </c>
      <c r="M108" s="153" t="s">
        <v>380</v>
      </c>
    </row>
    <row r="109" spans="10:13" x14ac:dyDescent="0.25">
      <c r="J109" s="151" t="s">
        <v>381</v>
      </c>
      <c r="K109" s="152" t="s">
        <v>229</v>
      </c>
      <c r="L109" s="152" t="s">
        <v>799</v>
      </c>
      <c r="M109" s="153" t="s">
        <v>382</v>
      </c>
    </row>
    <row r="110" spans="10:13" x14ac:dyDescent="0.25">
      <c r="J110" s="151" t="s">
        <v>800</v>
      </c>
      <c r="K110" s="152" t="s">
        <v>229</v>
      </c>
      <c r="L110" s="152" t="s">
        <v>383</v>
      </c>
      <c r="M110" s="153" t="s">
        <v>384</v>
      </c>
    </row>
    <row r="111" spans="10:13" x14ac:dyDescent="0.25">
      <c r="J111" s="151" t="s">
        <v>801</v>
      </c>
      <c r="K111" s="152" t="s">
        <v>229</v>
      </c>
      <c r="L111" s="152" t="s">
        <v>802</v>
      </c>
      <c r="M111" s="153" t="s">
        <v>385</v>
      </c>
    </row>
    <row r="112" spans="10:13" x14ac:dyDescent="0.25">
      <c r="J112" s="151" t="s">
        <v>803</v>
      </c>
      <c r="K112" s="152" t="s">
        <v>229</v>
      </c>
      <c r="L112" s="152" t="s">
        <v>804</v>
      </c>
      <c r="M112" s="153" t="s">
        <v>386</v>
      </c>
    </row>
    <row r="113" spans="10:13" x14ac:dyDescent="0.25">
      <c r="J113" s="151" t="s">
        <v>387</v>
      </c>
      <c r="K113" s="152" t="s">
        <v>229</v>
      </c>
      <c r="L113" s="152" t="s">
        <v>805</v>
      </c>
      <c r="M113" s="153" t="s">
        <v>388</v>
      </c>
    </row>
    <row r="114" spans="10:13" x14ac:dyDescent="0.25">
      <c r="J114" s="151" t="s">
        <v>389</v>
      </c>
      <c r="K114" s="152" t="s">
        <v>229</v>
      </c>
      <c r="L114" s="152" t="s">
        <v>806</v>
      </c>
      <c r="M114" s="153" t="s">
        <v>390</v>
      </c>
    </row>
    <row r="115" spans="10:13" x14ac:dyDescent="0.25">
      <c r="J115" s="151" t="s">
        <v>391</v>
      </c>
      <c r="K115" s="152" t="s">
        <v>229</v>
      </c>
      <c r="L115" s="152" t="s">
        <v>392</v>
      </c>
      <c r="M115" s="153" t="s">
        <v>393</v>
      </c>
    </row>
    <row r="116" spans="10:13" x14ac:dyDescent="0.25">
      <c r="J116" s="151" t="s">
        <v>394</v>
      </c>
      <c r="K116" s="152" t="s">
        <v>229</v>
      </c>
      <c r="L116" s="152" t="s">
        <v>807</v>
      </c>
      <c r="M116" s="153" t="s">
        <v>395</v>
      </c>
    </row>
    <row r="117" spans="10:13" x14ac:dyDescent="0.25">
      <c r="J117" s="151" t="s">
        <v>396</v>
      </c>
      <c r="K117" s="152"/>
      <c r="L117" s="152"/>
      <c r="M117" s="153"/>
    </row>
    <row r="118" spans="10:13" x14ac:dyDescent="0.25">
      <c r="J118" s="151" t="s">
        <v>396</v>
      </c>
      <c r="K118" s="152" t="s">
        <v>229</v>
      </c>
      <c r="L118" s="152" t="s">
        <v>397</v>
      </c>
      <c r="M118" s="153">
        <v>0</v>
      </c>
    </row>
    <row r="119" spans="10:13" x14ac:dyDescent="0.25">
      <c r="J119" s="151" t="s">
        <v>398</v>
      </c>
      <c r="K119" s="152" t="s">
        <v>229</v>
      </c>
      <c r="L119" s="152" t="s">
        <v>808</v>
      </c>
      <c r="M119" s="153" t="s">
        <v>399</v>
      </c>
    </row>
    <row r="120" spans="10:13" x14ac:dyDescent="0.25">
      <c r="J120" s="151" t="s">
        <v>400</v>
      </c>
      <c r="K120" s="152" t="s">
        <v>229</v>
      </c>
      <c r="L120" s="152" t="s">
        <v>401</v>
      </c>
      <c r="M120" s="153" t="s">
        <v>402</v>
      </c>
    </row>
    <row r="121" spans="10:13" x14ac:dyDescent="0.25">
      <c r="J121" s="151" t="s">
        <v>403</v>
      </c>
      <c r="K121" s="152" t="s">
        <v>229</v>
      </c>
      <c r="L121" s="152" t="s">
        <v>809</v>
      </c>
      <c r="M121" s="153" t="s">
        <v>404</v>
      </c>
    </row>
    <row r="122" spans="10:13" x14ac:dyDescent="0.25">
      <c r="J122" s="151" t="s">
        <v>405</v>
      </c>
      <c r="K122" s="152" t="s">
        <v>229</v>
      </c>
      <c r="L122" s="152" t="s">
        <v>810</v>
      </c>
      <c r="M122" s="153" t="s">
        <v>406</v>
      </c>
    </row>
    <row r="123" spans="10:13" x14ac:dyDescent="0.25">
      <c r="J123" s="151" t="s">
        <v>407</v>
      </c>
      <c r="K123" s="152" t="s">
        <v>229</v>
      </c>
      <c r="L123" s="152" t="s">
        <v>809</v>
      </c>
      <c r="M123" s="153" t="s">
        <v>404</v>
      </c>
    </row>
    <row r="124" spans="10:13" x14ac:dyDescent="0.25">
      <c r="J124" s="151" t="s">
        <v>408</v>
      </c>
      <c r="K124" s="152"/>
      <c r="L124" s="152"/>
      <c r="M124" s="153"/>
    </row>
    <row r="125" spans="10:13" x14ac:dyDescent="0.25">
      <c r="J125" s="151" t="s">
        <v>409</v>
      </c>
      <c r="K125" s="152" t="s">
        <v>229</v>
      </c>
      <c r="L125" s="152" t="s">
        <v>410</v>
      </c>
      <c r="M125" s="153" t="s">
        <v>411</v>
      </c>
    </row>
    <row r="126" spans="10:13" x14ac:dyDescent="0.25">
      <c r="J126" s="151" t="s">
        <v>412</v>
      </c>
      <c r="K126" s="152"/>
      <c r="L126" s="152"/>
      <c r="M126" s="153"/>
    </row>
    <row r="127" spans="10:13" x14ac:dyDescent="0.25">
      <c r="J127" s="151" t="s">
        <v>412</v>
      </c>
      <c r="K127" s="152" t="s">
        <v>229</v>
      </c>
      <c r="L127" s="152" t="s">
        <v>413</v>
      </c>
      <c r="M127" s="153">
        <v>0</v>
      </c>
    </row>
    <row r="128" spans="10:13" x14ac:dyDescent="0.25">
      <c r="J128" s="151" t="s">
        <v>414</v>
      </c>
      <c r="K128" s="152" t="s">
        <v>264</v>
      </c>
      <c r="L128" s="152" t="s">
        <v>811</v>
      </c>
      <c r="M128" s="153" t="s">
        <v>415</v>
      </c>
    </row>
    <row r="129" spans="10:13" x14ac:dyDescent="0.25">
      <c r="J129" s="151" t="s">
        <v>416</v>
      </c>
      <c r="K129" s="152" t="s">
        <v>229</v>
      </c>
      <c r="L129" s="152" t="s">
        <v>812</v>
      </c>
      <c r="M129" s="153" t="s">
        <v>417</v>
      </c>
    </row>
    <row r="130" spans="10:13" x14ac:dyDescent="0.25">
      <c r="J130" s="151" t="s">
        <v>418</v>
      </c>
      <c r="K130" s="152" t="s">
        <v>229</v>
      </c>
      <c r="L130" s="152" t="s">
        <v>813</v>
      </c>
      <c r="M130" s="153" t="s">
        <v>419</v>
      </c>
    </row>
    <row r="131" spans="10:13" x14ac:dyDescent="0.25">
      <c r="J131" s="151" t="s">
        <v>420</v>
      </c>
      <c r="K131" s="152" t="s">
        <v>229</v>
      </c>
      <c r="L131" s="152" t="s">
        <v>814</v>
      </c>
      <c r="M131" s="153" t="s">
        <v>421</v>
      </c>
    </row>
    <row r="132" spans="10:13" x14ac:dyDescent="0.25">
      <c r="J132" s="151" t="s">
        <v>420</v>
      </c>
      <c r="K132" s="152" t="s">
        <v>264</v>
      </c>
      <c r="L132" s="152" t="s">
        <v>814</v>
      </c>
      <c r="M132" s="153" t="s">
        <v>422</v>
      </c>
    </row>
    <row r="133" spans="10:13" x14ac:dyDescent="0.25">
      <c r="J133" s="151" t="s">
        <v>423</v>
      </c>
      <c r="K133" s="152" t="s">
        <v>229</v>
      </c>
      <c r="L133" s="152" t="s">
        <v>424</v>
      </c>
      <c r="M133" s="153" t="s">
        <v>425</v>
      </c>
    </row>
    <row r="134" spans="10:13" x14ac:dyDescent="0.25">
      <c r="J134" s="151" t="s">
        <v>426</v>
      </c>
      <c r="K134" s="152" t="s">
        <v>229</v>
      </c>
      <c r="L134" s="152" t="s">
        <v>815</v>
      </c>
      <c r="M134" s="153" t="s">
        <v>427</v>
      </c>
    </row>
    <row r="135" spans="10:13" x14ac:dyDescent="0.25">
      <c r="J135" s="151" t="s">
        <v>428</v>
      </c>
      <c r="K135" s="152"/>
      <c r="L135" s="152"/>
      <c r="M135" s="153"/>
    </row>
    <row r="136" spans="10:13" x14ac:dyDescent="0.25">
      <c r="J136" s="151" t="s">
        <v>428</v>
      </c>
      <c r="K136" s="152" t="s">
        <v>229</v>
      </c>
      <c r="L136" s="152" t="s">
        <v>429</v>
      </c>
      <c r="M136" s="153">
        <v>0</v>
      </c>
    </row>
    <row r="137" spans="10:13" x14ac:dyDescent="0.25">
      <c r="J137" s="151" t="s">
        <v>430</v>
      </c>
      <c r="K137" s="152" t="s">
        <v>229</v>
      </c>
      <c r="L137" s="152" t="s">
        <v>431</v>
      </c>
      <c r="M137" s="153" t="s">
        <v>432</v>
      </c>
    </row>
    <row r="138" spans="10:13" x14ac:dyDescent="0.25">
      <c r="J138" s="151" t="s">
        <v>433</v>
      </c>
      <c r="K138" s="152" t="s">
        <v>229</v>
      </c>
      <c r="L138" s="152" t="s">
        <v>816</v>
      </c>
      <c r="M138" s="153" t="s">
        <v>434</v>
      </c>
    </row>
    <row r="139" spans="10:13" x14ac:dyDescent="0.25">
      <c r="J139" s="151" t="s">
        <v>435</v>
      </c>
      <c r="K139" s="152" t="s">
        <v>229</v>
      </c>
      <c r="L139" s="152" t="s">
        <v>817</v>
      </c>
      <c r="M139" s="153" t="s">
        <v>436</v>
      </c>
    </row>
    <row r="140" spans="10:13" x14ac:dyDescent="0.25">
      <c r="J140" s="151" t="s">
        <v>437</v>
      </c>
      <c r="K140" s="152" t="s">
        <v>229</v>
      </c>
      <c r="L140" s="152" t="s">
        <v>818</v>
      </c>
      <c r="M140" s="153" t="s">
        <v>438</v>
      </c>
    </row>
    <row r="141" spans="10:13" x14ac:dyDescent="0.25">
      <c r="J141" s="151" t="s">
        <v>439</v>
      </c>
      <c r="K141" s="152" t="s">
        <v>264</v>
      </c>
      <c r="L141" s="152" t="s">
        <v>819</v>
      </c>
      <c r="M141" s="153" t="s">
        <v>440</v>
      </c>
    </row>
    <row r="142" spans="10:13" x14ac:dyDescent="0.25">
      <c r="J142" s="151"/>
      <c r="K142" s="152"/>
      <c r="L142" s="152">
        <v>4</v>
      </c>
      <c r="M142" s="153"/>
    </row>
    <row r="143" spans="10:13" x14ac:dyDescent="0.25">
      <c r="J143" s="151" t="s">
        <v>441</v>
      </c>
      <c r="K143" s="152"/>
      <c r="L143" s="152"/>
      <c r="M143" s="153"/>
    </row>
    <row r="144" spans="10:13" x14ac:dyDescent="0.25">
      <c r="J144" s="151" t="s">
        <v>442</v>
      </c>
      <c r="K144" s="152" t="s">
        <v>229</v>
      </c>
      <c r="L144" s="152" t="s">
        <v>443</v>
      </c>
      <c r="M144" s="153" t="s">
        <v>444</v>
      </c>
    </row>
    <row r="145" spans="10:13" x14ac:dyDescent="0.25">
      <c r="J145" s="151" t="s">
        <v>820</v>
      </c>
      <c r="K145" s="152" t="s">
        <v>229</v>
      </c>
      <c r="L145" s="152" t="s">
        <v>445</v>
      </c>
      <c r="M145" s="153" t="s">
        <v>446</v>
      </c>
    </row>
    <row r="146" spans="10:13" x14ac:dyDescent="0.25">
      <c r="J146" s="151" t="s">
        <v>447</v>
      </c>
      <c r="K146" s="152"/>
      <c r="L146" s="152"/>
      <c r="M146" s="153"/>
    </row>
    <row r="147" spans="10:13" x14ac:dyDescent="0.25">
      <c r="J147" s="151" t="s">
        <v>447</v>
      </c>
      <c r="K147" s="152" t="s">
        <v>266</v>
      </c>
      <c r="L147" s="152" t="s">
        <v>821</v>
      </c>
      <c r="M147" s="153">
        <v>0</v>
      </c>
    </row>
    <row r="148" spans="10:13" x14ac:dyDescent="0.25">
      <c r="J148" s="151" t="s">
        <v>448</v>
      </c>
      <c r="K148" s="152" t="s">
        <v>264</v>
      </c>
      <c r="L148" s="152" t="s">
        <v>822</v>
      </c>
      <c r="M148" s="153" t="s">
        <v>449</v>
      </c>
    </row>
    <row r="149" spans="10:13" x14ac:dyDescent="0.25">
      <c r="J149" s="151" t="s">
        <v>450</v>
      </c>
      <c r="K149" s="152" t="s">
        <v>266</v>
      </c>
      <c r="L149" s="152" t="s">
        <v>823</v>
      </c>
      <c r="M149" s="153" t="s">
        <v>451</v>
      </c>
    </row>
    <row r="150" spans="10:13" x14ac:dyDescent="0.25">
      <c r="J150" s="151" t="s">
        <v>452</v>
      </c>
      <c r="K150" s="152" t="s">
        <v>229</v>
      </c>
      <c r="L150" s="152" t="s">
        <v>824</v>
      </c>
      <c r="M150" s="153" t="s">
        <v>453</v>
      </c>
    </row>
    <row r="151" spans="10:13" x14ac:dyDescent="0.25">
      <c r="J151" s="151" t="s">
        <v>454</v>
      </c>
      <c r="K151" s="152" t="s">
        <v>229</v>
      </c>
      <c r="L151" s="152" t="s">
        <v>825</v>
      </c>
      <c r="M151" s="153" t="s">
        <v>455</v>
      </c>
    </row>
    <row r="152" spans="10:13" x14ac:dyDescent="0.25">
      <c r="J152" s="151" t="s">
        <v>456</v>
      </c>
      <c r="K152" s="152" t="s">
        <v>266</v>
      </c>
      <c r="L152" s="152" t="s">
        <v>826</v>
      </c>
      <c r="M152" s="153">
        <v>33.200000000000003</v>
      </c>
    </row>
    <row r="153" spans="10:13" x14ac:dyDescent="0.25">
      <c r="J153" s="151" t="s">
        <v>457</v>
      </c>
      <c r="K153" s="152" t="s">
        <v>266</v>
      </c>
      <c r="L153" s="152" t="s">
        <v>827</v>
      </c>
      <c r="M153" s="153">
        <v>95.4</v>
      </c>
    </row>
    <row r="154" spans="10:13" x14ac:dyDescent="0.25">
      <c r="J154" s="151" t="s">
        <v>457</v>
      </c>
      <c r="K154" s="152" t="s">
        <v>262</v>
      </c>
      <c r="L154" s="152" t="s">
        <v>827</v>
      </c>
      <c r="M154" s="153">
        <v>50.6</v>
      </c>
    </row>
    <row r="155" spans="10:13" x14ac:dyDescent="0.25">
      <c r="J155" s="151" t="s">
        <v>458</v>
      </c>
      <c r="K155" s="152" t="s">
        <v>266</v>
      </c>
      <c r="L155" s="152" t="s">
        <v>828</v>
      </c>
      <c r="M155" s="153">
        <v>82.05</v>
      </c>
    </row>
    <row r="156" spans="10:13" x14ac:dyDescent="0.25">
      <c r="J156" s="151" t="s">
        <v>459</v>
      </c>
      <c r="K156" s="152" t="s">
        <v>266</v>
      </c>
      <c r="L156" s="152" t="s">
        <v>460</v>
      </c>
      <c r="M156" s="153">
        <v>90.29</v>
      </c>
    </row>
    <row r="157" spans="10:13" x14ac:dyDescent="0.25">
      <c r="J157" s="151" t="s">
        <v>461</v>
      </c>
      <c r="K157" s="152" t="s">
        <v>266</v>
      </c>
      <c r="L157" s="152" t="s">
        <v>829</v>
      </c>
      <c r="M157" s="153">
        <v>9.16</v>
      </c>
    </row>
    <row r="158" spans="10:13" x14ac:dyDescent="0.25">
      <c r="J158" s="151" t="s">
        <v>462</v>
      </c>
      <c r="K158" s="152" t="s">
        <v>229</v>
      </c>
      <c r="L158" s="152" t="s">
        <v>830</v>
      </c>
      <c r="M158" s="153" t="s">
        <v>463</v>
      </c>
    </row>
    <row r="159" spans="10:13" x14ac:dyDescent="0.25">
      <c r="J159" s="151" t="s">
        <v>462</v>
      </c>
      <c r="K159" s="152" t="s">
        <v>266</v>
      </c>
      <c r="L159" s="152" t="s">
        <v>830</v>
      </c>
      <c r="M159" s="153">
        <v>11.3</v>
      </c>
    </row>
    <row r="160" spans="10:13" x14ac:dyDescent="0.25">
      <c r="J160" s="151" t="s">
        <v>464</v>
      </c>
      <c r="K160" s="152" t="s">
        <v>264</v>
      </c>
      <c r="L160" s="152" t="s">
        <v>831</v>
      </c>
      <c r="M160" s="153" t="s">
        <v>465</v>
      </c>
    </row>
    <row r="161" spans="10:13" x14ac:dyDescent="0.25">
      <c r="J161" s="151" t="s">
        <v>466</v>
      </c>
      <c r="K161" s="152"/>
      <c r="L161" s="152"/>
      <c r="M161" s="153"/>
    </row>
    <row r="162" spans="10:13" x14ac:dyDescent="0.25">
      <c r="J162" s="151" t="s">
        <v>467</v>
      </c>
      <c r="K162" s="152" t="s">
        <v>266</v>
      </c>
      <c r="L162" s="152" t="s">
        <v>468</v>
      </c>
      <c r="M162" s="153">
        <v>249</v>
      </c>
    </row>
    <row r="163" spans="10:13" x14ac:dyDescent="0.25">
      <c r="J163" s="151" t="s">
        <v>466</v>
      </c>
      <c r="K163" s="152" t="s">
        <v>266</v>
      </c>
      <c r="L163" s="152" t="s">
        <v>832</v>
      </c>
      <c r="M163" s="153">
        <v>0</v>
      </c>
    </row>
    <row r="164" spans="10:13" x14ac:dyDescent="0.25">
      <c r="J164" s="151" t="s">
        <v>469</v>
      </c>
      <c r="K164" s="152" t="s">
        <v>266</v>
      </c>
      <c r="L164" s="152" t="s">
        <v>833</v>
      </c>
      <c r="M164" s="153">
        <v>143</v>
      </c>
    </row>
    <row r="165" spans="10:13" x14ac:dyDescent="0.25">
      <c r="J165" s="151" t="s">
        <v>470</v>
      </c>
      <c r="K165" s="152"/>
      <c r="L165" s="152"/>
      <c r="M165" s="153"/>
    </row>
    <row r="166" spans="10:13" x14ac:dyDescent="0.25">
      <c r="J166" s="151" t="s">
        <v>471</v>
      </c>
      <c r="K166" s="152" t="s">
        <v>229</v>
      </c>
      <c r="L166" s="152" t="s">
        <v>834</v>
      </c>
      <c r="M166" s="153">
        <v>0</v>
      </c>
    </row>
    <row r="167" spans="10:13" x14ac:dyDescent="0.25">
      <c r="J167" s="151" t="s">
        <v>472</v>
      </c>
      <c r="K167" s="152" t="s">
        <v>229</v>
      </c>
      <c r="L167" s="152" t="s">
        <v>473</v>
      </c>
      <c r="M167" s="153" t="s">
        <v>474</v>
      </c>
    </row>
    <row r="168" spans="10:13" x14ac:dyDescent="0.25">
      <c r="J168" s="151" t="s">
        <v>475</v>
      </c>
      <c r="K168" s="152" t="s">
        <v>229</v>
      </c>
      <c r="L168" s="152" t="s">
        <v>473</v>
      </c>
      <c r="M168" s="153" t="s">
        <v>476</v>
      </c>
    </row>
    <row r="169" spans="10:13" x14ac:dyDescent="0.25">
      <c r="J169" s="151" t="s">
        <v>477</v>
      </c>
      <c r="K169" s="152" t="s">
        <v>262</v>
      </c>
      <c r="L169" s="152" t="s">
        <v>835</v>
      </c>
      <c r="M169" s="153" t="s">
        <v>478</v>
      </c>
    </row>
    <row r="170" spans="10:13" x14ac:dyDescent="0.25">
      <c r="J170" s="151" t="s">
        <v>477</v>
      </c>
      <c r="K170" s="152" t="s">
        <v>266</v>
      </c>
      <c r="L170" s="152" t="s">
        <v>835</v>
      </c>
      <c r="M170" s="153" t="s">
        <v>479</v>
      </c>
    </row>
    <row r="171" spans="10:13" x14ac:dyDescent="0.25">
      <c r="J171" s="151" t="s">
        <v>480</v>
      </c>
      <c r="K171" s="152" t="s">
        <v>229</v>
      </c>
      <c r="L171" s="152" t="s">
        <v>836</v>
      </c>
      <c r="M171" s="153" t="s">
        <v>481</v>
      </c>
    </row>
    <row r="172" spans="10:13" x14ac:dyDescent="0.25">
      <c r="J172" s="151" t="s">
        <v>480</v>
      </c>
      <c r="K172" s="152" t="s">
        <v>266</v>
      </c>
      <c r="L172" s="152" t="s">
        <v>836</v>
      </c>
      <c r="M172" s="153" t="s">
        <v>482</v>
      </c>
    </row>
    <row r="173" spans="10:13" x14ac:dyDescent="0.25">
      <c r="J173" s="151" t="s">
        <v>483</v>
      </c>
      <c r="K173" s="152" t="s">
        <v>229</v>
      </c>
      <c r="L173" s="152" t="s">
        <v>837</v>
      </c>
      <c r="M173" s="153" t="s">
        <v>484</v>
      </c>
    </row>
    <row r="174" spans="10:13" x14ac:dyDescent="0.25">
      <c r="J174" s="151" t="s">
        <v>485</v>
      </c>
      <c r="K174" s="152"/>
      <c r="L174" s="152"/>
      <c r="M174" s="153"/>
    </row>
    <row r="175" spans="10:13" x14ac:dyDescent="0.25">
      <c r="J175" s="151" t="s">
        <v>486</v>
      </c>
      <c r="K175" s="152" t="s">
        <v>229</v>
      </c>
      <c r="L175" s="152" t="s">
        <v>487</v>
      </c>
      <c r="M175" s="153" t="s">
        <v>488</v>
      </c>
    </row>
    <row r="176" spans="10:13" x14ac:dyDescent="0.25">
      <c r="J176" s="151" t="s">
        <v>489</v>
      </c>
      <c r="K176" s="152" t="s">
        <v>229</v>
      </c>
      <c r="L176" s="152" t="s">
        <v>838</v>
      </c>
      <c r="M176" s="153" t="s">
        <v>490</v>
      </c>
    </row>
    <row r="177" spans="10:13" x14ac:dyDescent="0.25">
      <c r="J177" s="151" t="s">
        <v>491</v>
      </c>
      <c r="K177" s="152" t="s">
        <v>229</v>
      </c>
      <c r="L177" s="152" t="s">
        <v>839</v>
      </c>
      <c r="M177" s="153" t="s">
        <v>492</v>
      </c>
    </row>
    <row r="178" spans="10:13" x14ac:dyDescent="0.25">
      <c r="J178" s="151" t="s">
        <v>493</v>
      </c>
      <c r="K178" s="152" t="s">
        <v>229</v>
      </c>
      <c r="L178" s="152" t="s">
        <v>494</v>
      </c>
      <c r="M178" s="153" t="s">
        <v>495</v>
      </c>
    </row>
    <row r="179" spans="10:13" x14ac:dyDescent="0.25">
      <c r="J179" s="151" t="s">
        <v>496</v>
      </c>
      <c r="K179" s="152" t="s">
        <v>229</v>
      </c>
      <c r="L179" s="152" t="s">
        <v>497</v>
      </c>
      <c r="M179" s="153" t="s">
        <v>498</v>
      </c>
    </row>
    <row r="180" spans="10:13" x14ac:dyDescent="0.25">
      <c r="J180" s="151" t="s">
        <v>499</v>
      </c>
      <c r="K180" s="152" t="s">
        <v>229</v>
      </c>
      <c r="L180" s="152" t="s">
        <v>840</v>
      </c>
      <c r="M180" s="153" t="s">
        <v>500</v>
      </c>
    </row>
    <row r="181" spans="10:13" x14ac:dyDescent="0.25">
      <c r="J181" s="151" t="s">
        <v>501</v>
      </c>
      <c r="K181" s="152" t="s">
        <v>229</v>
      </c>
      <c r="L181" s="152" t="s">
        <v>841</v>
      </c>
      <c r="M181" s="153" t="s">
        <v>502</v>
      </c>
    </row>
    <row r="182" spans="10:13" x14ac:dyDescent="0.25">
      <c r="J182" s="151" t="s">
        <v>503</v>
      </c>
      <c r="K182" s="152" t="s">
        <v>229</v>
      </c>
      <c r="L182" s="152" t="s">
        <v>842</v>
      </c>
      <c r="M182" s="153" t="s">
        <v>504</v>
      </c>
    </row>
    <row r="183" spans="10:13" x14ac:dyDescent="0.25">
      <c r="J183" s="151" t="s">
        <v>505</v>
      </c>
      <c r="K183" s="152"/>
      <c r="L183" s="152"/>
      <c r="M183" s="153"/>
    </row>
    <row r="184" spans="10:13" x14ac:dyDescent="0.25">
      <c r="J184" s="151" t="s">
        <v>505</v>
      </c>
      <c r="K184" s="152" t="s">
        <v>266</v>
      </c>
      <c r="L184" s="152" t="s">
        <v>506</v>
      </c>
      <c r="M184" s="153">
        <v>368.2</v>
      </c>
    </row>
    <row r="185" spans="10:13" x14ac:dyDescent="0.25">
      <c r="J185" s="151" t="s">
        <v>507</v>
      </c>
      <c r="K185" s="152" t="s">
        <v>229</v>
      </c>
      <c r="L185" s="152" t="s">
        <v>508</v>
      </c>
      <c r="M185" s="153" t="s">
        <v>843</v>
      </c>
    </row>
    <row r="186" spans="10:13" x14ac:dyDescent="0.25">
      <c r="J186" s="151" t="s">
        <v>509</v>
      </c>
      <c r="K186" s="152" t="s">
        <v>262</v>
      </c>
      <c r="L186" s="152" t="s">
        <v>844</v>
      </c>
      <c r="M186" s="153" t="s">
        <v>510</v>
      </c>
    </row>
    <row r="187" spans="10:13" x14ac:dyDescent="0.25">
      <c r="J187" s="151" t="s">
        <v>845</v>
      </c>
      <c r="K187" s="152" t="s">
        <v>229</v>
      </c>
      <c r="L187" s="152" t="s">
        <v>846</v>
      </c>
      <c r="M187" s="153" t="s">
        <v>511</v>
      </c>
    </row>
    <row r="188" spans="10:13" x14ac:dyDescent="0.25">
      <c r="J188" s="151" t="s">
        <v>512</v>
      </c>
      <c r="K188" s="152"/>
      <c r="L188" s="152"/>
      <c r="M188" s="153"/>
    </row>
    <row r="189" spans="10:13" x14ac:dyDescent="0.25">
      <c r="J189" s="151" t="s">
        <v>513</v>
      </c>
      <c r="K189" s="152" t="s">
        <v>229</v>
      </c>
      <c r="L189" s="152" t="s">
        <v>514</v>
      </c>
      <c r="M189" s="153" t="s">
        <v>515</v>
      </c>
    </row>
    <row r="190" spans="10:13" x14ac:dyDescent="0.25">
      <c r="J190" s="151" t="s">
        <v>516</v>
      </c>
      <c r="K190" s="152" t="s">
        <v>229</v>
      </c>
      <c r="L190" s="152" t="s">
        <v>517</v>
      </c>
      <c r="M190" s="153" t="s">
        <v>518</v>
      </c>
    </row>
    <row r="191" spans="10:13" x14ac:dyDescent="0.25">
      <c r="J191" s="151" t="s">
        <v>519</v>
      </c>
      <c r="K191" s="152" t="s">
        <v>229</v>
      </c>
      <c r="L191" s="152" t="s">
        <v>520</v>
      </c>
      <c r="M191" s="153" t="s">
        <v>521</v>
      </c>
    </row>
    <row r="192" spans="10:13" x14ac:dyDescent="0.25">
      <c r="J192" s="151" t="s">
        <v>522</v>
      </c>
      <c r="K192" s="152" t="s">
        <v>229</v>
      </c>
      <c r="L192" s="152" t="s">
        <v>847</v>
      </c>
      <c r="M192" s="153" t="s">
        <v>523</v>
      </c>
    </row>
    <row r="193" spans="10:13" x14ac:dyDescent="0.25">
      <c r="J193" s="151" t="s">
        <v>524</v>
      </c>
      <c r="K193" s="152" t="s">
        <v>229</v>
      </c>
      <c r="L193" s="152" t="s">
        <v>848</v>
      </c>
      <c r="M193" s="153" t="s">
        <v>525</v>
      </c>
    </row>
    <row r="194" spans="10:13" x14ac:dyDescent="0.25">
      <c r="J194" s="151" t="s">
        <v>526</v>
      </c>
      <c r="K194" s="152"/>
      <c r="L194" s="152"/>
      <c r="M194" s="153"/>
    </row>
    <row r="195" spans="10:13" x14ac:dyDescent="0.25">
      <c r="J195" s="151" t="s">
        <v>526</v>
      </c>
      <c r="K195" s="152" t="s">
        <v>229</v>
      </c>
      <c r="L195" s="152" t="s">
        <v>527</v>
      </c>
      <c r="M195" s="153">
        <v>0</v>
      </c>
    </row>
    <row r="196" spans="10:13" x14ac:dyDescent="0.25">
      <c r="J196" s="151" t="s">
        <v>526</v>
      </c>
      <c r="K196" s="152" t="s">
        <v>266</v>
      </c>
      <c r="L196" s="152" t="s">
        <v>527</v>
      </c>
      <c r="M196" s="153">
        <v>107.5</v>
      </c>
    </row>
    <row r="197" spans="10:13" x14ac:dyDescent="0.25">
      <c r="J197" s="151" t="s">
        <v>528</v>
      </c>
      <c r="K197" s="152" t="s">
        <v>229</v>
      </c>
      <c r="L197" s="152" t="s">
        <v>849</v>
      </c>
      <c r="M197" s="153" t="s">
        <v>529</v>
      </c>
    </row>
    <row r="198" spans="10:13" x14ac:dyDescent="0.25">
      <c r="J198" s="151" t="s">
        <v>530</v>
      </c>
      <c r="K198" s="152" t="s">
        <v>229</v>
      </c>
      <c r="L198" s="152" t="s">
        <v>850</v>
      </c>
      <c r="M198" s="153" t="s">
        <v>531</v>
      </c>
    </row>
    <row r="199" spans="10:13" x14ac:dyDescent="0.25">
      <c r="J199" s="151" t="s">
        <v>532</v>
      </c>
      <c r="K199" s="152" t="s">
        <v>264</v>
      </c>
      <c r="L199" s="152" t="s">
        <v>533</v>
      </c>
      <c r="M199" s="153" t="s">
        <v>534</v>
      </c>
    </row>
    <row r="200" spans="10:13" x14ac:dyDescent="0.25">
      <c r="J200" s="151" t="s">
        <v>532</v>
      </c>
      <c r="K200" s="152" t="s">
        <v>229</v>
      </c>
      <c r="L200" s="152" t="s">
        <v>533</v>
      </c>
      <c r="M200" s="153" t="s">
        <v>535</v>
      </c>
    </row>
    <row r="201" spans="10:13" x14ac:dyDescent="0.25">
      <c r="J201" s="151" t="s">
        <v>532</v>
      </c>
      <c r="K201" s="152" t="s">
        <v>262</v>
      </c>
      <c r="L201" s="152" t="s">
        <v>533</v>
      </c>
      <c r="M201" s="153" t="s">
        <v>536</v>
      </c>
    </row>
    <row r="202" spans="10:13" x14ac:dyDescent="0.25">
      <c r="J202" s="151" t="s">
        <v>532</v>
      </c>
      <c r="K202" s="152" t="s">
        <v>266</v>
      </c>
      <c r="L202" s="152" t="s">
        <v>533</v>
      </c>
      <c r="M202" s="153" t="s">
        <v>537</v>
      </c>
    </row>
    <row r="203" spans="10:13" x14ac:dyDescent="0.25">
      <c r="J203" s="151" t="s">
        <v>538</v>
      </c>
      <c r="K203" s="152" t="s">
        <v>229</v>
      </c>
      <c r="L203" s="152" t="s">
        <v>851</v>
      </c>
      <c r="M203" s="153" t="s">
        <v>539</v>
      </c>
    </row>
    <row r="204" spans="10:13" x14ac:dyDescent="0.25">
      <c r="J204" s="151" t="s">
        <v>540</v>
      </c>
      <c r="K204" s="152" t="s">
        <v>229</v>
      </c>
      <c r="L204" s="152" t="s">
        <v>541</v>
      </c>
      <c r="M204" s="153" t="s">
        <v>542</v>
      </c>
    </row>
    <row r="205" spans="10:13" x14ac:dyDescent="0.25">
      <c r="J205" s="151" t="s">
        <v>543</v>
      </c>
      <c r="K205" s="152" t="s">
        <v>264</v>
      </c>
      <c r="L205" s="152" t="s">
        <v>544</v>
      </c>
      <c r="M205" s="153" t="s">
        <v>545</v>
      </c>
    </row>
    <row r="206" spans="10:13" x14ac:dyDescent="0.25">
      <c r="J206" s="151" t="s">
        <v>543</v>
      </c>
      <c r="K206" s="152" t="s">
        <v>229</v>
      </c>
      <c r="L206" s="152" t="s">
        <v>544</v>
      </c>
      <c r="M206" s="153" t="s">
        <v>546</v>
      </c>
    </row>
    <row r="207" spans="10:13" x14ac:dyDescent="0.25">
      <c r="J207" s="151" t="s">
        <v>547</v>
      </c>
      <c r="K207" s="152" t="s">
        <v>229</v>
      </c>
      <c r="L207" s="152" t="s">
        <v>548</v>
      </c>
      <c r="M207" s="153" t="s">
        <v>549</v>
      </c>
    </row>
    <row r="208" spans="10:13" x14ac:dyDescent="0.25">
      <c r="J208" s="151" t="s">
        <v>550</v>
      </c>
      <c r="K208" s="152" t="s">
        <v>264</v>
      </c>
      <c r="L208" s="152" t="s">
        <v>852</v>
      </c>
      <c r="M208" s="153" t="s">
        <v>551</v>
      </c>
    </row>
    <row r="209" spans="10:13" x14ac:dyDescent="0.25">
      <c r="J209" s="151" t="s">
        <v>550</v>
      </c>
      <c r="K209" s="152" t="s">
        <v>229</v>
      </c>
      <c r="L209" s="152" t="s">
        <v>852</v>
      </c>
      <c r="M209" s="153" t="s">
        <v>552</v>
      </c>
    </row>
    <row r="210" spans="10:13" x14ac:dyDescent="0.25">
      <c r="J210" s="151" t="s">
        <v>553</v>
      </c>
      <c r="K210" s="152" t="s">
        <v>229</v>
      </c>
      <c r="L210" s="152" t="s">
        <v>853</v>
      </c>
      <c r="M210" s="153" t="s">
        <v>554</v>
      </c>
    </row>
    <row r="211" spans="10:13" x14ac:dyDescent="0.25">
      <c r="J211" s="151" t="s">
        <v>555</v>
      </c>
      <c r="K211" s="152"/>
      <c r="L211" s="152"/>
      <c r="M211" s="153"/>
    </row>
    <row r="212" spans="10:13" x14ac:dyDescent="0.25">
      <c r="J212" s="151" t="s">
        <v>556</v>
      </c>
      <c r="K212" s="152" t="s">
        <v>229</v>
      </c>
      <c r="L212" s="152" t="s">
        <v>854</v>
      </c>
      <c r="M212" s="153">
        <v>0.3</v>
      </c>
    </row>
    <row r="213" spans="10:13" x14ac:dyDescent="0.25">
      <c r="J213" s="151" t="s">
        <v>557</v>
      </c>
      <c r="K213" s="152" t="s">
        <v>229</v>
      </c>
      <c r="L213" s="152" t="s">
        <v>854</v>
      </c>
      <c r="M213" s="153">
        <v>0</v>
      </c>
    </row>
    <row r="214" spans="10:13" x14ac:dyDescent="0.25">
      <c r="J214" s="151" t="s">
        <v>558</v>
      </c>
      <c r="K214" s="152" t="s">
        <v>266</v>
      </c>
      <c r="L214" s="152" t="s">
        <v>855</v>
      </c>
      <c r="M214" s="153" t="s">
        <v>559</v>
      </c>
    </row>
    <row r="215" spans="10:13" x14ac:dyDescent="0.25">
      <c r="J215" s="151" t="s">
        <v>560</v>
      </c>
      <c r="K215" s="152" t="s">
        <v>266</v>
      </c>
      <c r="L215" s="152" t="s">
        <v>856</v>
      </c>
      <c r="M215" s="153" t="s">
        <v>561</v>
      </c>
    </row>
    <row r="216" spans="10:13" x14ac:dyDescent="0.25">
      <c r="J216" s="151" t="s">
        <v>562</v>
      </c>
      <c r="K216" s="152" t="s">
        <v>266</v>
      </c>
      <c r="L216" s="152" t="s">
        <v>857</v>
      </c>
      <c r="M216" s="153" t="s">
        <v>563</v>
      </c>
    </row>
    <row r="217" spans="10:13" x14ac:dyDescent="0.25">
      <c r="J217" s="151" t="s">
        <v>564</v>
      </c>
      <c r="K217" s="152" t="s">
        <v>262</v>
      </c>
      <c r="L217" s="152" t="s">
        <v>858</v>
      </c>
      <c r="M217" s="153" t="s">
        <v>565</v>
      </c>
    </row>
    <row r="218" spans="10:13" x14ac:dyDescent="0.25">
      <c r="J218" s="151" t="s">
        <v>566</v>
      </c>
      <c r="K218" s="152"/>
      <c r="L218" s="152"/>
      <c r="M218" s="153"/>
    </row>
    <row r="219" spans="10:13" x14ac:dyDescent="0.25">
      <c r="J219" s="151" t="s">
        <v>567</v>
      </c>
      <c r="K219" s="152"/>
      <c r="L219" s="152"/>
      <c r="M219" s="153"/>
    </row>
    <row r="220" spans="10:13" x14ac:dyDescent="0.25">
      <c r="J220" s="151" t="s">
        <v>567</v>
      </c>
      <c r="K220" s="152" t="s">
        <v>266</v>
      </c>
      <c r="L220" s="152" t="s">
        <v>568</v>
      </c>
      <c r="M220" s="153">
        <v>468</v>
      </c>
    </row>
    <row r="221" spans="10:13" x14ac:dyDescent="0.25">
      <c r="J221" s="151" t="s">
        <v>569</v>
      </c>
      <c r="K221" s="152" t="s">
        <v>266</v>
      </c>
      <c r="L221" s="152" t="s">
        <v>859</v>
      </c>
      <c r="M221" s="153" t="s">
        <v>570</v>
      </c>
    </row>
    <row r="222" spans="10:13" x14ac:dyDescent="0.25">
      <c r="J222" s="151" t="s">
        <v>569</v>
      </c>
      <c r="K222" s="152" t="s">
        <v>262</v>
      </c>
      <c r="L222" s="152" t="s">
        <v>859</v>
      </c>
      <c r="M222" s="153" t="s">
        <v>571</v>
      </c>
    </row>
    <row r="223" spans="10:13" x14ac:dyDescent="0.25">
      <c r="J223" s="151" t="s">
        <v>572</v>
      </c>
      <c r="K223" s="152" t="s">
        <v>229</v>
      </c>
      <c r="L223" s="152" t="s">
        <v>860</v>
      </c>
      <c r="M223" s="153" t="s">
        <v>245</v>
      </c>
    </row>
    <row r="224" spans="10:13" x14ac:dyDescent="0.25">
      <c r="J224" s="151" t="s">
        <v>573</v>
      </c>
      <c r="K224" s="152"/>
      <c r="L224" s="152"/>
      <c r="M224" s="153"/>
    </row>
    <row r="225" spans="10:13" x14ac:dyDescent="0.25">
      <c r="J225" s="151" t="s">
        <v>573</v>
      </c>
      <c r="K225" s="152" t="s">
        <v>266</v>
      </c>
      <c r="L225" s="152" t="s">
        <v>574</v>
      </c>
      <c r="M225" s="153">
        <v>130.69999999999999</v>
      </c>
    </row>
    <row r="226" spans="10:13" x14ac:dyDescent="0.25">
      <c r="J226" s="151" t="s">
        <v>575</v>
      </c>
      <c r="K226" s="152" t="s">
        <v>229</v>
      </c>
      <c r="L226" s="152" t="s">
        <v>861</v>
      </c>
      <c r="M226" s="153" t="s">
        <v>576</v>
      </c>
    </row>
    <row r="227" spans="10:13" x14ac:dyDescent="0.25">
      <c r="J227" s="151" t="s">
        <v>577</v>
      </c>
      <c r="K227" s="152" t="s">
        <v>229</v>
      </c>
      <c r="L227" s="152" t="s">
        <v>578</v>
      </c>
      <c r="M227" s="153" t="s">
        <v>579</v>
      </c>
    </row>
    <row r="228" spans="10:13" x14ac:dyDescent="0.25">
      <c r="J228" s="151" t="s">
        <v>580</v>
      </c>
      <c r="K228" s="152" t="s">
        <v>229</v>
      </c>
      <c r="L228" s="152" t="s">
        <v>862</v>
      </c>
      <c r="M228" s="153" t="s">
        <v>581</v>
      </c>
    </row>
    <row r="229" spans="10:13" x14ac:dyDescent="0.25">
      <c r="J229" s="151"/>
      <c r="K229" s="152"/>
      <c r="L229" s="152"/>
      <c r="M229" s="153"/>
    </row>
    <row r="230" spans="10:13" x14ac:dyDescent="0.25">
      <c r="J230" s="151" t="s">
        <v>582</v>
      </c>
      <c r="K230" s="152"/>
      <c r="L230" s="152"/>
      <c r="M230" s="153"/>
    </row>
    <row r="231" spans="10:13" x14ac:dyDescent="0.25">
      <c r="J231" s="151"/>
      <c r="K231" s="152"/>
      <c r="L231" s="152"/>
      <c r="M231" s="153"/>
    </row>
    <row r="232" spans="10:13" x14ac:dyDescent="0.25">
      <c r="J232" s="151" t="s">
        <v>583</v>
      </c>
      <c r="K232" s="152" t="s">
        <v>117</v>
      </c>
      <c r="L232" s="152" t="s">
        <v>863</v>
      </c>
      <c r="M232" s="153" t="s">
        <v>748</v>
      </c>
    </row>
    <row r="233" spans="10:13" x14ac:dyDescent="0.25">
      <c r="J233" s="151" t="s">
        <v>584</v>
      </c>
      <c r="K233" s="152"/>
      <c r="L233" s="152"/>
      <c r="M233" s="153"/>
    </row>
    <row r="234" spans="10:13" x14ac:dyDescent="0.25">
      <c r="J234" s="151" t="s">
        <v>864</v>
      </c>
      <c r="K234" s="152" t="s">
        <v>585</v>
      </c>
      <c r="L234" s="152" t="s">
        <v>586</v>
      </c>
      <c r="M234" s="153" t="s">
        <v>587</v>
      </c>
    </row>
    <row r="235" spans="10:13" x14ac:dyDescent="0.25">
      <c r="J235" s="151" t="s">
        <v>865</v>
      </c>
      <c r="K235" s="152" t="s">
        <v>588</v>
      </c>
      <c r="L235" s="152" t="s">
        <v>589</v>
      </c>
      <c r="M235" s="153" t="s">
        <v>590</v>
      </c>
    </row>
    <row r="236" spans="10:13" x14ac:dyDescent="0.25">
      <c r="J236" s="151" t="s">
        <v>866</v>
      </c>
      <c r="K236" s="152" t="s">
        <v>591</v>
      </c>
      <c r="L236" s="152">
        <v>12.5</v>
      </c>
      <c r="M236" s="153">
        <v>52.5</v>
      </c>
    </row>
    <row r="237" spans="10:13" x14ac:dyDescent="0.25">
      <c r="J237" s="151" t="s">
        <v>867</v>
      </c>
      <c r="K237" s="152" t="s">
        <v>592</v>
      </c>
      <c r="L237" s="152">
        <v>54.2</v>
      </c>
      <c r="M237" s="153">
        <v>226.8</v>
      </c>
    </row>
    <row r="238" spans="10:13" x14ac:dyDescent="0.25">
      <c r="J238" s="151" t="s">
        <v>868</v>
      </c>
      <c r="K238" s="152" t="s">
        <v>593</v>
      </c>
      <c r="L238" s="152" t="s">
        <v>594</v>
      </c>
      <c r="M238" s="153" t="s">
        <v>595</v>
      </c>
    </row>
    <row r="239" spans="10:13" x14ac:dyDescent="0.25">
      <c r="J239" s="151" t="s">
        <v>869</v>
      </c>
      <c r="K239" s="152" t="s">
        <v>596</v>
      </c>
      <c r="L239" s="152" t="s">
        <v>597</v>
      </c>
      <c r="M239" s="153" t="s">
        <v>598</v>
      </c>
    </row>
    <row r="240" spans="10:13" x14ac:dyDescent="0.25">
      <c r="J240" s="151" t="s">
        <v>870</v>
      </c>
      <c r="K240" s="152" t="s">
        <v>599</v>
      </c>
      <c r="L240" s="152" t="s">
        <v>600</v>
      </c>
      <c r="M240" s="153" t="s">
        <v>601</v>
      </c>
    </row>
    <row r="241" spans="10:13" x14ac:dyDescent="0.25">
      <c r="J241" s="151" t="s">
        <v>871</v>
      </c>
      <c r="K241" s="152" t="s">
        <v>602</v>
      </c>
      <c r="L241" s="152" t="s">
        <v>603</v>
      </c>
      <c r="M241" s="153" t="s">
        <v>604</v>
      </c>
    </row>
    <row r="242" spans="10:13" x14ac:dyDescent="0.25">
      <c r="J242" s="151" t="s">
        <v>872</v>
      </c>
      <c r="K242" s="152" t="s">
        <v>605</v>
      </c>
      <c r="L242" s="152" t="s">
        <v>606</v>
      </c>
      <c r="M242" s="153" t="s">
        <v>607</v>
      </c>
    </row>
    <row r="243" spans="10:13" x14ac:dyDescent="0.25">
      <c r="J243" s="151" t="s">
        <v>873</v>
      </c>
      <c r="K243" s="152" t="s">
        <v>608</v>
      </c>
      <c r="L243" s="152" t="s">
        <v>609</v>
      </c>
      <c r="M243" s="153" t="s">
        <v>610</v>
      </c>
    </row>
    <row r="244" spans="10:13" x14ac:dyDescent="0.25">
      <c r="J244" s="151" t="s">
        <v>874</v>
      </c>
      <c r="K244" s="152" t="s">
        <v>611</v>
      </c>
      <c r="L244" s="152" t="s">
        <v>612</v>
      </c>
      <c r="M244" s="153" t="s">
        <v>613</v>
      </c>
    </row>
    <row r="245" spans="10:13" x14ac:dyDescent="0.25">
      <c r="J245" s="151" t="s">
        <v>875</v>
      </c>
      <c r="K245" s="152" t="s">
        <v>614</v>
      </c>
      <c r="L245" s="152" t="s">
        <v>615</v>
      </c>
      <c r="M245" s="153" t="s">
        <v>616</v>
      </c>
    </row>
    <row r="246" spans="10:13" x14ac:dyDescent="0.25">
      <c r="J246" s="151" t="s">
        <v>876</v>
      </c>
      <c r="K246" s="152"/>
      <c r="L246" s="152"/>
      <c r="M246" s="153"/>
    </row>
    <row r="247" spans="10:13" x14ac:dyDescent="0.25">
      <c r="J247" s="151" t="s">
        <v>869</v>
      </c>
      <c r="K247" s="152" t="s">
        <v>617</v>
      </c>
      <c r="L247" s="152" t="s">
        <v>618</v>
      </c>
      <c r="M247" s="153" t="s">
        <v>619</v>
      </c>
    </row>
    <row r="248" spans="10:13" x14ac:dyDescent="0.25">
      <c r="J248" s="151" t="s">
        <v>877</v>
      </c>
      <c r="K248" s="152"/>
      <c r="L248" s="152"/>
      <c r="M248" s="153"/>
    </row>
    <row r="249" spans="10:13" x14ac:dyDescent="0.25">
      <c r="J249" s="151" t="s">
        <v>870</v>
      </c>
      <c r="K249" s="152" t="s">
        <v>620</v>
      </c>
      <c r="L249" s="152" t="s">
        <v>621</v>
      </c>
      <c r="M249" s="153" t="s">
        <v>622</v>
      </c>
    </row>
    <row r="250" spans="10:13" x14ac:dyDescent="0.25">
      <c r="J250" s="151" t="s">
        <v>870</v>
      </c>
      <c r="K250" s="152" t="s">
        <v>623</v>
      </c>
      <c r="L250" s="152" t="s">
        <v>624</v>
      </c>
      <c r="M250" s="153" t="s">
        <v>625</v>
      </c>
    </row>
    <row r="251" spans="10:13" x14ac:dyDescent="0.25">
      <c r="J251" s="151" t="s">
        <v>878</v>
      </c>
      <c r="K251" s="152"/>
      <c r="L251" s="152"/>
      <c r="M251" s="153"/>
    </row>
    <row r="252" spans="10:13" x14ac:dyDescent="0.25">
      <c r="J252" s="151" t="s">
        <v>871</v>
      </c>
      <c r="K252" s="152" t="s">
        <v>626</v>
      </c>
      <c r="L252" s="152" t="s">
        <v>627</v>
      </c>
      <c r="M252" s="153" t="s">
        <v>306</v>
      </c>
    </row>
    <row r="253" spans="10:13" x14ac:dyDescent="0.25">
      <c r="J253" s="151" t="s">
        <v>871</v>
      </c>
      <c r="K253" s="152" t="s">
        <v>628</v>
      </c>
      <c r="L253" s="152" t="s">
        <v>629</v>
      </c>
      <c r="M253" s="153" t="s">
        <v>630</v>
      </c>
    </row>
    <row r="254" spans="10:13" x14ac:dyDescent="0.25">
      <c r="J254" s="151" t="s">
        <v>871</v>
      </c>
      <c r="K254" s="152" t="s">
        <v>631</v>
      </c>
      <c r="L254" s="152" t="s">
        <v>632</v>
      </c>
      <c r="M254" s="153" t="s">
        <v>633</v>
      </c>
    </row>
    <row r="255" spans="10:13" x14ac:dyDescent="0.25">
      <c r="J255" s="151" t="s">
        <v>871</v>
      </c>
      <c r="K255" s="152" t="s">
        <v>634</v>
      </c>
      <c r="L255" s="152" t="s">
        <v>635</v>
      </c>
      <c r="M255" s="153" t="s">
        <v>636</v>
      </c>
    </row>
    <row r="256" spans="10:13" x14ac:dyDescent="0.25">
      <c r="J256" s="151" t="s">
        <v>879</v>
      </c>
      <c r="K256" s="152"/>
      <c r="L256" s="152"/>
      <c r="M256" s="153"/>
    </row>
    <row r="257" spans="10:13" x14ac:dyDescent="0.25">
      <c r="J257" s="151" t="s">
        <v>872</v>
      </c>
      <c r="K257" s="152" t="s">
        <v>637</v>
      </c>
      <c r="L257" s="152" t="s">
        <v>638</v>
      </c>
      <c r="M257" s="153" t="s">
        <v>639</v>
      </c>
    </row>
    <row r="258" spans="10:13" x14ac:dyDescent="0.25">
      <c r="J258" s="151" t="s">
        <v>872</v>
      </c>
      <c r="K258" s="152" t="s">
        <v>640</v>
      </c>
      <c r="L258" s="152" t="s">
        <v>641</v>
      </c>
      <c r="M258" s="153" t="s">
        <v>642</v>
      </c>
    </row>
    <row r="259" spans="10:13" x14ac:dyDescent="0.25">
      <c r="J259" s="151" t="s">
        <v>872</v>
      </c>
      <c r="K259" s="152" t="s">
        <v>643</v>
      </c>
      <c r="L259" s="152" t="s">
        <v>644</v>
      </c>
      <c r="M259" s="153" t="s">
        <v>645</v>
      </c>
    </row>
    <row r="260" spans="10:13" x14ac:dyDescent="0.25">
      <c r="J260" s="151" t="s">
        <v>872</v>
      </c>
      <c r="K260" s="152" t="s">
        <v>646</v>
      </c>
      <c r="L260" s="152" t="s">
        <v>647</v>
      </c>
      <c r="M260" s="153" t="s">
        <v>648</v>
      </c>
    </row>
    <row r="261" spans="10:13" x14ac:dyDescent="0.25">
      <c r="J261" s="151" t="s">
        <v>872</v>
      </c>
      <c r="K261" s="152" t="s">
        <v>649</v>
      </c>
      <c r="L261" s="152" t="s">
        <v>650</v>
      </c>
      <c r="M261" s="153" t="s">
        <v>651</v>
      </c>
    </row>
    <row r="262" spans="10:13" x14ac:dyDescent="0.25">
      <c r="J262" s="151" t="s">
        <v>872</v>
      </c>
      <c r="K262" s="152" t="s">
        <v>652</v>
      </c>
      <c r="L262" s="152" t="s">
        <v>653</v>
      </c>
      <c r="M262" s="153" t="s">
        <v>654</v>
      </c>
    </row>
    <row r="263" spans="10:13" x14ac:dyDescent="0.25">
      <c r="J263" s="151" t="s">
        <v>872</v>
      </c>
      <c r="K263" s="152" t="s">
        <v>655</v>
      </c>
      <c r="L263" s="152" t="s">
        <v>656</v>
      </c>
      <c r="M263" s="153" t="s">
        <v>657</v>
      </c>
    </row>
    <row r="264" spans="10:13" x14ac:dyDescent="0.25">
      <c r="J264" s="151" t="s">
        <v>872</v>
      </c>
      <c r="K264" s="152" t="s">
        <v>658</v>
      </c>
      <c r="L264" s="152" t="s">
        <v>659</v>
      </c>
      <c r="M264" s="153" t="s">
        <v>660</v>
      </c>
    </row>
    <row r="265" spans="10:13" x14ac:dyDescent="0.25">
      <c r="J265" s="151" t="s">
        <v>880</v>
      </c>
      <c r="K265" s="152"/>
      <c r="L265" s="152"/>
      <c r="M265" s="153"/>
    </row>
    <row r="266" spans="10:13" x14ac:dyDescent="0.25">
      <c r="J266" s="151" t="s">
        <v>873</v>
      </c>
      <c r="K266" s="152" t="s">
        <v>661</v>
      </c>
      <c r="L266" s="152" t="s">
        <v>662</v>
      </c>
      <c r="M266" s="153" t="s">
        <v>663</v>
      </c>
    </row>
    <row r="267" spans="10:13" x14ac:dyDescent="0.25">
      <c r="J267" s="151" t="s">
        <v>873</v>
      </c>
      <c r="K267" s="152" t="s">
        <v>664</v>
      </c>
      <c r="L267" s="152" t="s">
        <v>665</v>
      </c>
      <c r="M267" s="153" t="s">
        <v>666</v>
      </c>
    </row>
    <row r="268" spans="10:13" x14ac:dyDescent="0.25">
      <c r="J268" s="151" t="s">
        <v>873</v>
      </c>
      <c r="K268" s="152" t="s">
        <v>667</v>
      </c>
      <c r="L268" s="152" t="s">
        <v>668</v>
      </c>
      <c r="M268" s="153" t="s">
        <v>669</v>
      </c>
    </row>
    <row r="269" spans="10:13" x14ac:dyDescent="0.25">
      <c r="J269" s="151" t="s">
        <v>873</v>
      </c>
      <c r="K269" s="152" t="s">
        <v>670</v>
      </c>
      <c r="L269" s="152" t="s">
        <v>671</v>
      </c>
      <c r="M269" s="153" t="s">
        <v>672</v>
      </c>
    </row>
    <row r="270" spans="10:13" x14ac:dyDescent="0.25">
      <c r="J270" s="151" t="s">
        <v>873</v>
      </c>
      <c r="K270" s="152" t="s">
        <v>673</v>
      </c>
      <c r="L270" s="152" t="s">
        <v>674</v>
      </c>
      <c r="M270" s="153" t="s">
        <v>675</v>
      </c>
    </row>
    <row r="271" spans="10:13" x14ac:dyDescent="0.25">
      <c r="J271" s="151" t="s">
        <v>873</v>
      </c>
      <c r="K271" s="152" t="s">
        <v>676</v>
      </c>
      <c r="L271" s="152" t="s">
        <v>677</v>
      </c>
      <c r="M271" s="153" t="s">
        <v>678</v>
      </c>
    </row>
    <row r="272" spans="10:13" x14ac:dyDescent="0.25">
      <c r="J272" s="151" t="s">
        <v>873</v>
      </c>
      <c r="K272" s="152" t="s">
        <v>679</v>
      </c>
      <c r="L272" s="152" t="s">
        <v>677</v>
      </c>
      <c r="M272" s="153" t="s">
        <v>678</v>
      </c>
    </row>
    <row r="273" spans="10:13" x14ac:dyDescent="0.25">
      <c r="J273" s="151" t="s">
        <v>873</v>
      </c>
      <c r="K273" s="152" t="s">
        <v>680</v>
      </c>
      <c r="L273" s="152" t="s">
        <v>681</v>
      </c>
      <c r="M273" s="153" t="s">
        <v>682</v>
      </c>
    </row>
    <row r="274" spans="10:13" x14ac:dyDescent="0.25">
      <c r="J274" s="151" t="s">
        <v>873</v>
      </c>
      <c r="K274" s="152" t="s">
        <v>683</v>
      </c>
      <c r="L274" s="152" t="s">
        <v>684</v>
      </c>
      <c r="M274" s="153" t="s">
        <v>685</v>
      </c>
    </row>
    <row r="275" spans="10:13" x14ac:dyDescent="0.25">
      <c r="J275" s="151" t="s">
        <v>873</v>
      </c>
      <c r="K275" s="152" t="s">
        <v>686</v>
      </c>
      <c r="L275" s="152" t="s">
        <v>687</v>
      </c>
      <c r="M275" s="153" t="s">
        <v>688</v>
      </c>
    </row>
    <row r="276" spans="10:13" x14ac:dyDescent="0.25">
      <c r="J276" s="151" t="s">
        <v>873</v>
      </c>
      <c r="K276" s="152" t="s">
        <v>689</v>
      </c>
      <c r="L276" s="152" t="s">
        <v>690</v>
      </c>
      <c r="M276" s="153" t="s">
        <v>691</v>
      </c>
    </row>
    <row r="277" spans="10:13" x14ac:dyDescent="0.25">
      <c r="J277" s="151" t="s">
        <v>873</v>
      </c>
      <c r="K277" s="152" t="s">
        <v>692</v>
      </c>
      <c r="L277" s="152" t="s">
        <v>693</v>
      </c>
      <c r="M277" s="153" t="s">
        <v>694</v>
      </c>
    </row>
    <row r="278" spans="10:13" x14ac:dyDescent="0.25">
      <c r="J278" s="151" t="s">
        <v>873</v>
      </c>
      <c r="K278" s="152" t="s">
        <v>695</v>
      </c>
      <c r="L278" s="152" t="s">
        <v>696</v>
      </c>
      <c r="M278" s="153" t="s">
        <v>697</v>
      </c>
    </row>
    <row r="279" spans="10:13" x14ac:dyDescent="0.25">
      <c r="J279" s="151" t="s">
        <v>873</v>
      </c>
      <c r="K279" s="152" t="s">
        <v>698</v>
      </c>
      <c r="L279" s="152" t="s">
        <v>699</v>
      </c>
      <c r="M279" s="153" t="s">
        <v>700</v>
      </c>
    </row>
    <row r="280" spans="10:13" x14ac:dyDescent="0.25">
      <c r="J280" s="151" t="s">
        <v>873</v>
      </c>
      <c r="K280" s="152" t="s">
        <v>701</v>
      </c>
      <c r="L280" s="152" t="s">
        <v>702</v>
      </c>
      <c r="M280" s="153" t="s">
        <v>703</v>
      </c>
    </row>
    <row r="281" spans="10:13" x14ac:dyDescent="0.25">
      <c r="J281" s="151" t="s">
        <v>873</v>
      </c>
      <c r="K281" s="152" t="s">
        <v>704</v>
      </c>
      <c r="L281" s="152" t="s">
        <v>705</v>
      </c>
      <c r="M281" s="153" t="s">
        <v>705</v>
      </c>
    </row>
    <row r="282" spans="10:13" x14ac:dyDescent="0.25">
      <c r="J282" s="151" t="s">
        <v>873</v>
      </c>
      <c r="K282" s="152" t="s">
        <v>706</v>
      </c>
      <c r="L282" s="152" t="s">
        <v>705</v>
      </c>
      <c r="M282" s="153" t="s">
        <v>705</v>
      </c>
    </row>
    <row r="283" spans="10:13" x14ac:dyDescent="0.25">
      <c r="J283" s="151" t="s">
        <v>881</v>
      </c>
      <c r="K283" s="152"/>
      <c r="L283" s="152"/>
      <c r="M283" s="153"/>
    </row>
    <row r="284" spans="10:13" x14ac:dyDescent="0.25">
      <c r="J284" s="151" t="s">
        <v>874</v>
      </c>
      <c r="K284" s="152" t="s">
        <v>707</v>
      </c>
      <c r="L284" s="152" t="s">
        <v>708</v>
      </c>
      <c r="M284" s="153" t="s">
        <v>709</v>
      </c>
    </row>
    <row r="285" spans="10:13" x14ac:dyDescent="0.25">
      <c r="J285" s="151" t="s">
        <v>874</v>
      </c>
      <c r="K285" s="152" t="s">
        <v>710</v>
      </c>
      <c r="L285" s="152" t="s">
        <v>711</v>
      </c>
      <c r="M285" s="153" t="s">
        <v>712</v>
      </c>
    </row>
    <row r="286" spans="10:13" x14ac:dyDescent="0.25">
      <c r="J286" s="151" t="s">
        <v>874</v>
      </c>
      <c r="K286" s="152" t="s">
        <v>713</v>
      </c>
      <c r="L286" s="152" t="s">
        <v>714</v>
      </c>
      <c r="M286" s="153" t="s">
        <v>715</v>
      </c>
    </row>
    <row r="287" spans="10:13" x14ac:dyDescent="0.25">
      <c r="J287" s="151" t="s">
        <v>874</v>
      </c>
      <c r="K287" s="152" t="s">
        <v>716</v>
      </c>
      <c r="L287" s="152" t="s">
        <v>717</v>
      </c>
      <c r="M287" s="153" t="s">
        <v>718</v>
      </c>
    </row>
    <row r="288" spans="10:13" x14ac:dyDescent="0.25">
      <c r="J288" s="151" t="s">
        <v>874</v>
      </c>
      <c r="K288" s="152" t="s">
        <v>719</v>
      </c>
      <c r="L288" s="152" t="s">
        <v>720</v>
      </c>
      <c r="M288" s="153" t="s">
        <v>721</v>
      </c>
    </row>
    <row r="289" spans="10:13" x14ac:dyDescent="0.25">
      <c r="J289" s="151"/>
      <c r="K289" s="152"/>
      <c r="L289" s="152"/>
      <c r="M289" s="153"/>
    </row>
    <row r="290" spans="10:13" x14ac:dyDescent="0.25">
      <c r="J290" s="151" t="s">
        <v>722</v>
      </c>
      <c r="K290" s="152"/>
      <c r="L290" s="152"/>
      <c r="M290" s="153"/>
    </row>
    <row r="291" spans="10:13" x14ac:dyDescent="0.25">
      <c r="J291" s="151"/>
      <c r="K291" s="152"/>
      <c r="L291" s="152"/>
      <c r="M291" s="153"/>
    </row>
    <row r="292" spans="10:13" x14ac:dyDescent="0.25">
      <c r="J292" s="151" t="s">
        <v>225</v>
      </c>
      <c r="K292" s="152" t="s">
        <v>226</v>
      </c>
      <c r="L292" s="152" t="s">
        <v>227</v>
      </c>
      <c r="M292" s="153" t="s">
        <v>748</v>
      </c>
    </row>
    <row r="293" spans="10:13" x14ac:dyDescent="0.25">
      <c r="J293" s="151" t="s">
        <v>723</v>
      </c>
      <c r="K293" s="152" t="s">
        <v>262</v>
      </c>
      <c r="L293" s="152" t="s">
        <v>882</v>
      </c>
      <c r="M293" s="153" t="s">
        <v>724</v>
      </c>
    </row>
    <row r="294" spans="10:13" x14ac:dyDescent="0.25">
      <c r="J294" s="151" t="s">
        <v>725</v>
      </c>
      <c r="K294" s="152" t="s">
        <v>262</v>
      </c>
      <c r="L294" s="152" t="s">
        <v>883</v>
      </c>
      <c r="M294" s="153">
        <v>48.95</v>
      </c>
    </row>
    <row r="295" spans="10:13" x14ac:dyDescent="0.25">
      <c r="J295" s="151" t="s">
        <v>726</v>
      </c>
      <c r="K295" s="152" t="s">
        <v>229</v>
      </c>
      <c r="L295" s="152" t="s">
        <v>884</v>
      </c>
      <c r="M295" s="153" t="s">
        <v>727</v>
      </c>
    </row>
    <row r="296" spans="10:13" x14ac:dyDescent="0.25">
      <c r="J296" s="151" t="s">
        <v>728</v>
      </c>
      <c r="K296" s="152" t="s">
        <v>262</v>
      </c>
      <c r="L296" s="152" t="s">
        <v>885</v>
      </c>
      <c r="M296" s="153" t="s">
        <v>729</v>
      </c>
    </row>
    <row r="297" spans="10:13" x14ac:dyDescent="0.25">
      <c r="J297" s="151" t="s">
        <v>728</v>
      </c>
      <c r="K297" s="152" t="s">
        <v>266</v>
      </c>
      <c r="L297" s="152" t="s">
        <v>885</v>
      </c>
      <c r="M297" s="153" t="s">
        <v>730</v>
      </c>
    </row>
    <row r="298" spans="10:13" x14ac:dyDescent="0.25">
      <c r="J298" s="151" t="s">
        <v>731</v>
      </c>
      <c r="K298" s="152" t="s">
        <v>262</v>
      </c>
      <c r="L298" s="152" t="s">
        <v>886</v>
      </c>
      <c r="M298" s="153" t="s">
        <v>732</v>
      </c>
    </row>
    <row r="299" spans="10:13" x14ac:dyDescent="0.25">
      <c r="J299" s="151" t="s">
        <v>731</v>
      </c>
      <c r="K299" s="152" t="s">
        <v>266</v>
      </c>
      <c r="L299" s="152" t="s">
        <v>886</v>
      </c>
      <c r="M299" s="153" t="s">
        <v>733</v>
      </c>
    </row>
    <row r="300" spans="10:13" x14ac:dyDescent="0.25">
      <c r="J300" s="151" t="s">
        <v>734</v>
      </c>
      <c r="K300" s="152" t="s">
        <v>229</v>
      </c>
      <c r="L300" s="152" t="s">
        <v>887</v>
      </c>
      <c r="M300" s="153" t="s">
        <v>735</v>
      </c>
    </row>
    <row r="301" spans="10:13" x14ac:dyDescent="0.25">
      <c r="J301" s="151" t="s">
        <v>736</v>
      </c>
      <c r="K301" s="152" t="s">
        <v>266</v>
      </c>
      <c r="L301" s="152" t="s">
        <v>888</v>
      </c>
      <c r="M301" s="153" t="s">
        <v>737</v>
      </c>
    </row>
    <row r="302" spans="10:13" x14ac:dyDescent="0.25">
      <c r="J302" s="151" t="s">
        <v>738</v>
      </c>
      <c r="K302" s="152" t="s">
        <v>262</v>
      </c>
      <c r="L302" s="152" t="s">
        <v>889</v>
      </c>
      <c r="M302" s="153" t="s">
        <v>739</v>
      </c>
    </row>
    <row r="303" spans="10:13" x14ac:dyDescent="0.25">
      <c r="J303" s="151" t="s">
        <v>738</v>
      </c>
      <c r="K303" s="152" t="s">
        <v>266</v>
      </c>
      <c r="L303" s="152" t="s">
        <v>889</v>
      </c>
      <c r="M303" s="153" t="s">
        <v>740</v>
      </c>
    </row>
    <row r="304" spans="10:13" x14ac:dyDescent="0.25">
      <c r="J304" s="151" t="s">
        <v>890</v>
      </c>
      <c r="K304" s="152" t="s">
        <v>266</v>
      </c>
      <c r="L304" s="152" t="s">
        <v>891</v>
      </c>
      <c r="M304" s="153" t="s">
        <v>741</v>
      </c>
    </row>
    <row r="305" spans="10:13" x14ac:dyDescent="0.25">
      <c r="J305" s="151" t="s">
        <v>742</v>
      </c>
      <c r="K305" s="152" t="s">
        <v>229</v>
      </c>
      <c r="L305" s="152" t="s">
        <v>892</v>
      </c>
      <c r="M305" s="153" t="s">
        <v>743</v>
      </c>
    </row>
    <row r="306" spans="10:13" x14ac:dyDescent="0.25">
      <c r="J306" s="151" t="s">
        <v>893</v>
      </c>
      <c r="K306" s="152" t="s">
        <v>262</v>
      </c>
      <c r="L306" s="152" t="s">
        <v>894</v>
      </c>
      <c r="M306" s="153" t="s">
        <v>744</v>
      </c>
    </row>
    <row r="307" spans="10:13" x14ac:dyDescent="0.25">
      <c r="J307" s="151" t="s">
        <v>893</v>
      </c>
      <c r="K307" s="152" t="s">
        <v>266</v>
      </c>
      <c r="L307" s="152" t="s">
        <v>894</v>
      </c>
      <c r="M307" s="153" t="s">
        <v>745</v>
      </c>
    </row>
    <row r="308" spans="10:13" ht="15.75" thickBot="1" x14ac:dyDescent="0.3">
      <c r="J308" s="170" t="s">
        <v>746</v>
      </c>
      <c r="K308" s="171" t="s">
        <v>229</v>
      </c>
      <c r="L308" s="171" t="s">
        <v>895</v>
      </c>
      <c r="M308" s="172" t="s">
        <v>747</v>
      </c>
    </row>
  </sheetData>
  <autoFilter ref="J5:M228" xr:uid="{511B7530-FC82-4268-9AA5-429C0ABFB3AB}"/>
  <mergeCells count="7">
    <mergeCell ref="B35:D35"/>
    <mergeCell ref="F20:H20"/>
    <mergeCell ref="J2:M3"/>
    <mergeCell ref="B9:C10"/>
    <mergeCell ref="E9:G10"/>
    <mergeCell ref="B22:D23"/>
    <mergeCell ref="B17:E1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49"/>
  <sheetViews>
    <sheetView showGridLines="0" topLeftCell="A22" workbookViewId="0">
      <selection activeCell="H36" sqref="H36"/>
    </sheetView>
  </sheetViews>
  <sheetFormatPr defaultRowHeight="15" x14ac:dyDescent="0.25"/>
  <cols>
    <col min="1" max="1" width="4.7109375" style="7" customWidth="1"/>
    <col min="2" max="2" width="9.140625" customWidth="1"/>
    <col min="4" max="4" width="3.85546875" customWidth="1"/>
    <col min="5" max="5" width="10.42578125" customWidth="1"/>
    <col min="6" max="6" width="10" customWidth="1"/>
    <col min="7" max="7" width="18.140625" bestFit="1" customWidth="1"/>
    <col min="9" max="9" width="20.7109375" bestFit="1" customWidth="1"/>
    <col min="10" max="10" width="15.85546875" customWidth="1"/>
    <col min="12" max="12" width="9.140625" customWidth="1"/>
    <col min="25" max="25" width="10.5703125" bestFit="1" customWidth="1"/>
  </cols>
  <sheetData>
    <row r="1" spans="2:18" ht="9" customHeight="1" thickBot="1" x14ac:dyDescent="0.3"/>
    <row r="2" spans="2:18" ht="19.5" thickBot="1" x14ac:dyDescent="0.35">
      <c r="B2" s="195" t="s">
        <v>69</v>
      </c>
      <c r="C2" s="195"/>
      <c r="D2" s="195"/>
      <c r="E2" s="195"/>
      <c r="F2" s="195"/>
      <c r="G2" s="195"/>
      <c r="I2" s="43"/>
      <c r="J2" s="44"/>
      <c r="K2" s="44"/>
      <c r="L2" s="44"/>
      <c r="M2" s="44"/>
      <c r="N2" s="44"/>
      <c r="O2" s="44"/>
      <c r="P2" s="44"/>
      <c r="Q2" s="44"/>
      <c r="R2" s="45"/>
    </row>
    <row r="3" spans="2:18" ht="23.25" customHeight="1" thickBot="1" x14ac:dyDescent="0.3">
      <c r="I3" s="46"/>
      <c r="J3" s="24"/>
      <c r="K3" s="24"/>
      <c r="L3" s="203" t="s">
        <v>114</v>
      </c>
      <c r="M3" s="204"/>
      <c r="N3" s="24"/>
      <c r="O3" s="24"/>
      <c r="P3" s="24"/>
      <c r="Q3" s="24"/>
      <c r="R3" s="47"/>
    </row>
    <row r="4" spans="2:18" ht="15.75" thickBot="1" x14ac:dyDescent="0.3">
      <c r="B4" s="17"/>
      <c r="F4" s="13" t="s">
        <v>77</v>
      </c>
      <c r="G4" s="20" t="s">
        <v>167</v>
      </c>
      <c r="I4" s="46"/>
      <c r="J4" s="24"/>
      <c r="K4" s="24"/>
      <c r="L4" s="24"/>
      <c r="M4" s="24"/>
      <c r="N4" s="24"/>
      <c r="O4" s="24"/>
      <c r="P4" s="24"/>
      <c r="Q4" s="24"/>
      <c r="R4" s="47"/>
    </row>
    <row r="5" spans="2:18" ht="15.75" thickBot="1" x14ac:dyDescent="0.3">
      <c r="B5" s="196" t="s">
        <v>114</v>
      </c>
      <c r="C5" s="197"/>
      <c r="D5" s="42"/>
      <c r="F5" s="13" t="s">
        <v>78</v>
      </c>
      <c r="G5" s="21" t="s">
        <v>112</v>
      </c>
      <c r="I5" s="46"/>
      <c r="J5" s="24"/>
      <c r="K5" s="24"/>
      <c r="L5" s="24"/>
      <c r="M5" s="24"/>
      <c r="N5" s="24"/>
      <c r="O5" s="24"/>
      <c r="P5" s="24"/>
      <c r="Q5" s="24"/>
      <c r="R5" s="47"/>
    </row>
    <row r="6" spans="2:18" ht="7.5" customHeight="1" x14ac:dyDescent="0.25">
      <c r="I6" s="46"/>
      <c r="J6" s="24"/>
      <c r="K6" s="24"/>
      <c r="L6" s="24"/>
      <c r="M6" s="24"/>
      <c r="N6" s="24"/>
      <c r="O6" s="24"/>
      <c r="P6" s="24"/>
      <c r="Q6" s="24"/>
      <c r="R6" s="47"/>
    </row>
    <row r="7" spans="2:18" x14ac:dyDescent="0.25">
      <c r="B7" s="198" t="s">
        <v>22</v>
      </c>
      <c r="C7" s="198"/>
      <c r="E7" s="198" t="s">
        <v>39</v>
      </c>
      <c r="F7" s="198"/>
      <c r="G7" s="198"/>
      <c r="I7" s="46"/>
      <c r="J7" s="24"/>
      <c r="K7" s="24"/>
      <c r="L7" s="24"/>
      <c r="M7" s="24"/>
      <c r="N7" s="24"/>
      <c r="O7" s="24"/>
      <c r="P7" s="24"/>
      <c r="Q7" s="24"/>
      <c r="R7" s="47"/>
    </row>
    <row r="8" spans="2:18" ht="18" x14ac:dyDescent="0.25">
      <c r="B8" s="1" t="s">
        <v>63</v>
      </c>
      <c r="C8" s="11"/>
      <c r="E8" s="8" t="s">
        <v>40</v>
      </c>
      <c r="G8" s="11"/>
      <c r="I8" s="46"/>
      <c r="J8" s="24"/>
      <c r="K8" s="24"/>
      <c r="L8" s="24"/>
      <c r="M8" s="24"/>
      <c r="N8" s="24"/>
      <c r="O8" s="24"/>
      <c r="P8" s="24"/>
      <c r="Q8" s="24"/>
      <c r="R8" s="47"/>
    </row>
    <row r="9" spans="2:18" ht="18" x14ac:dyDescent="0.25">
      <c r="B9" s="5" t="s">
        <v>23</v>
      </c>
      <c r="C9" s="11"/>
      <c r="E9" s="8" t="s">
        <v>41</v>
      </c>
      <c r="G9" s="11"/>
      <c r="I9" s="46"/>
      <c r="J9" s="24"/>
      <c r="K9" s="24"/>
      <c r="L9" s="24"/>
      <c r="M9" s="24"/>
      <c r="N9" s="24"/>
      <c r="O9" s="24"/>
      <c r="P9" s="24"/>
      <c r="Q9" s="24"/>
      <c r="R9" s="47"/>
    </row>
    <row r="10" spans="2:18" ht="15.75" customHeight="1" x14ac:dyDescent="0.25">
      <c r="B10" s="5" t="s">
        <v>24</v>
      </c>
      <c r="C10" s="11"/>
      <c r="E10" s="8" t="s">
        <v>42</v>
      </c>
      <c r="G10" s="11">
        <v>1</v>
      </c>
      <c r="I10" s="46"/>
      <c r="J10" s="24"/>
      <c r="K10" s="24"/>
      <c r="L10" s="24"/>
      <c r="M10" s="24"/>
      <c r="N10" s="24"/>
      <c r="O10" s="24"/>
      <c r="P10" s="24"/>
      <c r="Q10" s="24"/>
      <c r="R10" s="47"/>
    </row>
    <row r="11" spans="2:18" x14ac:dyDescent="0.25">
      <c r="B11" s="5" t="s">
        <v>25</v>
      </c>
      <c r="C11" s="11"/>
      <c r="E11" s="8" t="s">
        <v>43</v>
      </c>
      <c r="G11" s="11"/>
      <c r="I11" s="46"/>
      <c r="J11" s="24"/>
      <c r="K11" s="24"/>
      <c r="L11" s="24"/>
      <c r="M11" s="24"/>
      <c r="N11" s="24"/>
      <c r="O11" s="24"/>
      <c r="P11" s="24"/>
      <c r="Q11" s="24"/>
      <c r="R11" s="47"/>
    </row>
    <row r="12" spans="2:18" ht="18" x14ac:dyDescent="0.25">
      <c r="B12" s="1" t="s">
        <v>111</v>
      </c>
      <c r="C12" s="11"/>
      <c r="E12" s="8" t="s">
        <v>44</v>
      </c>
      <c r="G12" s="11"/>
      <c r="I12" s="46"/>
      <c r="J12" s="24"/>
      <c r="K12" s="24"/>
      <c r="L12" s="24"/>
      <c r="M12" s="24"/>
      <c r="N12" s="24"/>
      <c r="O12" s="24"/>
      <c r="P12" s="24"/>
      <c r="Q12" s="24"/>
      <c r="R12" s="47"/>
    </row>
    <row r="13" spans="2:18" x14ac:dyDescent="0.25">
      <c r="B13" s="5" t="s">
        <v>26</v>
      </c>
      <c r="C13" s="11"/>
      <c r="E13" s="8" t="s">
        <v>45</v>
      </c>
      <c r="G13" s="11"/>
      <c r="I13" s="46"/>
      <c r="J13" s="24"/>
      <c r="K13" s="24"/>
      <c r="L13" s="24"/>
      <c r="M13" s="24"/>
      <c r="N13" s="24"/>
      <c r="O13" s="24"/>
      <c r="P13" s="24"/>
      <c r="Q13" s="24"/>
      <c r="R13" s="47"/>
    </row>
    <row r="14" spans="2:18" x14ac:dyDescent="0.25">
      <c r="B14" s="5" t="s">
        <v>27</v>
      </c>
      <c r="C14" s="11"/>
      <c r="E14" s="8" t="s">
        <v>46</v>
      </c>
      <c r="G14" s="11"/>
      <c r="I14" s="46"/>
      <c r="J14" s="24"/>
      <c r="K14" s="24"/>
      <c r="L14" s="24"/>
      <c r="M14" s="24"/>
      <c r="N14" s="24"/>
      <c r="O14" s="24"/>
      <c r="P14" s="24"/>
      <c r="Q14" s="24"/>
      <c r="R14" s="47"/>
    </row>
    <row r="15" spans="2:18" x14ac:dyDescent="0.25">
      <c r="B15" s="5" t="s">
        <v>29</v>
      </c>
      <c r="C15" s="11"/>
      <c r="E15" s="8" t="s">
        <v>47</v>
      </c>
      <c r="G15" s="11"/>
      <c r="I15" s="46"/>
      <c r="J15" s="52"/>
      <c r="K15" s="48"/>
      <c r="L15" s="48"/>
      <c r="M15" s="48"/>
      <c r="N15" s="48"/>
      <c r="O15" s="48"/>
      <c r="P15" s="24"/>
      <c r="Q15" s="24"/>
      <c r="R15" s="47"/>
    </row>
    <row r="16" spans="2:18" x14ac:dyDescent="0.25">
      <c r="B16" s="5" t="s">
        <v>30</v>
      </c>
      <c r="C16" s="11"/>
      <c r="E16" s="8" t="s">
        <v>48</v>
      </c>
      <c r="G16" s="11"/>
      <c r="I16" s="46"/>
      <c r="J16" s="24"/>
      <c r="K16" s="24"/>
      <c r="L16" s="24"/>
      <c r="M16" s="24"/>
      <c r="N16" s="24"/>
      <c r="O16" s="24"/>
      <c r="P16" s="24"/>
      <c r="Q16" s="24"/>
      <c r="R16" s="47"/>
    </row>
    <row r="17" spans="2:18" x14ac:dyDescent="0.25">
      <c r="B17" s="5" t="s">
        <v>31</v>
      </c>
      <c r="C17" s="11"/>
      <c r="E17" s="9" t="s">
        <v>61</v>
      </c>
      <c r="G17" s="11"/>
      <c r="I17" s="46"/>
      <c r="J17" s="24"/>
      <c r="K17" s="24"/>
      <c r="L17" s="24"/>
      <c r="M17" s="24"/>
      <c r="N17" s="24"/>
      <c r="O17" s="24"/>
      <c r="P17" s="24"/>
      <c r="Q17" s="24"/>
      <c r="R17" s="47"/>
    </row>
    <row r="18" spans="2:18" ht="15.75" thickBot="1" x14ac:dyDescent="0.3">
      <c r="B18" s="198" t="s">
        <v>32</v>
      </c>
      <c r="C18" s="198"/>
      <c r="E18" s="198" t="s">
        <v>50</v>
      </c>
      <c r="F18" s="198"/>
      <c r="G18" s="198"/>
      <c r="I18" s="49"/>
      <c r="J18" s="50"/>
      <c r="K18" s="50"/>
      <c r="L18" s="50"/>
      <c r="M18" s="50"/>
      <c r="N18" s="50"/>
      <c r="O18" s="50"/>
      <c r="P18" s="50"/>
      <c r="Q18" s="50"/>
      <c r="R18" s="51"/>
    </row>
    <row r="19" spans="2:18" ht="18" x14ac:dyDescent="0.25">
      <c r="B19" s="5" t="s">
        <v>23</v>
      </c>
      <c r="C19" s="11"/>
      <c r="E19" s="9" t="s">
        <v>64</v>
      </c>
      <c r="G19" s="11">
        <v>1</v>
      </c>
    </row>
    <row r="20" spans="2:18" x14ac:dyDescent="0.25">
      <c r="B20" s="5" t="s">
        <v>24</v>
      </c>
      <c r="C20" s="11"/>
      <c r="E20" s="8" t="s">
        <v>51</v>
      </c>
      <c r="G20" s="11"/>
    </row>
    <row r="21" spans="2:18" ht="15.75" thickBot="1" x14ac:dyDescent="0.3">
      <c r="B21" s="5" t="s">
        <v>25</v>
      </c>
      <c r="C21" s="11"/>
      <c r="E21" s="8" t="s">
        <v>52</v>
      </c>
      <c r="G21" s="11"/>
    </row>
    <row r="22" spans="2:18" ht="15.75" thickBot="1" x14ac:dyDescent="0.3">
      <c r="B22" s="5" t="s">
        <v>26</v>
      </c>
      <c r="C22" s="11">
        <v>9</v>
      </c>
      <c r="E22" s="8" t="s">
        <v>53</v>
      </c>
      <c r="G22" s="11"/>
      <c r="I22" s="53" t="s">
        <v>165</v>
      </c>
      <c r="J22" s="54"/>
      <c r="K22" s="56" t="s">
        <v>166</v>
      </c>
      <c r="L22" s="54"/>
      <c r="M22" s="55"/>
    </row>
    <row r="23" spans="2:18" x14ac:dyDescent="0.25">
      <c r="B23" s="5" t="s">
        <v>27</v>
      </c>
      <c r="C23" s="11">
        <v>3</v>
      </c>
      <c r="E23" s="8" t="s">
        <v>54</v>
      </c>
      <c r="G23" s="11"/>
    </row>
    <row r="24" spans="2:18" x14ac:dyDescent="0.25">
      <c r="B24" s="199" t="s">
        <v>34</v>
      </c>
      <c r="C24" s="199"/>
      <c r="E24" s="8" t="s">
        <v>55</v>
      </c>
      <c r="G24" s="11"/>
    </row>
    <row r="25" spans="2:18" x14ac:dyDescent="0.25">
      <c r="B25" s="8" t="s">
        <v>35</v>
      </c>
      <c r="C25" s="11"/>
      <c r="E25" s="9" t="s">
        <v>62</v>
      </c>
      <c r="G25" s="11"/>
    </row>
    <row r="26" spans="2:18" x14ac:dyDescent="0.25">
      <c r="B26" s="8" t="s">
        <v>36</v>
      </c>
      <c r="C26" s="11"/>
      <c r="E26" s="8" t="s">
        <v>56</v>
      </c>
      <c r="G26" s="11"/>
    </row>
    <row r="27" spans="2:18" x14ac:dyDescent="0.25">
      <c r="B27" s="8" t="s">
        <v>37</v>
      </c>
      <c r="C27" s="11"/>
      <c r="E27" s="9" t="s">
        <v>65</v>
      </c>
      <c r="G27" s="11"/>
    </row>
    <row r="28" spans="2:18" x14ac:dyDescent="0.25">
      <c r="B28" s="8" t="s">
        <v>38</v>
      </c>
      <c r="C28" s="11"/>
      <c r="E28" s="198" t="s">
        <v>57</v>
      </c>
      <c r="F28" s="198"/>
      <c r="G28" s="198"/>
    </row>
    <row r="29" spans="2:18" x14ac:dyDescent="0.25">
      <c r="E29" s="8" t="s">
        <v>58</v>
      </c>
      <c r="G29" s="11"/>
    </row>
    <row r="30" spans="2:18" x14ac:dyDescent="0.25">
      <c r="E30" s="8" t="s">
        <v>59</v>
      </c>
      <c r="G30" s="11"/>
    </row>
    <row r="31" spans="2:18" x14ac:dyDescent="0.25">
      <c r="E31" s="8" t="s">
        <v>60</v>
      </c>
      <c r="G31" s="11"/>
    </row>
    <row r="32" spans="2:18" ht="8.25" customHeight="1" x14ac:dyDescent="0.25"/>
    <row r="33" spans="2:8" x14ac:dyDescent="0.25">
      <c r="B33" s="200" t="s">
        <v>109</v>
      </c>
      <c r="C33" s="200"/>
      <c r="D33" s="200"/>
      <c r="E33" s="200"/>
      <c r="F33" s="200"/>
      <c r="G33" s="200"/>
    </row>
    <row r="34" spans="2:8" x14ac:dyDescent="0.25">
      <c r="B34" s="37" t="s">
        <v>74</v>
      </c>
      <c r="F34" s="12" t="s">
        <v>75</v>
      </c>
      <c r="G34">
        <f>Y83</f>
        <v>185.22184000000001</v>
      </c>
    </row>
    <row r="35" spans="2:8" x14ac:dyDescent="0.25">
      <c r="B35" s="37" t="s">
        <v>90</v>
      </c>
      <c r="F35" s="12" t="s">
        <v>101</v>
      </c>
      <c r="G35" s="2">
        <f>198+M83</f>
        <v>627.25</v>
      </c>
    </row>
    <row r="36" spans="2:8" x14ac:dyDescent="0.25">
      <c r="B36" s="37" t="s">
        <v>76</v>
      </c>
      <c r="F36" s="12" t="s">
        <v>101</v>
      </c>
      <c r="G36" s="2">
        <f>G35/(0.584+0.965*J83-J83^2)</f>
        <v>953.26168229980362</v>
      </c>
      <c r="H36" s="2"/>
    </row>
    <row r="37" spans="2:8" x14ac:dyDescent="0.25">
      <c r="B37" s="37" t="s">
        <v>81</v>
      </c>
      <c r="F37" s="12" t="s">
        <v>79</v>
      </c>
      <c r="G37" s="2">
        <f>(0.113+0.0032*Z83-K83)^-2</f>
        <v>35.304638429310756</v>
      </c>
    </row>
    <row r="38" spans="2:8" x14ac:dyDescent="0.25">
      <c r="B38" s="37" t="s">
        <v>80</v>
      </c>
      <c r="F38" s="12" t="s">
        <v>82</v>
      </c>
      <c r="G38" s="2">
        <f>17.5+L83</f>
        <v>538.5</v>
      </c>
    </row>
    <row r="39" spans="2:8" x14ac:dyDescent="0.25">
      <c r="B39" s="37" t="s">
        <v>83</v>
      </c>
      <c r="G39" s="14">
        <f>G37*G38/(83.1447*G36)</f>
        <v>0.23986714651265431</v>
      </c>
    </row>
    <row r="40" spans="2:8" x14ac:dyDescent="0.25">
      <c r="B40" s="37" t="s">
        <v>110</v>
      </c>
      <c r="G40" s="14">
        <f>J139</f>
        <v>0.26275039812340373</v>
      </c>
    </row>
    <row r="41" spans="2:8" x14ac:dyDescent="0.25">
      <c r="B41" s="37" t="s">
        <v>87</v>
      </c>
      <c r="F41" s="12" t="s">
        <v>101</v>
      </c>
      <c r="G41">
        <f>122.5+N83</f>
        <v>395.85</v>
      </c>
    </row>
    <row r="42" spans="2:8" x14ac:dyDescent="0.25">
      <c r="B42" s="37" t="s">
        <v>88</v>
      </c>
      <c r="F42" s="12" t="s">
        <v>67</v>
      </c>
      <c r="G42">
        <f>68.29+O83</f>
        <v>72.150000000000006</v>
      </c>
    </row>
    <row r="43" spans="2:8" x14ac:dyDescent="0.25">
      <c r="B43" s="37" t="s">
        <v>89</v>
      </c>
      <c r="F43" s="12" t="s">
        <v>67</v>
      </c>
      <c r="G43">
        <f>53.88+P83</f>
        <v>226.79999999999995</v>
      </c>
    </row>
    <row r="44" spans="2:8" x14ac:dyDescent="0.25">
      <c r="B44" s="37" t="s">
        <v>91</v>
      </c>
      <c r="F44" s="12" t="s">
        <v>67</v>
      </c>
      <c r="G44" s="2">
        <f>1.092*8.3144598*G35*(LN(G37)-1.013)/(0.93 - G35/G36)/1000</f>
        <v>53.413093494869955</v>
      </c>
    </row>
    <row r="45" spans="2:8" x14ac:dyDescent="0.25">
      <c r="B45" s="38" t="s">
        <v>92</v>
      </c>
      <c r="C45" s="24"/>
      <c r="D45" s="24"/>
      <c r="E45" s="24"/>
      <c r="F45" s="25" t="s">
        <v>67</v>
      </c>
      <c r="G45" s="26">
        <f>-0.88+U83</f>
        <v>20.914000000000001</v>
      </c>
    </row>
    <row r="46" spans="2:8" ht="6.75" customHeight="1" x14ac:dyDescent="0.25">
      <c r="B46" s="24"/>
      <c r="C46" s="24"/>
      <c r="D46" s="24"/>
      <c r="E46" s="24"/>
      <c r="F46" s="25"/>
      <c r="G46" s="26"/>
    </row>
    <row r="47" spans="2:8" x14ac:dyDescent="0.25">
      <c r="B47" s="23" t="s">
        <v>98</v>
      </c>
      <c r="C47" s="23"/>
      <c r="D47" s="23"/>
      <c r="E47" s="23"/>
      <c r="F47" s="22" t="s">
        <v>101</v>
      </c>
      <c r="G47" s="39">
        <v>357.15</v>
      </c>
    </row>
    <row r="48" spans="2:8" x14ac:dyDescent="0.25">
      <c r="B48" s="37" t="s">
        <v>108</v>
      </c>
      <c r="F48" s="12"/>
      <c r="G48" s="19">
        <f>G47/G36</f>
        <v>0.37466102606616181</v>
      </c>
    </row>
    <row r="49" spans="2:7" x14ac:dyDescent="0.25">
      <c r="B49" s="37" t="s">
        <v>99</v>
      </c>
      <c r="F49" s="12" t="s">
        <v>100</v>
      </c>
      <c r="G49" s="2">
        <f>J142+J143*G47+J144*G47^2+J145*G47^3</f>
        <v>235.06593785318461</v>
      </c>
    </row>
    <row r="50" spans="2:7" x14ac:dyDescent="0.25">
      <c r="B50" s="37" t="s">
        <v>102</v>
      </c>
      <c r="F50" s="12" t="s">
        <v>67</v>
      </c>
      <c r="G50" s="2">
        <f>G44*( ((G36-G47)/(G36-G35))^0.38)</f>
        <v>67.180561615650561</v>
      </c>
    </row>
    <row r="51" spans="2:7" x14ac:dyDescent="0.25">
      <c r="B51" s="37" t="s">
        <v>103</v>
      </c>
      <c r="F51" s="12" t="s">
        <v>104</v>
      </c>
      <c r="G51" s="18">
        <f>G34*EXP(J148/G47+J149)</f>
        <v>1.1120071032981549E-3</v>
      </c>
    </row>
    <row r="52" spans="2:7" x14ac:dyDescent="0.25">
      <c r="B52" s="37" t="s">
        <v>105</v>
      </c>
      <c r="F52" s="12" t="s">
        <v>106</v>
      </c>
      <c r="G52" s="3">
        <f>G34/( (83.1447*G36/G37)*(G39^(1 + ((1-G47/G36)^(2/7)))  ) )</f>
        <v>1.1986886883050178</v>
      </c>
    </row>
    <row r="53" spans="2:7" x14ac:dyDescent="0.25">
      <c r="B53" s="37" t="s">
        <v>107</v>
      </c>
      <c r="F53" s="12" t="s">
        <v>79</v>
      </c>
      <c r="G53" s="3">
        <f>G37*EXP( (5.92714-6.09648/G48-1.28862*LN(G48)+0.169347*(G48^6) )+G40*(15.2518-15.6875/G48-13.4721*LN(G48)+0.43577*(G48^6)) )</f>
        <v>1.1927476630320542E-4</v>
      </c>
    </row>
    <row r="83" spans="8:26" x14ac:dyDescent="0.25">
      <c r="H83" s="27"/>
      <c r="I83" s="27"/>
      <c r="J83" s="27">
        <f>SUMPRODUCT($H$88:$H$133,J88:J133)</f>
        <v>8.4000000000000005E-2</v>
      </c>
      <c r="K83" s="27">
        <f t="shared" ref="K83:Z83" si="0">SUMPRODUCT($H$88:$H$133,K88:K133)</f>
        <v>2.47E-2</v>
      </c>
      <c r="L83" s="27">
        <f t="shared" si="0"/>
        <v>521</v>
      </c>
      <c r="M83" s="27">
        <f t="shared" si="0"/>
        <v>429.25000000000006</v>
      </c>
      <c r="N83" s="27">
        <f t="shared" si="0"/>
        <v>273.35000000000002</v>
      </c>
      <c r="O83" s="27">
        <f t="shared" si="0"/>
        <v>3.8599999999999959</v>
      </c>
      <c r="P83" s="27">
        <f t="shared" si="0"/>
        <v>172.91999999999996</v>
      </c>
      <c r="Q83" s="27">
        <f t="shared" si="0"/>
        <v>8.3899999999999935</v>
      </c>
      <c r="R83" s="27">
        <f t="shared" si="0"/>
        <v>0.71519999999999995</v>
      </c>
      <c r="S83" s="27">
        <f t="shared" si="0"/>
        <v>-1.6576000000000007E-4</v>
      </c>
      <c r="T83" s="27">
        <f t="shared" si="0"/>
        <v>-9.2100000000000024E-8</v>
      </c>
      <c r="U83" s="27">
        <f>SUMPRODUCT($H$88:$H$133,U88:U133)</f>
        <v>21.794</v>
      </c>
      <c r="V83" s="27">
        <f t="shared" si="0"/>
        <v>45.271000000000001</v>
      </c>
      <c r="W83" s="27">
        <f t="shared" si="0"/>
        <v>1721.7199999999998</v>
      </c>
      <c r="X83" s="27">
        <f t="shared" si="0"/>
        <v>-3.9679999999999995</v>
      </c>
      <c r="Y83" s="27">
        <f t="shared" si="0"/>
        <v>185.22184000000001</v>
      </c>
      <c r="Z83" s="27">
        <f t="shared" si="0"/>
        <v>25</v>
      </c>
    </row>
    <row r="84" spans="8:26" ht="18" x14ac:dyDescent="0.25">
      <c r="H84" s="27"/>
      <c r="I84" s="28" t="s">
        <v>0</v>
      </c>
      <c r="J84" s="29" t="s">
        <v>1</v>
      </c>
      <c r="K84" s="29" t="s">
        <v>2</v>
      </c>
      <c r="L84" s="29" t="s">
        <v>3</v>
      </c>
      <c r="M84" s="29" t="s">
        <v>4</v>
      </c>
      <c r="N84" s="29" t="s">
        <v>5</v>
      </c>
      <c r="O84" s="29" t="s">
        <v>6</v>
      </c>
      <c r="P84" s="29" t="s">
        <v>7</v>
      </c>
      <c r="Q84" s="29" t="s">
        <v>8</v>
      </c>
      <c r="R84" s="29" t="s">
        <v>9</v>
      </c>
      <c r="S84" s="29" t="s">
        <v>10</v>
      </c>
      <c r="T84" s="29" t="s">
        <v>11</v>
      </c>
      <c r="U84" s="29" t="s">
        <v>12</v>
      </c>
      <c r="V84" s="29" t="s">
        <v>13</v>
      </c>
      <c r="W84" s="29" t="s">
        <v>8</v>
      </c>
      <c r="X84" s="29" t="s">
        <v>9</v>
      </c>
      <c r="Y84" s="29" t="s">
        <v>72</v>
      </c>
      <c r="Z84" s="29" t="s">
        <v>70</v>
      </c>
    </row>
    <row r="85" spans="8:26" x14ac:dyDescent="0.25">
      <c r="H85" s="27"/>
      <c r="I85" s="201"/>
      <c r="J85" s="202" t="s">
        <v>14</v>
      </c>
      <c r="K85" s="202"/>
      <c r="L85" s="202"/>
      <c r="M85" s="202" t="s">
        <v>15</v>
      </c>
      <c r="N85" s="202"/>
      <c r="O85" s="202" t="s">
        <v>17</v>
      </c>
      <c r="P85" s="202"/>
      <c r="Q85" s="202" t="s">
        <v>19</v>
      </c>
      <c r="R85" s="202"/>
      <c r="S85" s="202"/>
      <c r="T85" s="202"/>
      <c r="U85" s="202" t="s">
        <v>20</v>
      </c>
      <c r="V85" s="202"/>
      <c r="W85" s="202" t="s">
        <v>21</v>
      </c>
      <c r="X85" s="202"/>
      <c r="Y85" s="29" t="s">
        <v>73</v>
      </c>
      <c r="Z85" s="29" t="s">
        <v>71</v>
      </c>
    </row>
    <row r="86" spans="8:26" x14ac:dyDescent="0.25">
      <c r="H86" s="27"/>
      <c r="I86" s="201"/>
      <c r="J86" s="202"/>
      <c r="K86" s="202"/>
      <c r="L86" s="202"/>
      <c r="M86" s="202" t="s">
        <v>16</v>
      </c>
      <c r="N86" s="202"/>
      <c r="O86" s="202" t="s">
        <v>18</v>
      </c>
      <c r="P86" s="202"/>
      <c r="Q86" s="202"/>
      <c r="R86" s="202"/>
      <c r="S86" s="202"/>
      <c r="T86" s="202"/>
      <c r="U86" s="202" t="s">
        <v>16</v>
      </c>
      <c r="V86" s="202"/>
      <c r="W86" s="202"/>
      <c r="X86" s="202"/>
      <c r="Y86" s="27"/>
      <c r="Z86" s="27"/>
    </row>
    <row r="87" spans="8:26" x14ac:dyDescent="0.25">
      <c r="H87" s="27"/>
      <c r="I87" s="30" t="s">
        <v>22</v>
      </c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8:26" ht="18" x14ac:dyDescent="0.25">
      <c r="H88" s="27">
        <f>C8</f>
        <v>0</v>
      </c>
      <c r="I88" s="31" t="s">
        <v>63</v>
      </c>
      <c r="J88" s="32">
        <v>1.41E-2</v>
      </c>
      <c r="K88" s="32">
        <v>-1.1999999999999999E-3</v>
      </c>
      <c r="L88" s="32">
        <v>65</v>
      </c>
      <c r="M88" s="32">
        <v>23.58</v>
      </c>
      <c r="N88" s="32">
        <v>-5.0999999999999996</v>
      </c>
      <c r="O88" s="32">
        <v>-76.45</v>
      </c>
      <c r="P88" s="32">
        <v>-43.96</v>
      </c>
      <c r="Q88" s="33">
        <v>19.5</v>
      </c>
      <c r="R88" s="33">
        <v>-8.0800000000000004E-3</v>
      </c>
      <c r="S88" s="33">
        <v>1.5300000000000001E-4</v>
      </c>
      <c r="T88" s="33">
        <v>-9.6699999999999999E-8</v>
      </c>
      <c r="U88" s="32">
        <v>0.90800000000000003</v>
      </c>
      <c r="V88" s="32">
        <v>2.3730000000000002</v>
      </c>
      <c r="W88" s="32">
        <v>548.29</v>
      </c>
      <c r="X88" s="32">
        <v>-1.7190000000000001</v>
      </c>
      <c r="Y88" s="34">
        <v>15.034520000000001</v>
      </c>
      <c r="Z88" s="27">
        <v>4</v>
      </c>
    </row>
    <row r="89" spans="8:26" ht="18" x14ac:dyDescent="0.25">
      <c r="H89" s="27">
        <f t="shared" ref="H89:H97" si="1">C9</f>
        <v>0</v>
      </c>
      <c r="I89" s="41" t="s">
        <v>23</v>
      </c>
      <c r="J89" s="32">
        <v>1.89E-2</v>
      </c>
      <c r="K89" s="32">
        <v>0</v>
      </c>
      <c r="L89" s="32">
        <v>56</v>
      </c>
      <c r="M89" s="32">
        <v>22.88</v>
      </c>
      <c r="N89" s="32">
        <v>11.27</v>
      </c>
      <c r="O89" s="32">
        <v>-20.64</v>
      </c>
      <c r="P89" s="32">
        <v>8.42</v>
      </c>
      <c r="Q89" s="33">
        <v>-0.90900000000000003</v>
      </c>
      <c r="R89" s="33">
        <v>9.5000000000000001E-2</v>
      </c>
      <c r="S89" s="33">
        <v>-5.4400000000000001E-5</v>
      </c>
      <c r="T89" s="33">
        <v>1.1900000000000001E-8</v>
      </c>
      <c r="U89" s="32">
        <v>2.59</v>
      </c>
      <c r="V89" s="32">
        <v>2.226</v>
      </c>
      <c r="W89" s="32">
        <v>94.16</v>
      </c>
      <c r="X89" s="32">
        <v>-0.19900000000000001</v>
      </c>
      <c r="Y89" s="27">
        <v>14.026579999999999</v>
      </c>
      <c r="Z89" s="27">
        <v>3</v>
      </c>
    </row>
    <row r="90" spans="8:26" x14ac:dyDescent="0.25">
      <c r="H90" s="27">
        <f t="shared" si="1"/>
        <v>0</v>
      </c>
      <c r="I90" s="41" t="s">
        <v>24</v>
      </c>
      <c r="J90" s="32">
        <v>1.6400000000000001E-2</v>
      </c>
      <c r="K90" s="32">
        <v>2E-3</v>
      </c>
      <c r="L90" s="32">
        <v>41</v>
      </c>
      <c r="M90" s="32">
        <v>21.74</v>
      </c>
      <c r="N90" s="32">
        <v>12.64</v>
      </c>
      <c r="O90" s="32">
        <v>29.89</v>
      </c>
      <c r="P90" s="32">
        <v>58.36</v>
      </c>
      <c r="Q90" s="33">
        <v>-23</v>
      </c>
      <c r="R90" s="33">
        <v>0.20399999999999999</v>
      </c>
      <c r="S90" s="33">
        <v>-2.6499999999999999E-4</v>
      </c>
      <c r="T90" s="33">
        <v>1.1999999999999999E-7</v>
      </c>
      <c r="U90" s="32">
        <v>0.749</v>
      </c>
      <c r="V90" s="32">
        <v>1.6910000000000001</v>
      </c>
      <c r="W90" s="32">
        <v>-322.14999999999998</v>
      </c>
      <c r="X90" s="32">
        <v>1.1870000000000001</v>
      </c>
      <c r="Y90" s="27">
        <v>13.01864</v>
      </c>
      <c r="Z90" s="27">
        <v>2</v>
      </c>
    </row>
    <row r="91" spans="8:26" x14ac:dyDescent="0.25">
      <c r="H91" s="27">
        <f t="shared" si="1"/>
        <v>0</v>
      </c>
      <c r="I91" s="41" t="s">
        <v>25</v>
      </c>
      <c r="J91" s="32">
        <v>6.7000000000000002E-3</v>
      </c>
      <c r="K91" s="32">
        <v>4.3E-3</v>
      </c>
      <c r="L91" s="32">
        <v>27</v>
      </c>
      <c r="M91" s="32">
        <v>18.25</v>
      </c>
      <c r="N91" s="32">
        <v>46.43</v>
      </c>
      <c r="O91" s="32">
        <v>82.23</v>
      </c>
      <c r="P91" s="32">
        <v>116.02</v>
      </c>
      <c r="Q91" s="33">
        <v>-66.2</v>
      </c>
      <c r="R91" s="33">
        <v>0.42699999999999999</v>
      </c>
      <c r="S91" s="33">
        <v>-6.4099999999999997E-4</v>
      </c>
      <c r="T91" s="33">
        <v>3.0100000000000001E-7</v>
      </c>
      <c r="U91" s="32">
        <v>-1.46</v>
      </c>
      <c r="V91" s="32">
        <v>0.63600000000000001</v>
      </c>
      <c r="W91" s="32">
        <v>-573.55999999999995</v>
      </c>
      <c r="X91" s="32">
        <v>2.3069999999999999</v>
      </c>
      <c r="Y91" s="27">
        <v>12.0107</v>
      </c>
      <c r="Z91" s="27">
        <v>1</v>
      </c>
    </row>
    <row r="92" spans="8:26" ht="18" x14ac:dyDescent="0.25">
      <c r="H92" s="27">
        <f t="shared" si="1"/>
        <v>0</v>
      </c>
      <c r="I92" s="31" t="s">
        <v>111</v>
      </c>
      <c r="J92" s="32">
        <v>1.1299999999999999E-2</v>
      </c>
      <c r="K92" s="32">
        <v>-2.8E-3</v>
      </c>
      <c r="L92" s="32">
        <v>56</v>
      </c>
      <c r="M92" s="32">
        <v>18.18</v>
      </c>
      <c r="N92" s="32">
        <v>-4.32</v>
      </c>
      <c r="O92" s="32">
        <v>-9.6300000000000008</v>
      </c>
      <c r="P92" s="32">
        <v>3.77</v>
      </c>
      <c r="Q92" s="33">
        <v>23.6</v>
      </c>
      <c r="R92" s="33">
        <v>-3.8100000000000002E-2</v>
      </c>
      <c r="S92" s="33">
        <v>1.7200000000000001E-4</v>
      </c>
      <c r="T92" s="33">
        <v>-1.03E-7</v>
      </c>
      <c r="U92" s="32">
        <v>-0.47299999999999998</v>
      </c>
      <c r="V92" s="32">
        <v>1.724</v>
      </c>
      <c r="W92" s="32">
        <v>495.01</v>
      </c>
      <c r="X92" s="32">
        <v>-1.5389999999999999</v>
      </c>
      <c r="Y92" s="27">
        <v>14.026579999999999</v>
      </c>
      <c r="Z92" s="27">
        <v>3</v>
      </c>
    </row>
    <row r="93" spans="8:26" x14ac:dyDescent="0.25">
      <c r="H93" s="27">
        <f t="shared" si="1"/>
        <v>0</v>
      </c>
      <c r="I93" s="41" t="s">
        <v>26</v>
      </c>
      <c r="J93" s="40">
        <v>1.29E-2</v>
      </c>
      <c r="K93" s="32">
        <v>-5.9999999999999995E-4</v>
      </c>
      <c r="L93" s="32">
        <v>46</v>
      </c>
      <c r="M93" s="32">
        <v>24.96</v>
      </c>
      <c r="N93" s="32">
        <v>8.73</v>
      </c>
      <c r="O93" s="32">
        <v>37.97</v>
      </c>
      <c r="P93" s="32">
        <v>48.53</v>
      </c>
      <c r="Q93" s="32">
        <v>-8</v>
      </c>
      <c r="R93" s="33">
        <v>0.105</v>
      </c>
      <c r="S93" s="33">
        <v>-9.6299999999999996E-5</v>
      </c>
      <c r="T93" s="33">
        <v>3.5600000000000001E-8</v>
      </c>
      <c r="U93" s="32">
        <v>2.6909999999999998</v>
      </c>
      <c r="V93" s="32">
        <v>2.2050000000000001</v>
      </c>
      <c r="W93" s="32">
        <v>82.28</v>
      </c>
      <c r="X93" s="32">
        <v>-0.24199999999999999</v>
      </c>
      <c r="Y93" s="27">
        <v>13.01864</v>
      </c>
      <c r="Z93" s="27">
        <v>2</v>
      </c>
    </row>
    <row r="94" spans="8:26" x14ac:dyDescent="0.25">
      <c r="H94" s="27">
        <f t="shared" si="1"/>
        <v>0</v>
      </c>
      <c r="I94" s="41" t="s">
        <v>27</v>
      </c>
      <c r="J94" s="32">
        <v>1.17E-2</v>
      </c>
      <c r="K94" s="32">
        <v>1.1000000000000001E-3</v>
      </c>
      <c r="L94" s="32">
        <v>38</v>
      </c>
      <c r="M94" s="32">
        <v>24.14</v>
      </c>
      <c r="N94" s="32">
        <v>11.14</v>
      </c>
      <c r="O94" s="32">
        <v>83.99</v>
      </c>
      <c r="P94" s="32">
        <v>92.36</v>
      </c>
      <c r="Q94" s="33">
        <v>-28.1</v>
      </c>
      <c r="R94" s="33">
        <v>0.20799999999999999</v>
      </c>
      <c r="S94" s="33">
        <v>-3.0600000000000001E-4</v>
      </c>
      <c r="T94" s="33">
        <v>1.4600000000000001E-7</v>
      </c>
      <c r="U94" s="32">
        <v>3.0630000000000002</v>
      </c>
      <c r="V94" s="32">
        <v>2.1379999999999999</v>
      </c>
      <c r="W94" s="32" t="s">
        <v>28</v>
      </c>
      <c r="X94" s="32" t="s">
        <v>28</v>
      </c>
      <c r="Y94" s="27">
        <v>12.0107</v>
      </c>
      <c r="Z94" s="27">
        <v>1</v>
      </c>
    </row>
    <row r="95" spans="8:26" x14ac:dyDescent="0.25">
      <c r="H95" s="27">
        <f t="shared" si="1"/>
        <v>0</v>
      </c>
      <c r="I95" s="41" t="s">
        <v>29</v>
      </c>
      <c r="J95" s="32">
        <v>2.5999999999999999E-3</v>
      </c>
      <c r="K95" s="32">
        <v>2.8E-3</v>
      </c>
      <c r="L95" s="32">
        <v>36</v>
      </c>
      <c r="M95" s="32">
        <v>26.15</v>
      </c>
      <c r="N95" s="32">
        <v>17.78</v>
      </c>
      <c r="O95" s="32">
        <v>142.13999999999999</v>
      </c>
      <c r="P95" s="32">
        <v>136.69999999999999</v>
      </c>
      <c r="Q95" s="33">
        <v>27.4</v>
      </c>
      <c r="R95" s="33">
        <v>-5.57E-2</v>
      </c>
      <c r="S95" s="33">
        <v>1.01E-4</v>
      </c>
      <c r="T95" s="33">
        <v>-5.02E-8</v>
      </c>
      <c r="U95" s="32">
        <v>4.72</v>
      </c>
      <c r="V95" s="32">
        <v>2.661</v>
      </c>
      <c r="W95" s="32" t="s">
        <v>28</v>
      </c>
      <c r="X95" s="32" t="s">
        <v>28</v>
      </c>
      <c r="Y95" s="27">
        <v>12.0107</v>
      </c>
      <c r="Z95" s="27">
        <v>1</v>
      </c>
    </row>
    <row r="96" spans="8:26" x14ac:dyDescent="0.25">
      <c r="H96" s="27">
        <f t="shared" si="1"/>
        <v>0</v>
      </c>
      <c r="I96" s="41" t="s">
        <v>30</v>
      </c>
      <c r="J96" s="32">
        <v>2.7000000000000001E-3</v>
      </c>
      <c r="K96" s="32">
        <v>-8.0000000000000004E-4</v>
      </c>
      <c r="L96" s="32">
        <v>46</v>
      </c>
      <c r="M96" s="32">
        <v>9.1999999999999993</v>
      </c>
      <c r="N96" s="32">
        <v>-11.18</v>
      </c>
      <c r="O96" s="32">
        <v>79.3</v>
      </c>
      <c r="P96" s="32">
        <v>77.709999999999994</v>
      </c>
      <c r="Q96" s="33">
        <v>24.5</v>
      </c>
      <c r="R96" s="33">
        <v>-2.7099999999999999E-2</v>
      </c>
      <c r="S96" s="33">
        <v>1.11E-4</v>
      </c>
      <c r="T96" s="33">
        <v>-6.7799999999999998E-8</v>
      </c>
      <c r="U96" s="32">
        <v>2.3220000000000001</v>
      </c>
      <c r="V96" s="32">
        <v>1.155</v>
      </c>
      <c r="W96" s="32" t="s">
        <v>28</v>
      </c>
      <c r="X96" s="32" t="s">
        <v>28</v>
      </c>
      <c r="Y96" s="27">
        <v>13.01864</v>
      </c>
      <c r="Z96" s="27">
        <v>2</v>
      </c>
    </row>
    <row r="97" spans="8:26" x14ac:dyDescent="0.25">
      <c r="H97" s="27">
        <f t="shared" si="1"/>
        <v>0</v>
      </c>
      <c r="I97" s="41" t="s">
        <v>31</v>
      </c>
      <c r="J97" s="32">
        <v>2E-3</v>
      </c>
      <c r="K97" s="32">
        <v>1.6000000000000001E-3</v>
      </c>
      <c r="L97" s="32">
        <v>37</v>
      </c>
      <c r="M97" s="32">
        <v>27.38</v>
      </c>
      <c r="N97" s="32">
        <v>64.319999999999993</v>
      </c>
      <c r="O97" s="32">
        <v>115.51</v>
      </c>
      <c r="P97" s="32">
        <v>109.82</v>
      </c>
      <c r="Q97" s="32">
        <v>7.87</v>
      </c>
      <c r="R97" s="33">
        <v>2.01E-2</v>
      </c>
      <c r="S97" s="33">
        <v>-8.3299999999999999E-6</v>
      </c>
      <c r="T97" s="33">
        <v>1.39E-9</v>
      </c>
      <c r="U97" s="32">
        <v>4.1509999999999998</v>
      </c>
      <c r="V97" s="32">
        <v>3.302</v>
      </c>
      <c r="W97" s="32" t="s">
        <v>28</v>
      </c>
      <c r="X97" s="32" t="s">
        <v>28</v>
      </c>
      <c r="Y97" s="27">
        <v>12.0107</v>
      </c>
      <c r="Z97" s="27">
        <v>1</v>
      </c>
    </row>
    <row r="98" spans="8:26" x14ac:dyDescent="0.25">
      <c r="H98" s="27"/>
      <c r="I98" s="30" t="s">
        <v>32</v>
      </c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spans="8:26" ht="18" x14ac:dyDescent="0.25">
      <c r="H99" s="27">
        <f>C19</f>
        <v>0</v>
      </c>
      <c r="I99" s="41" t="s">
        <v>23</v>
      </c>
      <c r="J99" s="32">
        <v>0.01</v>
      </c>
      <c r="K99" s="32">
        <v>2.5000000000000001E-3</v>
      </c>
      <c r="L99" s="32">
        <v>48</v>
      </c>
      <c r="M99" s="32">
        <v>27.15</v>
      </c>
      <c r="N99" s="32">
        <v>7.75</v>
      </c>
      <c r="O99" s="32">
        <v>-26.8</v>
      </c>
      <c r="P99" s="32">
        <v>-3.68</v>
      </c>
      <c r="Q99" s="32">
        <v>-6.03</v>
      </c>
      <c r="R99" s="33">
        <v>8.5400000000000004E-2</v>
      </c>
      <c r="S99" s="33">
        <v>-7.9999999999999996E-6</v>
      </c>
      <c r="T99" s="33">
        <v>-1.7999999999999999E-8</v>
      </c>
      <c r="U99" s="32">
        <v>0.49</v>
      </c>
      <c r="V99" s="32">
        <v>2.3980000000000001</v>
      </c>
      <c r="W99" s="32">
        <v>307.52999999999997</v>
      </c>
      <c r="X99" s="32">
        <v>-0.79800000000000004</v>
      </c>
      <c r="Y99" s="27">
        <v>14.026579999999999</v>
      </c>
      <c r="Z99" s="27">
        <v>3</v>
      </c>
    </row>
    <row r="100" spans="8:26" x14ac:dyDescent="0.25">
      <c r="H100" s="27">
        <f t="shared" ref="H100:H103" si="2">C20</f>
        <v>0</v>
      </c>
      <c r="I100" s="41" t="s">
        <v>24</v>
      </c>
      <c r="J100" s="32">
        <v>1.2200000000000001E-2</v>
      </c>
      <c r="K100" s="32">
        <v>4.0000000000000002E-4</v>
      </c>
      <c r="L100" s="32">
        <v>38</v>
      </c>
      <c r="M100" s="32">
        <v>21.78</v>
      </c>
      <c r="N100" s="32">
        <v>19.88</v>
      </c>
      <c r="O100" s="32">
        <v>8.67</v>
      </c>
      <c r="P100" s="32">
        <v>40.99</v>
      </c>
      <c r="Q100" s="33">
        <v>-20.5</v>
      </c>
      <c r="R100" s="33">
        <v>0.16200000000000001</v>
      </c>
      <c r="S100" s="33">
        <v>-1.6000000000000001E-4</v>
      </c>
      <c r="T100" s="33">
        <v>6.2400000000000003E-8</v>
      </c>
      <c r="U100" s="32">
        <v>3.2429999999999999</v>
      </c>
      <c r="V100" s="32">
        <v>1.9419999999999999</v>
      </c>
      <c r="W100" s="32">
        <v>-394.29</v>
      </c>
      <c r="X100" s="32">
        <v>1.2509999999999999</v>
      </c>
      <c r="Y100" s="27">
        <v>13.01864</v>
      </c>
      <c r="Z100" s="27">
        <v>2</v>
      </c>
    </row>
    <row r="101" spans="8:26" x14ac:dyDescent="0.25">
      <c r="H101" s="27">
        <f t="shared" si="2"/>
        <v>0</v>
      </c>
      <c r="I101" s="41" t="s">
        <v>25</v>
      </c>
      <c r="J101" s="32">
        <v>4.1999999999999997E-3</v>
      </c>
      <c r="K101" s="32">
        <v>6.1000000000000004E-3</v>
      </c>
      <c r="L101" s="32">
        <v>27</v>
      </c>
      <c r="M101" s="32">
        <v>21.32</v>
      </c>
      <c r="N101" s="32">
        <v>60.15</v>
      </c>
      <c r="O101" s="32">
        <v>79.72</v>
      </c>
      <c r="P101" s="32">
        <v>87.88</v>
      </c>
      <c r="Q101" s="33">
        <v>-90.9</v>
      </c>
      <c r="R101" s="33">
        <v>0.55700000000000005</v>
      </c>
      <c r="S101" s="33">
        <v>-8.9999999999999998E-4</v>
      </c>
      <c r="T101" s="33">
        <v>4.6899999999999998E-7</v>
      </c>
      <c r="U101" s="32">
        <v>-1.373</v>
      </c>
      <c r="V101" s="32">
        <v>0.64400000000000002</v>
      </c>
      <c r="W101" s="32" t="s">
        <v>28</v>
      </c>
      <c r="X101" s="32" t="s">
        <v>28</v>
      </c>
      <c r="Y101" s="27">
        <v>12.0107</v>
      </c>
      <c r="Z101" s="27">
        <v>1</v>
      </c>
    </row>
    <row r="102" spans="8:26" x14ac:dyDescent="0.25">
      <c r="H102" s="27">
        <f t="shared" si="2"/>
        <v>9</v>
      </c>
      <c r="I102" s="41" t="s">
        <v>26</v>
      </c>
      <c r="J102" s="32" t="s">
        <v>33</v>
      </c>
      <c r="K102" s="32">
        <v>1.1000000000000001E-3</v>
      </c>
      <c r="L102" s="32">
        <v>41</v>
      </c>
      <c r="M102" s="32">
        <v>26.73</v>
      </c>
      <c r="N102" s="32">
        <v>8.1300000000000008</v>
      </c>
      <c r="O102" s="32">
        <v>2.09</v>
      </c>
      <c r="P102" s="32">
        <v>11.3</v>
      </c>
      <c r="Q102" s="32">
        <v>-2.14</v>
      </c>
      <c r="R102" s="33">
        <v>5.74E-2</v>
      </c>
      <c r="S102" s="33">
        <v>-1.64E-6</v>
      </c>
      <c r="T102" s="33">
        <v>-1.59E-8</v>
      </c>
      <c r="U102" s="32">
        <v>1.101</v>
      </c>
      <c r="V102" s="32">
        <v>2.544</v>
      </c>
      <c r="W102" s="32">
        <v>259.64999999999998</v>
      </c>
      <c r="X102" s="32">
        <v>-0.70199999999999996</v>
      </c>
      <c r="Y102" s="27">
        <v>13.01864</v>
      </c>
      <c r="Z102" s="27">
        <v>2</v>
      </c>
    </row>
    <row r="103" spans="8:26" x14ac:dyDescent="0.25">
      <c r="H103" s="27">
        <f t="shared" si="2"/>
        <v>3</v>
      </c>
      <c r="I103" s="41" t="s">
        <v>27</v>
      </c>
      <c r="J103" s="32">
        <v>1.43E-2</v>
      </c>
      <c r="K103" s="32">
        <v>8.0000000000000004E-4</v>
      </c>
      <c r="L103" s="32">
        <v>32</v>
      </c>
      <c r="M103" s="32">
        <v>31.01</v>
      </c>
      <c r="N103" s="32">
        <v>37.020000000000003</v>
      </c>
      <c r="O103" s="32">
        <v>46.43</v>
      </c>
      <c r="P103" s="32">
        <v>54.05</v>
      </c>
      <c r="Q103" s="32">
        <v>-8.25</v>
      </c>
      <c r="R103" s="33">
        <v>0.10100000000000001</v>
      </c>
      <c r="S103" s="33">
        <v>-1.4200000000000001E-4</v>
      </c>
      <c r="T103" s="33">
        <v>6.7799999999999998E-8</v>
      </c>
      <c r="U103" s="32">
        <v>2.3940000000000001</v>
      </c>
      <c r="V103" s="32">
        <v>3.0590000000000002</v>
      </c>
      <c r="W103" s="32">
        <v>-245.74</v>
      </c>
      <c r="X103" s="32">
        <v>0.91200000000000003</v>
      </c>
      <c r="Y103" s="27">
        <v>12.0107</v>
      </c>
      <c r="Z103" s="27">
        <v>1</v>
      </c>
    </row>
    <row r="104" spans="8:26" x14ac:dyDescent="0.25">
      <c r="H104" s="27"/>
      <c r="I104" s="30" t="s">
        <v>34</v>
      </c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spans="8:26" x14ac:dyDescent="0.25">
      <c r="H105" s="27">
        <f>C25</f>
        <v>0</v>
      </c>
      <c r="I105" s="41" t="s">
        <v>35</v>
      </c>
      <c r="J105" s="32">
        <v>1.11E-2</v>
      </c>
      <c r="K105" s="32">
        <v>-5.7000000000000002E-3</v>
      </c>
      <c r="L105" s="32">
        <v>27</v>
      </c>
      <c r="M105" s="32">
        <v>-0.03</v>
      </c>
      <c r="N105" s="32">
        <v>-15.78</v>
      </c>
      <c r="O105" s="32">
        <v>-251.92</v>
      </c>
      <c r="P105" s="32">
        <v>-247.19</v>
      </c>
      <c r="Q105" s="33">
        <v>26.5</v>
      </c>
      <c r="R105" s="33">
        <v>-9.1300000000000006E-2</v>
      </c>
      <c r="S105" s="33">
        <v>1.9100000000000001E-4</v>
      </c>
      <c r="T105" s="33">
        <v>-1.03E-7</v>
      </c>
      <c r="U105" s="32">
        <v>1.3979999999999999</v>
      </c>
      <c r="V105" s="32">
        <v>-0.67</v>
      </c>
      <c r="W105" s="32" t="s">
        <v>28</v>
      </c>
      <c r="X105" s="32" t="s">
        <v>28</v>
      </c>
      <c r="Y105" s="36">
        <v>18.998403199999998</v>
      </c>
      <c r="Z105" s="27">
        <v>1</v>
      </c>
    </row>
    <row r="106" spans="8:26" x14ac:dyDescent="0.25">
      <c r="H106" s="27">
        <f t="shared" ref="H106:H108" si="3">C26</f>
        <v>0</v>
      </c>
      <c r="I106" s="41" t="s">
        <v>36</v>
      </c>
      <c r="J106" s="32">
        <v>1.0500000000000001E-2</v>
      </c>
      <c r="K106" s="32">
        <v>-4.8999999999999998E-3</v>
      </c>
      <c r="L106" s="32">
        <v>58</v>
      </c>
      <c r="M106" s="32">
        <v>38.130000000000003</v>
      </c>
      <c r="N106" s="32">
        <v>13.55</v>
      </c>
      <c r="O106" s="32">
        <v>-71.55</v>
      </c>
      <c r="P106" s="32">
        <v>-64.31</v>
      </c>
      <c r="Q106" s="33">
        <v>33.299999999999997</v>
      </c>
      <c r="R106" s="33">
        <v>-9.6299999999999997E-2</v>
      </c>
      <c r="S106" s="33">
        <v>1.8699999999999999E-4</v>
      </c>
      <c r="T106" s="33">
        <v>-9.9600000000000005E-8</v>
      </c>
      <c r="U106" s="32">
        <v>2.5150000000000001</v>
      </c>
      <c r="V106" s="32">
        <v>4.532</v>
      </c>
      <c r="W106" s="32">
        <v>625.45000000000005</v>
      </c>
      <c r="X106" s="32">
        <v>-1.8140000000000001</v>
      </c>
      <c r="Y106" s="27">
        <v>35.453000000000003</v>
      </c>
      <c r="Z106" s="27">
        <v>1</v>
      </c>
    </row>
    <row r="107" spans="8:26" x14ac:dyDescent="0.25">
      <c r="H107" s="27">
        <f t="shared" si="3"/>
        <v>0</v>
      </c>
      <c r="I107" s="41" t="s">
        <v>37</v>
      </c>
      <c r="J107" s="32">
        <v>1.3299999999999999E-2</v>
      </c>
      <c r="K107" s="32">
        <v>5.7000000000000002E-3</v>
      </c>
      <c r="L107" s="32">
        <v>71</v>
      </c>
      <c r="M107" s="32">
        <v>66.86</v>
      </c>
      <c r="N107" s="32">
        <v>43.43</v>
      </c>
      <c r="O107" s="32">
        <v>-29.48</v>
      </c>
      <c r="P107" s="32">
        <v>-38.06</v>
      </c>
      <c r="Q107" s="33">
        <v>28.6</v>
      </c>
      <c r="R107" s="33">
        <v>-6.4899999999999999E-2</v>
      </c>
      <c r="S107" s="33">
        <v>1.36E-4</v>
      </c>
      <c r="T107" s="33">
        <v>-7.4499999999999999E-8</v>
      </c>
      <c r="U107" s="32">
        <v>3.6030000000000002</v>
      </c>
      <c r="V107" s="32">
        <v>6.5819999999999999</v>
      </c>
      <c r="W107" s="32">
        <v>738.91</v>
      </c>
      <c r="X107" s="32">
        <v>-2.0379999999999998</v>
      </c>
      <c r="Y107" s="27">
        <v>79.903999999999996</v>
      </c>
      <c r="Z107" s="27">
        <v>1</v>
      </c>
    </row>
    <row r="108" spans="8:26" x14ac:dyDescent="0.25">
      <c r="H108" s="27">
        <f t="shared" si="3"/>
        <v>0</v>
      </c>
      <c r="I108" s="41" t="s">
        <v>38</v>
      </c>
      <c r="J108" s="32">
        <v>6.7999999999999996E-3</v>
      </c>
      <c r="K108" s="32">
        <v>-3.3999999999999998E-3</v>
      </c>
      <c r="L108" s="32">
        <v>97</v>
      </c>
      <c r="M108" s="32">
        <v>93.84</v>
      </c>
      <c r="N108" s="32">
        <v>41.69</v>
      </c>
      <c r="O108" s="32">
        <v>21.06</v>
      </c>
      <c r="P108" s="32">
        <v>5.74</v>
      </c>
      <c r="Q108" s="33">
        <v>32.1</v>
      </c>
      <c r="R108" s="33">
        <v>-6.4100000000000004E-2</v>
      </c>
      <c r="S108" s="33">
        <v>1.26E-4</v>
      </c>
      <c r="T108" s="33">
        <v>-6.87E-8</v>
      </c>
      <c r="U108" s="32">
        <v>2.7240000000000002</v>
      </c>
      <c r="V108" s="32">
        <v>9.52</v>
      </c>
      <c r="W108" s="32">
        <v>809.55</v>
      </c>
      <c r="X108" s="32">
        <v>-2.2240000000000002</v>
      </c>
      <c r="Y108" s="27">
        <v>126.90447</v>
      </c>
      <c r="Z108" s="27">
        <v>1</v>
      </c>
    </row>
    <row r="109" spans="8:26" x14ac:dyDescent="0.25">
      <c r="H109" s="27"/>
      <c r="I109" s="30" t="s">
        <v>39</v>
      </c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spans="8:26" x14ac:dyDescent="0.25">
      <c r="H110" s="27">
        <f>G8</f>
        <v>0</v>
      </c>
      <c r="I110" s="41" t="s">
        <v>40</v>
      </c>
      <c r="J110" s="32">
        <v>7.4099999999999999E-2</v>
      </c>
      <c r="K110" s="32">
        <v>1.12E-2</v>
      </c>
      <c r="L110" s="32">
        <v>28</v>
      </c>
      <c r="M110" s="32">
        <v>92.88</v>
      </c>
      <c r="N110" s="32">
        <v>44.45</v>
      </c>
      <c r="O110" s="32">
        <v>-208.04</v>
      </c>
      <c r="P110" s="32">
        <v>-189.2</v>
      </c>
      <c r="Q110" s="33">
        <v>25.7</v>
      </c>
      <c r="R110" s="33">
        <v>-6.9099999999999995E-2</v>
      </c>
      <c r="S110" s="33">
        <v>1.7699999999999999E-4</v>
      </c>
      <c r="T110" s="33">
        <v>-9.8799999999999998E-8</v>
      </c>
      <c r="U110" s="32">
        <v>2.4060000000000001</v>
      </c>
      <c r="V110" s="32">
        <v>16.826000000000001</v>
      </c>
      <c r="W110" s="32">
        <v>2173.7199999999998</v>
      </c>
      <c r="X110" s="32">
        <v>-5.0570000000000004</v>
      </c>
      <c r="Y110" s="27">
        <v>17.007339999999999</v>
      </c>
      <c r="Z110" s="27">
        <v>2</v>
      </c>
    </row>
    <row r="111" spans="8:26" x14ac:dyDescent="0.25">
      <c r="H111" s="27">
        <f t="shared" ref="H111:H119" si="4">G9</f>
        <v>0</v>
      </c>
      <c r="I111" s="41" t="s">
        <v>41</v>
      </c>
      <c r="J111" s="32">
        <v>2.4E-2</v>
      </c>
      <c r="K111" s="32">
        <v>1.84E-2</v>
      </c>
      <c r="L111" s="32">
        <v>-25</v>
      </c>
      <c r="M111" s="32">
        <v>76.34</v>
      </c>
      <c r="N111" s="32">
        <v>82.83</v>
      </c>
      <c r="O111" s="32">
        <v>-221.65</v>
      </c>
      <c r="P111" s="32">
        <v>-197.37</v>
      </c>
      <c r="Q111" s="32">
        <v>-2.81</v>
      </c>
      <c r="R111" s="33">
        <v>0.111</v>
      </c>
      <c r="S111" s="33">
        <v>-1.16E-4</v>
      </c>
      <c r="T111" s="33">
        <v>4.9399999999999999E-8</v>
      </c>
      <c r="U111" s="32">
        <v>4.49</v>
      </c>
      <c r="V111" s="32">
        <v>12.499000000000001</v>
      </c>
      <c r="W111" s="32">
        <v>3018.17</v>
      </c>
      <c r="X111" s="32">
        <v>-7.3140000000000001</v>
      </c>
      <c r="Y111" s="27">
        <v>17.007339999999999</v>
      </c>
      <c r="Z111" s="27">
        <v>2</v>
      </c>
    </row>
    <row r="112" spans="8:26" x14ac:dyDescent="0.25">
      <c r="H112" s="27">
        <f t="shared" si="4"/>
        <v>1</v>
      </c>
      <c r="I112" s="41" t="s">
        <v>42</v>
      </c>
      <c r="J112" s="32">
        <v>1.6799999999999999E-2</v>
      </c>
      <c r="K112" s="32">
        <v>1.5E-3</v>
      </c>
      <c r="L112" s="32">
        <v>18</v>
      </c>
      <c r="M112" s="32">
        <v>22.42</v>
      </c>
      <c r="N112" s="32">
        <v>22.23</v>
      </c>
      <c r="O112" s="32">
        <v>-132.22</v>
      </c>
      <c r="P112" s="32">
        <v>-105</v>
      </c>
      <c r="Q112" s="33">
        <v>25.5</v>
      </c>
      <c r="R112" s="33">
        <v>-6.3200000000000006E-2</v>
      </c>
      <c r="S112" s="33">
        <v>1.11E-4</v>
      </c>
      <c r="T112" s="33">
        <v>-5.4800000000000001E-8</v>
      </c>
      <c r="U112" s="32">
        <v>1.1879999999999999</v>
      </c>
      <c r="V112" s="32">
        <v>2.41</v>
      </c>
      <c r="W112" s="32">
        <v>122.09</v>
      </c>
      <c r="X112" s="32">
        <v>-0.38600000000000001</v>
      </c>
      <c r="Y112" s="27">
        <v>15.9994</v>
      </c>
      <c r="Z112" s="27">
        <v>1</v>
      </c>
    </row>
    <row r="113" spans="8:26" x14ac:dyDescent="0.25">
      <c r="H113" s="27">
        <f t="shared" si="4"/>
        <v>0</v>
      </c>
      <c r="I113" s="41" t="s">
        <v>43</v>
      </c>
      <c r="J113" s="32">
        <v>9.7999999999999997E-3</v>
      </c>
      <c r="K113" s="32">
        <v>4.7999999999999996E-3</v>
      </c>
      <c r="L113" s="32">
        <v>13</v>
      </c>
      <c r="M113" s="32">
        <v>31.22</v>
      </c>
      <c r="N113" s="32">
        <v>23.05</v>
      </c>
      <c r="O113" s="32">
        <v>-138.16</v>
      </c>
      <c r="P113" s="32">
        <v>-98.22</v>
      </c>
      <c r="Q113" s="33">
        <v>12.2</v>
      </c>
      <c r="R113" s="33">
        <v>-1.26E-2</v>
      </c>
      <c r="S113" s="33">
        <v>6.0300000000000002E-5</v>
      </c>
      <c r="T113" s="33">
        <v>-3.8600000000000002E-8</v>
      </c>
      <c r="U113" s="32">
        <v>5.8789999999999996</v>
      </c>
      <c r="V113" s="32">
        <v>4.6820000000000004</v>
      </c>
      <c r="W113" s="32">
        <v>440.24</v>
      </c>
      <c r="X113" s="32">
        <v>-0.95299999999999996</v>
      </c>
      <c r="Y113" s="27">
        <v>15.9994</v>
      </c>
      <c r="Z113" s="27">
        <v>1</v>
      </c>
    </row>
    <row r="114" spans="8:26" x14ac:dyDescent="0.25">
      <c r="H114" s="27">
        <f t="shared" si="4"/>
        <v>0</v>
      </c>
      <c r="I114" s="41" t="s">
        <v>44</v>
      </c>
      <c r="J114" s="32">
        <v>3.7999999999999999E-2</v>
      </c>
      <c r="K114" s="32">
        <v>3.0999999999999999E-3</v>
      </c>
      <c r="L114" s="32">
        <v>62</v>
      </c>
      <c r="M114" s="32">
        <v>76.75</v>
      </c>
      <c r="N114" s="32">
        <v>61.2</v>
      </c>
      <c r="O114" s="32">
        <v>-133.22</v>
      </c>
      <c r="P114" s="32">
        <v>-120.5</v>
      </c>
      <c r="Q114" s="32">
        <v>6.45</v>
      </c>
      <c r="R114" s="33">
        <v>6.7000000000000004E-2</v>
      </c>
      <c r="S114" s="33">
        <v>-3.57E-5</v>
      </c>
      <c r="T114" s="33">
        <v>2.86E-9</v>
      </c>
      <c r="U114" s="32">
        <v>4.1890000000000001</v>
      </c>
      <c r="V114" s="32">
        <v>8.9719999999999995</v>
      </c>
      <c r="W114" s="32">
        <v>340.35</v>
      </c>
      <c r="X114" s="32">
        <v>-0.35</v>
      </c>
      <c r="Y114" s="27">
        <v>28.010100000000001</v>
      </c>
      <c r="Z114" s="27">
        <v>2</v>
      </c>
    </row>
    <row r="115" spans="8:26" x14ac:dyDescent="0.25">
      <c r="H115" s="27">
        <f t="shared" si="4"/>
        <v>0</v>
      </c>
      <c r="I115" s="41" t="s">
        <v>45</v>
      </c>
      <c r="J115" s="32">
        <v>2.8400000000000002E-2</v>
      </c>
      <c r="K115" s="32">
        <v>2.8E-3</v>
      </c>
      <c r="L115" s="32">
        <v>55</v>
      </c>
      <c r="M115" s="32">
        <v>94.97</v>
      </c>
      <c r="N115" s="32">
        <v>75.97</v>
      </c>
      <c r="O115" s="32">
        <v>-164.5</v>
      </c>
      <c r="P115" s="32">
        <v>-126.27</v>
      </c>
      <c r="Q115" s="33">
        <v>30.4</v>
      </c>
      <c r="R115" s="33">
        <v>-8.2900000000000001E-2</v>
      </c>
      <c r="S115" s="33">
        <v>2.3599999999999999E-4</v>
      </c>
      <c r="T115" s="33">
        <v>-1.31E-7</v>
      </c>
      <c r="U115" s="32">
        <v>0</v>
      </c>
      <c r="V115" s="32">
        <v>6.6449999999999996</v>
      </c>
      <c r="W115" s="32" t="s">
        <v>28</v>
      </c>
      <c r="X115" s="32" t="s">
        <v>28</v>
      </c>
      <c r="Y115" s="27">
        <v>28.010100000000001</v>
      </c>
      <c r="Z115" s="27">
        <v>2</v>
      </c>
    </row>
    <row r="116" spans="8:26" x14ac:dyDescent="0.25">
      <c r="H116" s="27">
        <f t="shared" si="4"/>
        <v>0</v>
      </c>
      <c r="I116" s="41" t="s">
        <v>46</v>
      </c>
      <c r="J116" s="32">
        <v>3.7900000000000003E-2</v>
      </c>
      <c r="K116" s="32">
        <v>3.0000000000000001E-3</v>
      </c>
      <c r="L116" s="32">
        <v>82</v>
      </c>
      <c r="M116" s="32">
        <v>72.239999999999995</v>
      </c>
      <c r="N116" s="32">
        <v>36.9</v>
      </c>
      <c r="O116" s="32">
        <v>-162.03</v>
      </c>
      <c r="P116" s="32">
        <v>-143.47999999999999</v>
      </c>
      <c r="Q116" s="33">
        <v>30.9</v>
      </c>
      <c r="R116" s="33">
        <v>-3.3599999999999998E-2</v>
      </c>
      <c r="S116" s="33">
        <v>1.6000000000000001E-4</v>
      </c>
      <c r="T116" s="33">
        <v>-9.8799999999999998E-8</v>
      </c>
      <c r="U116" s="32">
        <v>3.1970000000000001</v>
      </c>
      <c r="V116" s="32">
        <v>9.093</v>
      </c>
      <c r="W116" s="32">
        <v>740.92</v>
      </c>
      <c r="X116" s="32">
        <v>-1.7130000000000001</v>
      </c>
      <c r="Y116" s="27">
        <v>29.018040000000003</v>
      </c>
      <c r="Z116" s="27">
        <v>3</v>
      </c>
    </row>
    <row r="117" spans="8:26" x14ac:dyDescent="0.25">
      <c r="H117" s="27">
        <f t="shared" si="4"/>
        <v>0</v>
      </c>
      <c r="I117" s="41" t="s">
        <v>47</v>
      </c>
      <c r="J117" s="32">
        <v>7.9100000000000004E-2</v>
      </c>
      <c r="K117" s="32">
        <v>7.7000000000000002E-3</v>
      </c>
      <c r="L117" s="32">
        <v>89</v>
      </c>
      <c r="M117" s="32">
        <v>169.09</v>
      </c>
      <c r="N117" s="32">
        <v>155.5</v>
      </c>
      <c r="O117" s="32">
        <v>-426.72</v>
      </c>
      <c r="P117" s="32">
        <v>-387.87</v>
      </c>
      <c r="Q117" s="33">
        <v>24.1</v>
      </c>
      <c r="R117" s="33">
        <v>4.2700000000000002E-2</v>
      </c>
      <c r="S117" s="33">
        <v>8.0400000000000003E-5</v>
      </c>
      <c r="T117" s="33">
        <v>-6.87E-8</v>
      </c>
      <c r="U117" s="32">
        <v>11.051</v>
      </c>
      <c r="V117" s="32">
        <v>19.536999999999999</v>
      </c>
      <c r="W117" s="32">
        <v>1317.23</v>
      </c>
      <c r="X117" s="32">
        <v>-2.5779999999999998</v>
      </c>
      <c r="Y117" s="27">
        <v>45.017440000000001</v>
      </c>
      <c r="Z117" s="27">
        <v>4</v>
      </c>
    </row>
    <row r="118" spans="8:26" x14ac:dyDescent="0.25">
      <c r="H118" s="27">
        <f t="shared" si="4"/>
        <v>0</v>
      </c>
      <c r="I118" s="41" t="s">
        <v>48</v>
      </c>
      <c r="J118" s="32">
        <v>4.8099999999999997E-2</v>
      </c>
      <c r="K118" s="32">
        <v>5.0000000000000001E-4</v>
      </c>
      <c r="L118" s="32">
        <v>82</v>
      </c>
      <c r="M118" s="32">
        <v>81.099999999999994</v>
      </c>
      <c r="N118" s="32">
        <v>53.6</v>
      </c>
      <c r="O118" s="32">
        <v>-337.92</v>
      </c>
      <c r="P118" s="32">
        <v>-301.95</v>
      </c>
      <c r="Q118" s="33">
        <v>24.5</v>
      </c>
      <c r="R118" s="33">
        <v>4.02E-2</v>
      </c>
      <c r="S118" s="33">
        <v>4.0200000000000001E-5</v>
      </c>
      <c r="T118" s="33">
        <v>-4.5200000000000001E-8</v>
      </c>
      <c r="U118" s="32">
        <v>6.9589999999999996</v>
      </c>
      <c r="V118" s="32">
        <v>9.6329999999999991</v>
      </c>
      <c r="W118" s="32">
        <v>483.88</v>
      </c>
      <c r="X118" s="32">
        <v>-0.96599999999999997</v>
      </c>
      <c r="Y118" s="27">
        <v>44.009500000000003</v>
      </c>
      <c r="Z118" s="27">
        <v>3</v>
      </c>
    </row>
    <row r="119" spans="8:26" x14ac:dyDescent="0.25">
      <c r="H119" s="27">
        <f t="shared" si="4"/>
        <v>0</v>
      </c>
      <c r="I119" s="31" t="s">
        <v>61</v>
      </c>
      <c r="J119" s="32" t="s">
        <v>49</v>
      </c>
      <c r="K119" s="32">
        <v>1.01E-2</v>
      </c>
      <c r="L119" s="32">
        <v>36</v>
      </c>
      <c r="M119" s="32">
        <v>-10.5</v>
      </c>
      <c r="N119" s="32">
        <v>2.08</v>
      </c>
      <c r="O119" s="32">
        <v>-247.61</v>
      </c>
      <c r="P119" s="32">
        <v>-250.83</v>
      </c>
      <c r="Q119" s="32">
        <v>6.82</v>
      </c>
      <c r="R119" s="33">
        <v>1.9599999999999999E-2</v>
      </c>
      <c r="S119" s="33">
        <v>1.27E-5</v>
      </c>
      <c r="T119" s="33">
        <v>-1.7800000000000001E-8</v>
      </c>
      <c r="U119" s="32">
        <v>3.6240000000000001</v>
      </c>
      <c r="V119" s="32">
        <v>5.9089999999999998</v>
      </c>
      <c r="W119" s="32">
        <v>675.24</v>
      </c>
      <c r="X119" s="32">
        <v>-1.34</v>
      </c>
      <c r="Y119" s="27">
        <v>15.9994</v>
      </c>
      <c r="Z119" s="27">
        <v>1</v>
      </c>
    </row>
    <row r="120" spans="8:26" x14ac:dyDescent="0.25">
      <c r="H120" s="27"/>
      <c r="I120" s="30" t="s">
        <v>50</v>
      </c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spans="8:26" x14ac:dyDescent="0.25">
      <c r="H121" s="27">
        <f>G19</f>
        <v>1</v>
      </c>
      <c r="I121" s="31" t="s">
        <v>64</v>
      </c>
      <c r="J121" s="32">
        <v>2.4299999999999999E-2</v>
      </c>
      <c r="K121" s="32">
        <v>1.09E-2</v>
      </c>
      <c r="L121" s="32">
        <v>38</v>
      </c>
      <c r="M121" s="32">
        <v>73.23</v>
      </c>
      <c r="N121" s="32">
        <v>66.89</v>
      </c>
      <c r="O121" s="32">
        <v>-22.02</v>
      </c>
      <c r="P121" s="32">
        <v>14.07</v>
      </c>
      <c r="Q121" s="33">
        <v>26.9</v>
      </c>
      <c r="R121" s="33">
        <v>-4.1200000000000001E-2</v>
      </c>
      <c r="S121" s="33">
        <v>1.64E-4</v>
      </c>
      <c r="T121" s="33">
        <v>-9.76E-8</v>
      </c>
      <c r="U121" s="32">
        <v>3.5150000000000001</v>
      </c>
      <c r="V121" s="32">
        <v>10.788</v>
      </c>
      <c r="W121" s="32"/>
      <c r="X121" s="32"/>
      <c r="Y121" s="27">
        <v>16.022580000000001</v>
      </c>
      <c r="Z121" s="27">
        <v>3</v>
      </c>
    </row>
    <row r="122" spans="8:26" x14ac:dyDescent="0.25">
      <c r="H122" s="27">
        <f t="shared" ref="H122:H129" si="5">G20</f>
        <v>0</v>
      </c>
      <c r="I122" s="41" t="s">
        <v>51</v>
      </c>
      <c r="J122" s="32">
        <v>2.9499999999999998E-2</v>
      </c>
      <c r="K122" s="32">
        <v>7.7000000000000002E-3</v>
      </c>
      <c r="L122" s="32">
        <v>35</v>
      </c>
      <c r="M122" s="32">
        <v>50.17</v>
      </c>
      <c r="N122" s="32">
        <v>52.66</v>
      </c>
      <c r="O122" s="32">
        <v>53.47</v>
      </c>
      <c r="P122" s="32">
        <v>89.39</v>
      </c>
      <c r="Q122" s="32">
        <v>-1.21</v>
      </c>
      <c r="R122" s="33">
        <v>7.6200000000000004E-2</v>
      </c>
      <c r="S122" s="33">
        <v>-4.8600000000000002E-5</v>
      </c>
      <c r="T122" s="33">
        <v>1.05E-8</v>
      </c>
      <c r="U122" s="32">
        <v>5.0990000000000002</v>
      </c>
      <c r="V122" s="32">
        <v>6.4359999999999999</v>
      </c>
      <c r="W122" s="32"/>
      <c r="X122" s="32"/>
      <c r="Y122" s="27">
        <v>15.01464</v>
      </c>
      <c r="Z122" s="27">
        <v>2</v>
      </c>
    </row>
    <row r="123" spans="8:26" x14ac:dyDescent="0.25">
      <c r="H123" s="27">
        <f t="shared" si="5"/>
        <v>0</v>
      </c>
      <c r="I123" s="41" t="s">
        <v>52</v>
      </c>
      <c r="J123" s="32">
        <v>1.2999999999999999E-2</v>
      </c>
      <c r="K123" s="32">
        <v>1.14E-2</v>
      </c>
      <c r="L123" s="32">
        <v>29</v>
      </c>
      <c r="M123" s="32">
        <v>52.82</v>
      </c>
      <c r="N123" s="32">
        <v>101.51</v>
      </c>
      <c r="O123" s="32">
        <v>31.65</v>
      </c>
      <c r="P123" s="32">
        <v>75.61</v>
      </c>
      <c r="Q123" s="33">
        <v>11.8</v>
      </c>
      <c r="R123" s="33">
        <v>-2.3E-2</v>
      </c>
      <c r="S123" s="33">
        <v>1.07E-4</v>
      </c>
      <c r="T123" s="33">
        <v>-6.2800000000000006E-8</v>
      </c>
      <c r="U123" s="32">
        <v>7.49</v>
      </c>
      <c r="V123" s="32">
        <v>6.93</v>
      </c>
      <c r="W123" s="32"/>
      <c r="X123" s="32"/>
      <c r="Y123" s="27">
        <v>15.01464</v>
      </c>
      <c r="Z123" s="27">
        <v>2</v>
      </c>
    </row>
    <row r="124" spans="8:26" x14ac:dyDescent="0.25">
      <c r="H124" s="27">
        <f t="shared" si="5"/>
        <v>0</v>
      </c>
      <c r="I124" s="41" t="s">
        <v>53</v>
      </c>
      <c r="J124" s="32">
        <v>1.6899999999999998E-2</v>
      </c>
      <c r="K124" s="32">
        <v>7.4000000000000003E-3</v>
      </c>
      <c r="L124" s="32">
        <v>9</v>
      </c>
      <c r="M124" s="32">
        <v>11.74</v>
      </c>
      <c r="N124" s="32">
        <v>48.84</v>
      </c>
      <c r="O124" s="32">
        <v>123.34</v>
      </c>
      <c r="P124" s="32">
        <v>163.16</v>
      </c>
      <c r="Q124" s="33">
        <v>-31.1</v>
      </c>
      <c r="R124" s="33">
        <v>0.22700000000000001</v>
      </c>
      <c r="S124" s="33">
        <v>-3.2000000000000003E-4</v>
      </c>
      <c r="T124" s="33">
        <v>1.4600000000000001E-7</v>
      </c>
      <c r="U124" s="32">
        <v>4.7030000000000003</v>
      </c>
      <c r="V124" s="32">
        <v>1.8959999999999999</v>
      </c>
      <c r="W124" s="32"/>
      <c r="X124" s="32"/>
      <c r="Y124" s="27">
        <v>14.0067</v>
      </c>
      <c r="Z124" s="27">
        <v>1</v>
      </c>
    </row>
    <row r="125" spans="8:26" x14ac:dyDescent="0.25">
      <c r="H125" s="27">
        <f t="shared" si="5"/>
        <v>0</v>
      </c>
      <c r="I125" s="41" t="s">
        <v>54</v>
      </c>
      <c r="J125" s="32">
        <v>2.5499999999999998E-2</v>
      </c>
      <c r="K125" s="32">
        <v>-9.9000000000000008E-3</v>
      </c>
      <c r="L125" s="32"/>
      <c r="M125" s="32">
        <v>74.599999999999994</v>
      </c>
      <c r="N125" s="32"/>
      <c r="O125" s="32">
        <v>23.61</v>
      </c>
      <c r="P125" s="32"/>
      <c r="Q125" s="32"/>
      <c r="R125" s="32"/>
      <c r="S125" s="32"/>
      <c r="T125" s="32"/>
      <c r="U125" s="32"/>
      <c r="V125" s="32">
        <v>3.335</v>
      </c>
      <c r="W125" s="32"/>
      <c r="X125" s="32"/>
      <c r="Y125" s="27">
        <v>14.0067</v>
      </c>
      <c r="Z125" s="27">
        <v>1</v>
      </c>
    </row>
    <row r="126" spans="8:26" x14ac:dyDescent="0.25">
      <c r="H126" s="27">
        <f t="shared" si="5"/>
        <v>0</v>
      </c>
      <c r="I126" s="41" t="s">
        <v>55</v>
      </c>
      <c r="J126" s="32">
        <v>8.5000000000000006E-3</v>
      </c>
      <c r="K126" s="32">
        <v>7.6E-3</v>
      </c>
      <c r="L126" s="32">
        <v>34</v>
      </c>
      <c r="M126" s="32">
        <v>57.55</v>
      </c>
      <c r="N126" s="32">
        <v>68.400000000000006</v>
      </c>
      <c r="O126" s="32">
        <v>55.52</v>
      </c>
      <c r="P126" s="32">
        <v>79.930000000000007</v>
      </c>
      <c r="Q126" s="32">
        <v>8.83</v>
      </c>
      <c r="R126" s="33">
        <v>-3.8400000000000001E-3</v>
      </c>
      <c r="S126" s="33">
        <v>4.35E-5</v>
      </c>
      <c r="T126" s="33">
        <v>-2.6000000000000001E-8</v>
      </c>
      <c r="U126" s="32">
        <v>3.649</v>
      </c>
      <c r="V126" s="32">
        <v>6.5279999999999996</v>
      </c>
      <c r="W126" s="32"/>
      <c r="X126" s="32"/>
      <c r="Y126" s="27">
        <v>14.0067</v>
      </c>
      <c r="Z126" s="27">
        <v>1</v>
      </c>
    </row>
    <row r="127" spans="8:26" x14ac:dyDescent="0.25">
      <c r="H127" s="27">
        <f t="shared" si="5"/>
        <v>0</v>
      </c>
      <c r="I127" s="31" t="s">
        <v>62</v>
      </c>
      <c r="J127" s="32"/>
      <c r="K127" s="32"/>
      <c r="L127" s="32"/>
      <c r="M127" s="32">
        <v>83.08</v>
      </c>
      <c r="N127" s="32">
        <v>68.91</v>
      </c>
      <c r="O127" s="32">
        <v>93.7</v>
      </c>
      <c r="P127" s="32">
        <v>119.66</v>
      </c>
      <c r="Q127" s="32">
        <v>5.69</v>
      </c>
      <c r="R127" s="33">
        <v>-4.1200000000000004E-3</v>
      </c>
      <c r="S127" s="33">
        <v>1.2799999999999999E-4</v>
      </c>
      <c r="T127" s="33">
        <v>-8.8800000000000001E-8</v>
      </c>
      <c r="U127" s="32" t="s">
        <v>28</v>
      </c>
      <c r="V127" s="32">
        <v>12.169</v>
      </c>
      <c r="W127" s="32"/>
      <c r="X127" s="32"/>
      <c r="Y127" s="27">
        <v>15.01464</v>
      </c>
      <c r="Z127" s="27">
        <v>2</v>
      </c>
    </row>
    <row r="128" spans="8:26" x14ac:dyDescent="0.25">
      <c r="H128" s="27">
        <f t="shared" si="5"/>
        <v>0</v>
      </c>
      <c r="I128" s="41" t="s">
        <v>56</v>
      </c>
      <c r="J128" s="32">
        <v>4.9599999999999998E-2</v>
      </c>
      <c r="K128" s="32">
        <v>-1.01E-2</v>
      </c>
      <c r="L128" s="32">
        <v>91</v>
      </c>
      <c r="M128" s="32">
        <v>125.66</v>
      </c>
      <c r="N128" s="32">
        <v>59.89</v>
      </c>
      <c r="O128" s="32">
        <v>88.43</v>
      </c>
      <c r="P128" s="32">
        <v>89.22</v>
      </c>
      <c r="Q128" s="33">
        <v>36.5</v>
      </c>
      <c r="R128" s="33">
        <v>-7.3300000000000004E-2</v>
      </c>
      <c r="S128" s="33">
        <v>1.84E-4</v>
      </c>
      <c r="T128" s="33">
        <v>-1.03E-7</v>
      </c>
      <c r="U128" s="32">
        <v>2.4140000000000001</v>
      </c>
      <c r="V128" s="32">
        <v>12.851000000000001</v>
      </c>
      <c r="W128" s="32"/>
      <c r="X128" s="32"/>
      <c r="Y128" s="27">
        <v>26.017400000000002</v>
      </c>
      <c r="Z128" s="27">
        <v>2</v>
      </c>
    </row>
    <row r="129" spans="8:26" x14ac:dyDescent="0.25">
      <c r="H129" s="27">
        <f t="shared" si="5"/>
        <v>0</v>
      </c>
      <c r="I129" s="31" t="s">
        <v>65</v>
      </c>
      <c r="J129" s="32">
        <v>4.3700000000000003E-2</v>
      </c>
      <c r="K129" s="32">
        <v>6.4000000000000003E-3</v>
      </c>
      <c r="L129" s="32">
        <v>91</v>
      </c>
      <c r="M129" s="32">
        <v>152.54</v>
      </c>
      <c r="N129" s="32">
        <v>127.24</v>
      </c>
      <c r="O129" s="32">
        <v>-66.569999999999993</v>
      </c>
      <c r="P129" s="32">
        <v>-16.829999999999998</v>
      </c>
      <c r="Q129" s="33">
        <v>25.9</v>
      </c>
      <c r="R129" s="33">
        <v>-3.7399999999999998E-3</v>
      </c>
      <c r="S129" s="33">
        <v>1.2899999999999999E-4</v>
      </c>
      <c r="T129" s="33">
        <v>-8.8800000000000001E-8</v>
      </c>
      <c r="U129" s="32">
        <v>9.6790000000000003</v>
      </c>
      <c r="V129" s="32">
        <v>16.738</v>
      </c>
      <c r="W129" s="32"/>
      <c r="X129" s="32"/>
      <c r="Y129" s="27">
        <v>46.005499999999998</v>
      </c>
      <c r="Z129" s="27">
        <v>3</v>
      </c>
    </row>
    <row r="130" spans="8:26" x14ac:dyDescent="0.25">
      <c r="H130" s="27"/>
      <c r="I130" s="30" t="s">
        <v>57</v>
      </c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spans="8:26" x14ac:dyDescent="0.25">
      <c r="H131" s="27">
        <f>G29</f>
        <v>0</v>
      </c>
      <c r="I131" s="41" t="s">
        <v>58</v>
      </c>
      <c r="J131" s="32">
        <v>3.0999999999999999E-3</v>
      </c>
      <c r="K131" s="32">
        <v>8.3999999999999995E-3</v>
      </c>
      <c r="L131" s="32">
        <v>63</v>
      </c>
      <c r="M131" s="32">
        <v>63.56</v>
      </c>
      <c r="N131" s="32">
        <v>20.09</v>
      </c>
      <c r="O131" s="32">
        <v>-17.329999999999998</v>
      </c>
      <c r="P131" s="32">
        <v>-22.99</v>
      </c>
      <c r="Q131" s="33">
        <v>35.299999999999997</v>
      </c>
      <c r="R131" s="33">
        <v>-7.5800000000000006E-2</v>
      </c>
      <c r="S131" s="33">
        <v>1.85E-4</v>
      </c>
      <c r="T131" s="33">
        <v>-1.03E-7</v>
      </c>
      <c r="U131" s="32">
        <v>2.36</v>
      </c>
      <c r="V131" s="32">
        <v>6.8840000000000003</v>
      </c>
      <c r="W131" s="32"/>
      <c r="X131" s="32"/>
      <c r="Y131" s="27">
        <v>33.072939999999996</v>
      </c>
      <c r="Z131" s="27">
        <v>2</v>
      </c>
    </row>
    <row r="132" spans="8:26" x14ac:dyDescent="0.25">
      <c r="H132" s="27">
        <f t="shared" ref="H132:H133" si="6">G30</f>
        <v>0</v>
      </c>
      <c r="I132" s="41" t="s">
        <v>59</v>
      </c>
      <c r="J132" s="32">
        <v>1.1900000000000001E-2</v>
      </c>
      <c r="K132" s="32">
        <v>4.8999999999999998E-3</v>
      </c>
      <c r="L132" s="32">
        <v>54</v>
      </c>
      <c r="M132" s="32">
        <v>68.78</v>
      </c>
      <c r="N132" s="32">
        <v>34.4</v>
      </c>
      <c r="O132" s="32">
        <v>41.87</v>
      </c>
      <c r="P132" s="32">
        <v>33.119999999999997</v>
      </c>
      <c r="Q132" s="33">
        <v>19.600000000000001</v>
      </c>
      <c r="R132" s="33">
        <v>-5.6100000000000004E-3</v>
      </c>
      <c r="S132" s="33">
        <v>4.0200000000000001E-5</v>
      </c>
      <c r="T132" s="33">
        <v>-2.7599999999999999E-8</v>
      </c>
      <c r="U132" s="32">
        <v>4.13</v>
      </c>
      <c r="V132" s="32">
        <v>6.8170000000000002</v>
      </c>
      <c r="W132" s="32"/>
      <c r="X132" s="32"/>
      <c r="Y132" s="27">
        <v>32.064999999999998</v>
      </c>
      <c r="Z132" s="27">
        <v>1</v>
      </c>
    </row>
    <row r="133" spans="8:26" x14ac:dyDescent="0.25">
      <c r="H133" s="27">
        <f t="shared" si="6"/>
        <v>0</v>
      </c>
      <c r="I133" s="41" t="s">
        <v>60</v>
      </c>
      <c r="J133" s="32">
        <v>1.9E-3</v>
      </c>
      <c r="K133" s="32">
        <v>5.1000000000000004E-3</v>
      </c>
      <c r="L133" s="32">
        <v>38</v>
      </c>
      <c r="M133" s="32">
        <v>52.1</v>
      </c>
      <c r="N133" s="32">
        <v>79.930000000000007</v>
      </c>
      <c r="O133" s="32">
        <v>39.1</v>
      </c>
      <c r="P133" s="32">
        <v>27.76</v>
      </c>
      <c r="Q133" s="33">
        <v>16.7</v>
      </c>
      <c r="R133" s="33">
        <v>4.81E-3</v>
      </c>
      <c r="S133" s="33">
        <v>2.7699999999999999E-5</v>
      </c>
      <c r="T133" s="33">
        <v>-2.11E-8</v>
      </c>
      <c r="U133" s="32">
        <v>1.5569999999999999</v>
      </c>
      <c r="V133" s="32">
        <v>5.984</v>
      </c>
      <c r="W133" s="32"/>
      <c r="X133" s="32"/>
      <c r="Y133" s="27">
        <v>32.064999999999998</v>
      </c>
      <c r="Z133" s="27">
        <v>1</v>
      </c>
    </row>
    <row r="136" spans="8:26" x14ac:dyDescent="0.25">
      <c r="I136" s="10" t="s">
        <v>93</v>
      </c>
    </row>
    <row r="137" spans="8:26" x14ac:dyDescent="0.25">
      <c r="I137" t="s">
        <v>68</v>
      </c>
      <c r="J137">
        <f>G37*0.98692327</f>
        <v>34.842969204823035</v>
      </c>
      <c r="K137" t="s">
        <v>84</v>
      </c>
    </row>
    <row r="138" spans="8:26" x14ac:dyDescent="0.25">
      <c r="I138" t="s">
        <v>85</v>
      </c>
      <c r="J138">
        <f>G35/G36</f>
        <v>0.65800400000000003</v>
      </c>
    </row>
    <row r="139" spans="8:26" x14ac:dyDescent="0.25">
      <c r="I139" s="15" t="s">
        <v>86</v>
      </c>
      <c r="J139" s="16">
        <f>(-1*LN(J137)-5.92714+6.09648/J138 + 1.28862*LN(J138)-0.169347*(J138^6) )/(15.2518 - 15.6875/J138-13.4721*LN(J138)+0.43577*(J138^6) )</f>
        <v>0.26275039812340373</v>
      </c>
    </row>
    <row r="141" spans="8:26" x14ac:dyDescent="0.25">
      <c r="I141" s="6" t="s">
        <v>94</v>
      </c>
    </row>
    <row r="142" spans="8:26" x14ac:dyDescent="0.25">
      <c r="I142" t="s">
        <v>95</v>
      </c>
      <c r="J142" s="14">
        <f>Q83-37.93</f>
        <v>-29.540000000000006</v>
      </c>
    </row>
    <row r="143" spans="8:26" x14ac:dyDescent="0.25">
      <c r="I143" t="s">
        <v>96</v>
      </c>
      <c r="J143" s="14">
        <f>R83+0.21</f>
        <v>0.92519999999999991</v>
      </c>
    </row>
    <row r="144" spans="8:26" x14ac:dyDescent="0.25">
      <c r="I144" t="s">
        <v>66</v>
      </c>
      <c r="J144" s="4">
        <f>S83-0.000391</f>
        <v>-5.5676000000000011E-4</v>
      </c>
    </row>
    <row r="145" spans="9:10" x14ac:dyDescent="0.25">
      <c r="I145" t="s">
        <v>97</v>
      </c>
      <c r="J145">
        <f>T83+0.000000206</f>
        <v>1.1389999999999997E-7</v>
      </c>
    </row>
    <row r="147" spans="9:10" x14ac:dyDescent="0.25">
      <c r="I147" s="6" t="s">
        <v>103</v>
      </c>
    </row>
    <row r="148" spans="9:10" x14ac:dyDescent="0.25">
      <c r="I148" t="s">
        <v>95</v>
      </c>
      <c r="J148">
        <f>W83-597.82</f>
        <v>1123.8999999999996</v>
      </c>
    </row>
    <row r="149" spans="9:10" x14ac:dyDescent="0.25">
      <c r="I149" t="s">
        <v>96</v>
      </c>
      <c r="J149">
        <f>X83-11.202</f>
        <v>-15.17</v>
      </c>
    </row>
  </sheetData>
  <mergeCells count="20">
    <mergeCell ref="L3:M3"/>
    <mergeCell ref="O85:P85"/>
    <mergeCell ref="Q85:T86"/>
    <mergeCell ref="U85:V85"/>
    <mergeCell ref="W85:X86"/>
    <mergeCell ref="M86:N86"/>
    <mergeCell ref="O86:P86"/>
    <mergeCell ref="U86:V86"/>
    <mergeCell ref="M85:N85"/>
    <mergeCell ref="B24:C24"/>
    <mergeCell ref="E28:G28"/>
    <mergeCell ref="B33:G33"/>
    <mergeCell ref="I85:I86"/>
    <mergeCell ref="J85:L86"/>
    <mergeCell ref="B2:G2"/>
    <mergeCell ref="B5:C5"/>
    <mergeCell ref="B7:C7"/>
    <mergeCell ref="E7:G7"/>
    <mergeCell ref="B18:C18"/>
    <mergeCell ref="E18:G18"/>
  </mergeCells>
  <hyperlinks>
    <hyperlink ref="K22" location="'X1'!A1" display="#'X1'!A1" xr:uid="{00000000-0004-0000-0000-000000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49"/>
  <sheetViews>
    <sheetView showGridLines="0" zoomScaleNormal="100" workbookViewId="0">
      <selection activeCell="I47" sqref="I47"/>
    </sheetView>
  </sheetViews>
  <sheetFormatPr defaultRowHeight="15" x14ac:dyDescent="0.25"/>
  <cols>
    <col min="1" max="1" width="4.7109375" style="7" customWidth="1"/>
    <col min="2" max="2" width="9.140625" customWidth="1"/>
    <col min="4" max="4" width="3.85546875" customWidth="1"/>
    <col min="5" max="5" width="10.42578125" customWidth="1"/>
    <col min="6" max="6" width="10" customWidth="1"/>
    <col min="7" max="7" width="18.140625" bestFit="1" customWidth="1"/>
    <col min="9" max="9" width="20.7109375" bestFit="1" customWidth="1"/>
    <col min="10" max="10" width="11" bestFit="1" customWidth="1"/>
    <col min="25" max="25" width="10.5703125" bestFit="1" customWidth="1"/>
  </cols>
  <sheetData>
    <row r="1" spans="2:18" ht="9" customHeight="1" thickBot="1" x14ac:dyDescent="0.3"/>
    <row r="2" spans="2:18" ht="18.75" x14ac:dyDescent="0.3">
      <c r="B2" s="195" t="s">
        <v>69</v>
      </c>
      <c r="C2" s="195"/>
      <c r="D2" s="195"/>
      <c r="E2" s="195"/>
      <c r="F2" s="195"/>
      <c r="G2" s="195"/>
      <c r="I2" s="43"/>
      <c r="J2" s="44"/>
      <c r="K2" s="44"/>
      <c r="L2" s="44"/>
      <c r="M2" s="44"/>
      <c r="N2" s="44"/>
      <c r="O2" s="44"/>
      <c r="P2" s="44"/>
      <c r="Q2" s="44"/>
      <c r="R2" s="45"/>
    </row>
    <row r="3" spans="2:18" ht="7.5" customHeight="1" x14ac:dyDescent="0.25">
      <c r="I3" s="46"/>
      <c r="J3" s="24"/>
      <c r="K3" s="24"/>
      <c r="L3" s="24"/>
      <c r="M3" s="24"/>
      <c r="N3" s="24"/>
      <c r="O3" s="24"/>
      <c r="P3" s="24"/>
      <c r="Q3" s="24"/>
      <c r="R3" s="47"/>
    </row>
    <row r="4" spans="2:18" ht="15.75" thickBot="1" x14ac:dyDescent="0.3">
      <c r="B4" s="17"/>
      <c r="F4" s="13" t="s">
        <v>77</v>
      </c>
      <c r="G4" s="20" t="s">
        <v>167</v>
      </c>
      <c r="I4" s="46"/>
      <c r="J4" s="24"/>
      <c r="K4" s="24"/>
      <c r="L4" s="24"/>
      <c r="M4" s="24"/>
      <c r="N4" s="24"/>
      <c r="O4" s="24"/>
      <c r="P4" s="24"/>
      <c r="Q4" s="24"/>
      <c r="R4" s="47"/>
    </row>
    <row r="5" spans="2:18" ht="15.75" thickBot="1" x14ac:dyDescent="0.3">
      <c r="B5" s="196" t="s">
        <v>113</v>
      </c>
      <c r="C5" s="197"/>
      <c r="D5" s="42"/>
      <c r="F5" s="13" t="s">
        <v>78</v>
      </c>
      <c r="G5" s="21" t="s">
        <v>112</v>
      </c>
      <c r="I5" s="46"/>
      <c r="J5" s="24"/>
      <c r="K5" s="24"/>
      <c r="L5" s="24"/>
      <c r="M5" s="24"/>
      <c r="N5" s="24"/>
      <c r="O5" s="24"/>
      <c r="P5" s="24"/>
      <c r="Q5" s="24"/>
      <c r="R5" s="47"/>
    </row>
    <row r="6" spans="2:18" ht="7.5" customHeight="1" x14ac:dyDescent="0.25">
      <c r="I6" s="46"/>
      <c r="J6" s="24"/>
      <c r="K6" s="24"/>
      <c r="L6" s="24"/>
      <c r="M6" s="24"/>
      <c r="N6" s="24"/>
      <c r="O6" s="24"/>
      <c r="P6" s="24"/>
      <c r="Q6" s="24"/>
      <c r="R6" s="47"/>
    </row>
    <row r="7" spans="2:18" x14ac:dyDescent="0.25">
      <c r="B7" s="198" t="s">
        <v>22</v>
      </c>
      <c r="C7" s="198"/>
      <c r="E7" s="198" t="s">
        <v>39</v>
      </c>
      <c r="F7" s="198"/>
      <c r="G7" s="198"/>
      <c r="I7" s="46"/>
      <c r="J7" s="24"/>
      <c r="K7" s="24"/>
      <c r="L7" s="24"/>
      <c r="M7" s="24"/>
      <c r="N7" s="24"/>
      <c r="O7" s="24"/>
      <c r="P7" s="24"/>
      <c r="Q7" s="24"/>
      <c r="R7" s="47"/>
    </row>
    <row r="8" spans="2:18" ht="18" x14ac:dyDescent="0.25">
      <c r="B8" s="1" t="s">
        <v>63</v>
      </c>
      <c r="C8" s="11"/>
      <c r="E8" s="8" t="s">
        <v>40</v>
      </c>
      <c r="G8" s="11"/>
      <c r="I8" s="46"/>
      <c r="J8" s="24"/>
      <c r="K8" s="24"/>
      <c r="L8" s="24"/>
      <c r="M8" s="24"/>
      <c r="N8" s="24"/>
      <c r="O8" s="24"/>
      <c r="P8" s="24"/>
      <c r="Q8" s="24"/>
      <c r="R8" s="47"/>
    </row>
    <row r="9" spans="2:18" ht="18" x14ac:dyDescent="0.25">
      <c r="B9" s="5" t="s">
        <v>23</v>
      </c>
      <c r="C9" s="11"/>
      <c r="E9" s="8" t="s">
        <v>41</v>
      </c>
      <c r="G9" s="11">
        <v>1</v>
      </c>
      <c r="I9" s="46"/>
      <c r="J9" s="24"/>
      <c r="K9" s="24"/>
      <c r="L9" s="24"/>
      <c r="M9" s="24"/>
      <c r="N9" s="24"/>
      <c r="O9" s="24"/>
      <c r="P9" s="24"/>
      <c r="Q9" s="24"/>
      <c r="R9" s="47"/>
    </row>
    <row r="10" spans="2:18" ht="15.75" customHeight="1" x14ac:dyDescent="0.25">
      <c r="B10" s="5" t="s">
        <v>24</v>
      </c>
      <c r="C10" s="11"/>
      <c r="E10" s="8" t="s">
        <v>42</v>
      </c>
      <c r="G10" s="11">
        <v>1</v>
      </c>
      <c r="I10" s="46"/>
      <c r="J10" s="24"/>
      <c r="K10" s="24"/>
      <c r="L10" s="24"/>
      <c r="M10" s="24"/>
      <c r="N10" s="24"/>
      <c r="O10" s="24"/>
      <c r="P10" s="24"/>
      <c r="Q10" s="24"/>
      <c r="R10" s="47"/>
    </row>
    <row r="11" spans="2:18" x14ac:dyDescent="0.25">
      <c r="B11" s="5" t="s">
        <v>25</v>
      </c>
      <c r="C11" s="11"/>
      <c r="E11" s="8" t="s">
        <v>43</v>
      </c>
      <c r="G11" s="11"/>
      <c r="I11" s="46"/>
      <c r="J11" s="24"/>
      <c r="K11" s="24"/>
      <c r="L11" s="24"/>
      <c r="M11" s="24"/>
      <c r="N11" s="24"/>
      <c r="O11" s="24"/>
      <c r="P11" s="24"/>
      <c r="Q11" s="24"/>
      <c r="R11" s="47"/>
    </row>
    <row r="12" spans="2:18" ht="18" x14ac:dyDescent="0.25">
      <c r="B12" s="1" t="s">
        <v>111</v>
      </c>
      <c r="C12" s="11"/>
      <c r="E12" s="8" t="s">
        <v>44</v>
      </c>
      <c r="G12" s="11"/>
      <c r="I12" s="46"/>
      <c r="J12" s="24"/>
      <c r="K12" s="24"/>
      <c r="L12" s="24"/>
      <c r="M12" s="24"/>
      <c r="N12" s="24"/>
      <c r="O12" s="24"/>
      <c r="P12" s="24"/>
      <c r="Q12" s="24"/>
      <c r="R12" s="47"/>
    </row>
    <row r="13" spans="2:18" x14ac:dyDescent="0.25">
      <c r="B13" s="5" t="s">
        <v>26</v>
      </c>
      <c r="C13" s="11"/>
      <c r="E13" s="8" t="s">
        <v>45</v>
      </c>
      <c r="G13" s="11"/>
      <c r="I13" s="46"/>
      <c r="J13" s="24"/>
      <c r="K13" s="24"/>
      <c r="L13" s="24"/>
      <c r="M13" s="24"/>
      <c r="N13" s="24"/>
      <c r="O13" s="24"/>
      <c r="P13" s="24"/>
      <c r="Q13" s="24"/>
      <c r="R13" s="47"/>
    </row>
    <row r="14" spans="2:18" x14ac:dyDescent="0.25">
      <c r="B14" s="5" t="s">
        <v>27</v>
      </c>
      <c r="C14" s="11"/>
      <c r="E14" s="8" t="s">
        <v>46</v>
      </c>
      <c r="G14" s="11"/>
      <c r="I14" s="46"/>
      <c r="J14" s="24"/>
      <c r="K14" s="24"/>
      <c r="L14" s="24"/>
      <c r="M14" s="24"/>
      <c r="N14" s="24"/>
      <c r="O14" s="24"/>
      <c r="P14" s="24"/>
      <c r="Q14" s="24"/>
      <c r="R14" s="47"/>
    </row>
    <row r="15" spans="2:18" x14ac:dyDescent="0.25">
      <c r="B15" s="5" t="s">
        <v>29</v>
      </c>
      <c r="C15" s="11"/>
      <c r="E15" s="8" t="s">
        <v>47</v>
      </c>
      <c r="G15" s="11"/>
      <c r="I15" s="46"/>
      <c r="J15" s="48"/>
      <c r="K15" s="48"/>
      <c r="L15" s="48"/>
      <c r="M15" s="48"/>
      <c r="N15" s="48"/>
      <c r="O15" s="48"/>
      <c r="P15" s="24"/>
      <c r="Q15" s="24"/>
      <c r="R15" s="47"/>
    </row>
    <row r="16" spans="2:18" x14ac:dyDescent="0.25">
      <c r="B16" s="5" t="s">
        <v>30</v>
      </c>
      <c r="C16" s="11"/>
      <c r="E16" s="8" t="s">
        <v>48</v>
      </c>
      <c r="G16" s="11"/>
      <c r="I16" s="46"/>
      <c r="J16" s="24"/>
      <c r="K16" s="24"/>
      <c r="L16" s="24"/>
      <c r="M16" s="24"/>
      <c r="N16" s="24"/>
      <c r="O16" s="24"/>
      <c r="P16" s="24"/>
      <c r="Q16" s="24"/>
      <c r="R16" s="47"/>
    </row>
    <row r="17" spans="2:18" x14ac:dyDescent="0.25">
      <c r="B17" s="5" t="s">
        <v>31</v>
      </c>
      <c r="C17" s="11"/>
      <c r="E17" s="9" t="s">
        <v>61</v>
      </c>
      <c r="G17" s="11"/>
      <c r="I17" s="46"/>
      <c r="J17" s="24"/>
      <c r="K17" s="24"/>
      <c r="L17" s="24"/>
      <c r="M17" s="24"/>
      <c r="N17" s="24"/>
      <c r="O17" s="24"/>
      <c r="P17" s="24"/>
      <c r="Q17" s="24"/>
      <c r="R17" s="47"/>
    </row>
    <row r="18" spans="2:18" ht="15.75" thickBot="1" x14ac:dyDescent="0.3">
      <c r="B18" s="198" t="s">
        <v>32</v>
      </c>
      <c r="C18" s="198"/>
      <c r="E18" s="198" t="s">
        <v>50</v>
      </c>
      <c r="F18" s="198"/>
      <c r="G18" s="198"/>
      <c r="I18" s="49"/>
      <c r="J18" s="50"/>
      <c r="K18" s="50"/>
      <c r="L18" s="50"/>
      <c r="M18" s="50"/>
      <c r="N18" s="50"/>
      <c r="O18" s="50"/>
      <c r="P18" s="50"/>
      <c r="Q18" s="50"/>
      <c r="R18" s="51"/>
    </row>
    <row r="19" spans="2:18" ht="18" x14ac:dyDescent="0.25">
      <c r="B19" s="5" t="s">
        <v>23</v>
      </c>
      <c r="C19" s="11"/>
      <c r="E19" s="9" t="s">
        <v>64</v>
      </c>
      <c r="G19" s="11"/>
    </row>
    <row r="20" spans="2:18" x14ac:dyDescent="0.25">
      <c r="B20" s="5" t="s">
        <v>24</v>
      </c>
      <c r="C20" s="11"/>
      <c r="E20" s="8" t="s">
        <v>51</v>
      </c>
      <c r="G20" s="11"/>
    </row>
    <row r="21" spans="2:18" x14ac:dyDescent="0.25">
      <c r="B21" s="5" t="s">
        <v>25</v>
      </c>
      <c r="C21" s="11"/>
      <c r="E21" s="8" t="s">
        <v>52</v>
      </c>
      <c r="G21" s="11"/>
    </row>
    <row r="22" spans="2:18" x14ac:dyDescent="0.25">
      <c r="B22" s="5" t="s">
        <v>26</v>
      </c>
      <c r="C22" s="11">
        <v>9</v>
      </c>
      <c r="E22" s="8" t="s">
        <v>53</v>
      </c>
      <c r="G22" s="11"/>
    </row>
    <row r="23" spans="2:18" x14ac:dyDescent="0.25">
      <c r="B23" s="5" t="s">
        <v>27</v>
      </c>
      <c r="C23" s="11">
        <v>3</v>
      </c>
      <c r="E23" s="8" t="s">
        <v>54</v>
      </c>
      <c r="G23" s="11"/>
    </row>
    <row r="24" spans="2:18" x14ac:dyDescent="0.25">
      <c r="B24" s="199" t="s">
        <v>34</v>
      </c>
      <c r="C24" s="199"/>
      <c r="E24" s="8" t="s">
        <v>55</v>
      </c>
      <c r="G24" s="11"/>
    </row>
    <row r="25" spans="2:18" x14ac:dyDescent="0.25">
      <c r="B25" s="8" t="s">
        <v>35</v>
      </c>
      <c r="C25" s="11"/>
      <c r="E25" s="9" t="s">
        <v>62</v>
      </c>
      <c r="G25" s="11"/>
    </row>
    <row r="26" spans="2:18" x14ac:dyDescent="0.25">
      <c r="B26" s="8" t="s">
        <v>36</v>
      </c>
      <c r="C26" s="11"/>
      <c r="E26" s="8" t="s">
        <v>56</v>
      </c>
      <c r="G26" s="11"/>
    </row>
    <row r="27" spans="2:18" x14ac:dyDescent="0.25">
      <c r="B27" s="8" t="s">
        <v>37</v>
      </c>
      <c r="C27" s="11"/>
      <c r="E27" s="9" t="s">
        <v>65</v>
      </c>
      <c r="G27" s="11"/>
    </row>
    <row r="28" spans="2:18" x14ac:dyDescent="0.25">
      <c r="B28" s="8" t="s">
        <v>38</v>
      </c>
      <c r="C28" s="11"/>
      <c r="E28" s="198" t="s">
        <v>57</v>
      </c>
      <c r="F28" s="198"/>
      <c r="G28" s="198"/>
    </row>
    <row r="29" spans="2:18" x14ac:dyDescent="0.25">
      <c r="E29" s="8" t="s">
        <v>58</v>
      </c>
      <c r="G29" s="11"/>
    </row>
    <row r="30" spans="2:18" x14ac:dyDescent="0.25">
      <c r="E30" s="8" t="s">
        <v>59</v>
      </c>
      <c r="G30" s="11"/>
    </row>
    <row r="31" spans="2:18" x14ac:dyDescent="0.25">
      <c r="E31" s="8" t="s">
        <v>60</v>
      </c>
      <c r="G31" s="11"/>
    </row>
    <row r="32" spans="2:18" ht="8.25" customHeight="1" x14ac:dyDescent="0.25"/>
    <row r="33" spans="2:7" x14ac:dyDescent="0.25">
      <c r="B33" s="200" t="s">
        <v>109</v>
      </c>
      <c r="C33" s="200"/>
      <c r="D33" s="200"/>
      <c r="E33" s="200"/>
      <c r="F33" s="200"/>
      <c r="G33" s="200"/>
    </row>
    <row r="34" spans="2:7" x14ac:dyDescent="0.25">
      <c r="B34" s="37" t="s">
        <v>74</v>
      </c>
      <c r="F34" s="12" t="s">
        <v>75</v>
      </c>
      <c r="G34">
        <f>Y83</f>
        <v>186.20660000000001</v>
      </c>
    </row>
    <row r="35" spans="2:7" x14ac:dyDescent="0.25">
      <c r="B35" s="37" t="s">
        <v>90</v>
      </c>
      <c r="F35" s="12" t="s">
        <v>101</v>
      </c>
      <c r="G35" s="2">
        <f>198+M83</f>
        <v>630.36000000000013</v>
      </c>
    </row>
    <row r="36" spans="2:7" x14ac:dyDescent="0.25">
      <c r="B36" s="37" t="s">
        <v>76</v>
      </c>
      <c r="F36" s="12" t="s">
        <v>101</v>
      </c>
      <c r="G36" s="2">
        <f>G35/(0.584+0.965*J83-J83^2)</f>
        <v>958.33646071762359</v>
      </c>
    </row>
    <row r="37" spans="2:7" x14ac:dyDescent="0.25">
      <c r="B37" s="37" t="s">
        <v>81</v>
      </c>
      <c r="F37" s="12" t="s">
        <v>79</v>
      </c>
      <c r="G37" s="2">
        <f>(0.113+0.0032*Z83-K83)^-2</f>
        <v>40.261279600092749</v>
      </c>
    </row>
    <row r="38" spans="2:7" x14ac:dyDescent="0.25">
      <c r="B38" s="37" t="s">
        <v>80</v>
      </c>
      <c r="F38" s="12" t="s">
        <v>82</v>
      </c>
      <c r="G38" s="2">
        <f>17.5+L83</f>
        <v>475.5</v>
      </c>
    </row>
    <row r="39" spans="2:7" x14ac:dyDescent="0.25">
      <c r="B39" s="37" t="s">
        <v>83</v>
      </c>
      <c r="G39" s="14">
        <f>G37*G38/(83.1447*G36)</f>
        <v>0.24026223502822716</v>
      </c>
    </row>
    <row r="40" spans="2:7" x14ac:dyDescent="0.25">
      <c r="B40" s="37" t="s">
        <v>110</v>
      </c>
      <c r="G40" s="14">
        <f>J139</f>
        <v>0.30640640340670466</v>
      </c>
    </row>
    <row r="41" spans="2:7" x14ac:dyDescent="0.25">
      <c r="B41" s="37" t="s">
        <v>87</v>
      </c>
      <c r="F41" s="12" t="s">
        <v>101</v>
      </c>
      <c r="G41">
        <f>122.5+N83</f>
        <v>411.79</v>
      </c>
    </row>
    <row r="42" spans="2:7" x14ac:dyDescent="0.25">
      <c r="B42" s="37" t="s">
        <v>88</v>
      </c>
      <c r="F42" s="12" t="s">
        <v>67</v>
      </c>
      <c r="G42">
        <f>68.29+O83</f>
        <v>-127.48</v>
      </c>
    </row>
    <row r="43" spans="2:7" x14ac:dyDescent="0.25">
      <c r="B43" s="37" t="s">
        <v>89</v>
      </c>
      <c r="F43" s="12" t="s">
        <v>67</v>
      </c>
      <c r="G43">
        <f>53.88+P83</f>
        <v>15.359999999999964</v>
      </c>
    </row>
    <row r="44" spans="2:7" x14ac:dyDescent="0.25">
      <c r="B44" s="37" t="s">
        <v>91</v>
      </c>
      <c r="F44" s="12" t="s">
        <v>67</v>
      </c>
      <c r="G44" s="2">
        <f>1.092*8.3144598*G35*(LN(G37)-1.013)/(0.93 - G35/G36)/1000</f>
        <v>56.392716368480542</v>
      </c>
    </row>
    <row r="45" spans="2:7" x14ac:dyDescent="0.25">
      <c r="B45" s="38" t="s">
        <v>92</v>
      </c>
      <c r="C45" s="24"/>
      <c r="D45" s="24"/>
      <c r="E45" s="24"/>
      <c r="F45" s="25" t="s">
        <v>67</v>
      </c>
      <c r="G45" s="26">
        <f>-0.88+U83</f>
        <v>21.889000000000003</v>
      </c>
    </row>
    <row r="46" spans="2:7" ht="6.75" customHeight="1" x14ac:dyDescent="0.25">
      <c r="B46" s="24"/>
      <c r="C46" s="24"/>
      <c r="D46" s="24"/>
      <c r="E46" s="24"/>
      <c r="F46" s="25"/>
      <c r="G46" s="26"/>
    </row>
    <row r="47" spans="2:7" x14ac:dyDescent="0.25">
      <c r="B47" s="23" t="s">
        <v>98</v>
      </c>
      <c r="C47" s="23"/>
      <c r="D47" s="23"/>
      <c r="E47" s="23"/>
      <c r="F47" s="22" t="s">
        <v>101</v>
      </c>
      <c r="G47" s="39">
        <v>300</v>
      </c>
    </row>
    <row r="48" spans="2:7" x14ac:dyDescent="0.25">
      <c r="B48" s="37" t="s">
        <v>108</v>
      </c>
      <c r="F48" s="12"/>
      <c r="G48" s="19">
        <f>G47/G36</f>
        <v>0.31304245669141434</v>
      </c>
    </row>
    <row r="49" spans="2:7" x14ac:dyDescent="0.25">
      <c r="B49" s="37" t="s">
        <v>99</v>
      </c>
      <c r="F49" s="12" t="s">
        <v>100</v>
      </c>
      <c r="G49" s="2">
        <f>J142+J143*G47+J144*G47^2+J145*G47^3</f>
        <v>195.70589999999996</v>
      </c>
    </row>
    <row r="50" spans="2:7" x14ac:dyDescent="0.25">
      <c r="B50" s="37" t="s">
        <v>102</v>
      </c>
      <c r="F50" s="12" t="s">
        <v>67</v>
      </c>
      <c r="G50" s="2">
        <f>G44*( ((G36-G47)/(G36-G35))^0.38)</f>
        <v>73.487420472503715</v>
      </c>
    </row>
    <row r="51" spans="2:7" x14ac:dyDescent="0.25">
      <c r="B51" s="37" t="s">
        <v>103</v>
      </c>
      <c r="F51" s="12" t="s">
        <v>104</v>
      </c>
      <c r="G51" s="18">
        <f>G34*EXP(J148/G47+J149)</f>
        <v>3.1737917094533837E-2</v>
      </c>
    </row>
    <row r="52" spans="2:7" x14ac:dyDescent="0.25">
      <c r="B52" s="37" t="s">
        <v>105</v>
      </c>
      <c r="F52" s="12" t="s">
        <v>106</v>
      </c>
      <c r="G52" s="3">
        <f>G34/( (83.1447*G36/G37)*(G39^(1 + ((1-G47/G36)^(2/7)))  ) )</f>
        <v>1.4098025195377251</v>
      </c>
    </row>
    <row r="53" spans="2:7" x14ac:dyDescent="0.25">
      <c r="B53" s="37" t="s">
        <v>107</v>
      </c>
      <c r="F53" s="12" t="s">
        <v>79</v>
      </c>
      <c r="G53" s="3">
        <f>G37*EXP( (5.92714-6.09648/G48-1.28862*LN(G48)+0.169347*(G48^6) )+G40*(15.2518-15.6875/G48-13.4721*LN(G48)+0.43577*(G48^6)) )</f>
        <v>6.5218735463615748E-7</v>
      </c>
    </row>
    <row r="83" spans="8:26" x14ac:dyDescent="0.25">
      <c r="H83" s="27"/>
      <c r="I83" s="27"/>
      <c r="J83" s="27">
        <f>SUMPRODUCT($H$88:$H$133,J88:J133)</f>
        <v>8.3699999999999997E-2</v>
      </c>
      <c r="K83" s="27">
        <f t="shared" ref="K83:Z83" si="0">SUMPRODUCT($H$88:$H$133,K88:K133)</f>
        <v>3.2199999999999999E-2</v>
      </c>
      <c r="L83" s="27">
        <f t="shared" si="0"/>
        <v>458</v>
      </c>
      <c r="M83" s="27">
        <f t="shared" si="0"/>
        <v>432.36000000000007</v>
      </c>
      <c r="N83" s="27">
        <f t="shared" si="0"/>
        <v>289.29000000000002</v>
      </c>
      <c r="O83" s="27">
        <f t="shared" si="0"/>
        <v>-195.77</v>
      </c>
      <c r="P83" s="27">
        <f t="shared" si="0"/>
        <v>-38.520000000000039</v>
      </c>
      <c r="Q83" s="27">
        <f t="shared" si="0"/>
        <v>-21.320000000000007</v>
      </c>
      <c r="R83" s="27">
        <f t="shared" si="0"/>
        <v>0.86739999999999995</v>
      </c>
      <c r="S83" s="27">
        <f t="shared" si="0"/>
        <v>-4.4576000000000012E-4</v>
      </c>
      <c r="T83" s="27">
        <f t="shared" si="0"/>
        <v>5.4899999999999982E-8</v>
      </c>
      <c r="U83" s="27">
        <f>SUMPRODUCT($H$88:$H$133,U88:U133)</f>
        <v>22.769000000000002</v>
      </c>
      <c r="V83" s="27">
        <f t="shared" si="0"/>
        <v>46.981999999999999</v>
      </c>
      <c r="W83" s="27">
        <f t="shared" si="0"/>
        <v>4739.8900000000003</v>
      </c>
      <c r="X83" s="27">
        <f t="shared" si="0"/>
        <v>-11.281999999999998</v>
      </c>
      <c r="Y83" s="27">
        <f t="shared" si="0"/>
        <v>186.20660000000001</v>
      </c>
      <c r="Z83" s="27">
        <f t="shared" si="0"/>
        <v>24</v>
      </c>
    </row>
    <row r="84" spans="8:26" ht="18" x14ac:dyDescent="0.25">
      <c r="H84" s="27"/>
      <c r="I84" s="28" t="s">
        <v>0</v>
      </c>
      <c r="J84" s="29" t="s">
        <v>1</v>
      </c>
      <c r="K84" s="29" t="s">
        <v>2</v>
      </c>
      <c r="L84" s="29" t="s">
        <v>3</v>
      </c>
      <c r="M84" s="29" t="s">
        <v>4</v>
      </c>
      <c r="N84" s="29" t="s">
        <v>5</v>
      </c>
      <c r="O84" s="29" t="s">
        <v>6</v>
      </c>
      <c r="P84" s="29" t="s">
        <v>7</v>
      </c>
      <c r="Q84" s="29" t="s">
        <v>8</v>
      </c>
      <c r="R84" s="29" t="s">
        <v>9</v>
      </c>
      <c r="S84" s="29" t="s">
        <v>10</v>
      </c>
      <c r="T84" s="29" t="s">
        <v>11</v>
      </c>
      <c r="U84" s="29" t="s">
        <v>12</v>
      </c>
      <c r="V84" s="29" t="s">
        <v>13</v>
      </c>
      <c r="W84" s="29" t="s">
        <v>8</v>
      </c>
      <c r="X84" s="29" t="s">
        <v>9</v>
      </c>
      <c r="Y84" s="29" t="s">
        <v>72</v>
      </c>
      <c r="Z84" s="29" t="s">
        <v>70</v>
      </c>
    </row>
    <row r="85" spans="8:26" x14ac:dyDescent="0.25">
      <c r="H85" s="27"/>
      <c r="I85" s="201"/>
      <c r="J85" s="202" t="s">
        <v>14</v>
      </c>
      <c r="K85" s="202"/>
      <c r="L85" s="202"/>
      <c r="M85" s="202" t="s">
        <v>15</v>
      </c>
      <c r="N85" s="202"/>
      <c r="O85" s="202" t="s">
        <v>17</v>
      </c>
      <c r="P85" s="202"/>
      <c r="Q85" s="202" t="s">
        <v>19</v>
      </c>
      <c r="R85" s="202"/>
      <c r="S85" s="202"/>
      <c r="T85" s="202"/>
      <c r="U85" s="202" t="s">
        <v>20</v>
      </c>
      <c r="V85" s="202"/>
      <c r="W85" s="202" t="s">
        <v>21</v>
      </c>
      <c r="X85" s="202"/>
      <c r="Y85" s="29" t="s">
        <v>73</v>
      </c>
      <c r="Z85" s="29" t="s">
        <v>71</v>
      </c>
    </row>
    <row r="86" spans="8:26" x14ac:dyDescent="0.25">
      <c r="H86" s="27"/>
      <c r="I86" s="201"/>
      <c r="J86" s="202"/>
      <c r="K86" s="202"/>
      <c r="L86" s="202"/>
      <c r="M86" s="202" t="s">
        <v>16</v>
      </c>
      <c r="N86" s="202"/>
      <c r="O86" s="202" t="s">
        <v>18</v>
      </c>
      <c r="P86" s="202"/>
      <c r="Q86" s="202"/>
      <c r="R86" s="202"/>
      <c r="S86" s="202"/>
      <c r="T86" s="202"/>
      <c r="U86" s="202" t="s">
        <v>16</v>
      </c>
      <c r="V86" s="202"/>
      <c r="W86" s="202"/>
      <c r="X86" s="202"/>
      <c r="Y86" s="27"/>
      <c r="Z86" s="27"/>
    </row>
    <row r="87" spans="8:26" x14ac:dyDescent="0.25">
      <c r="H87" s="27"/>
      <c r="I87" s="30" t="s">
        <v>22</v>
      </c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8:26" ht="18" x14ac:dyDescent="0.25">
      <c r="H88" s="27">
        <f>C8</f>
        <v>0</v>
      </c>
      <c r="I88" s="31" t="s">
        <v>63</v>
      </c>
      <c r="J88" s="32">
        <v>1.41E-2</v>
      </c>
      <c r="K88" s="32">
        <v>-1.1999999999999999E-3</v>
      </c>
      <c r="L88" s="32">
        <v>65</v>
      </c>
      <c r="M88" s="32">
        <v>23.58</v>
      </c>
      <c r="N88" s="32">
        <v>-5.0999999999999996</v>
      </c>
      <c r="O88" s="32">
        <v>-76.45</v>
      </c>
      <c r="P88" s="32">
        <v>-43.96</v>
      </c>
      <c r="Q88" s="33">
        <v>19.5</v>
      </c>
      <c r="R88" s="33">
        <v>-8.0800000000000004E-3</v>
      </c>
      <c r="S88" s="33">
        <v>1.5300000000000001E-4</v>
      </c>
      <c r="T88" s="33">
        <v>-9.6699999999999999E-8</v>
      </c>
      <c r="U88" s="32">
        <v>0.90800000000000003</v>
      </c>
      <c r="V88" s="32">
        <v>2.3730000000000002</v>
      </c>
      <c r="W88" s="32">
        <v>548.29</v>
      </c>
      <c r="X88" s="32">
        <v>-1.7190000000000001</v>
      </c>
      <c r="Y88" s="34">
        <v>15.034520000000001</v>
      </c>
      <c r="Z88" s="27">
        <v>4</v>
      </c>
    </row>
    <row r="89" spans="8:26" ht="18" x14ac:dyDescent="0.25">
      <c r="H89" s="27">
        <f t="shared" ref="H89:H97" si="1">C9</f>
        <v>0</v>
      </c>
      <c r="I89" s="35" t="s">
        <v>23</v>
      </c>
      <c r="J89" s="32">
        <v>1.89E-2</v>
      </c>
      <c r="K89" s="32">
        <v>0</v>
      </c>
      <c r="L89" s="32">
        <v>56</v>
      </c>
      <c r="M89" s="32">
        <v>22.88</v>
      </c>
      <c r="N89" s="32">
        <v>11.27</v>
      </c>
      <c r="O89" s="32">
        <v>-20.64</v>
      </c>
      <c r="P89" s="32">
        <v>8.42</v>
      </c>
      <c r="Q89" s="33">
        <v>-0.90900000000000003</v>
      </c>
      <c r="R89" s="33">
        <v>9.5000000000000001E-2</v>
      </c>
      <c r="S89" s="33">
        <v>-5.4400000000000001E-5</v>
      </c>
      <c r="T89" s="33">
        <v>1.1900000000000001E-8</v>
      </c>
      <c r="U89" s="32">
        <v>2.59</v>
      </c>
      <c r="V89" s="32">
        <v>2.226</v>
      </c>
      <c r="W89" s="32">
        <v>94.16</v>
      </c>
      <c r="X89" s="32">
        <v>-0.19900000000000001</v>
      </c>
      <c r="Y89" s="27">
        <v>14.026579999999999</v>
      </c>
      <c r="Z89" s="27">
        <v>3</v>
      </c>
    </row>
    <row r="90" spans="8:26" x14ac:dyDescent="0.25">
      <c r="H90" s="27">
        <f t="shared" si="1"/>
        <v>0</v>
      </c>
      <c r="I90" s="35" t="s">
        <v>24</v>
      </c>
      <c r="J90" s="32">
        <v>1.6400000000000001E-2</v>
      </c>
      <c r="K90" s="32">
        <v>2E-3</v>
      </c>
      <c r="L90" s="32">
        <v>41</v>
      </c>
      <c r="M90" s="32">
        <v>21.74</v>
      </c>
      <c r="N90" s="32">
        <v>12.64</v>
      </c>
      <c r="O90" s="32">
        <v>29.89</v>
      </c>
      <c r="P90" s="32">
        <v>58.36</v>
      </c>
      <c r="Q90" s="33">
        <v>-23</v>
      </c>
      <c r="R90" s="33">
        <v>0.20399999999999999</v>
      </c>
      <c r="S90" s="33">
        <v>-2.6499999999999999E-4</v>
      </c>
      <c r="T90" s="33">
        <v>1.1999999999999999E-7</v>
      </c>
      <c r="U90" s="32">
        <v>0.749</v>
      </c>
      <c r="V90" s="32">
        <v>1.6910000000000001</v>
      </c>
      <c r="W90" s="32">
        <v>-322.14999999999998</v>
      </c>
      <c r="X90" s="32">
        <v>1.1870000000000001</v>
      </c>
      <c r="Y90" s="27">
        <v>13.01864</v>
      </c>
      <c r="Z90" s="27">
        <v>2</v>
      </c>
    </row>
    <row r="91" spans="8:26" x14ac:dyDescent="0.25">
      <c r="H91" s="27">
        <f t="shared" si="1"/>
        <v>0</v>
      </c>
      <c r="I91" s="35" t="s">
        <v>25</v>
      </c>
      <c r="J91" s="32">
        <v>6.7000000000000002E-3</v>
      </c>
      <c r="K91" s="32">
        <v>4.3E-3</v>
      </c>
      <c r="L91" s="32">
        <v>27</v>
      </c>
      <c r="M91" s="32">
        <v>18.25</v>
      </c>
      <c r="N91" s="32">
        <v>46.43</v>
      </c>
      <c r="O91" s="32">
        <v>82.23</v>
      </c>
      <c r="P91" s="32">
        <v>116.02</v>
      </c>
      <c r="Q91" s="33">
        <v>-66.2</v>
      </c>
      <c r="R91" s="33">
        <v>0.42699999999999999</v>
      </c>
      <c r="S91" s="33">
        <v>-6.4099999999999997E-4</v>
      </c>
      <c r="T91" s="33">
        <v>3.0100000000000001E-7</v>
      </c>
      <c r="U91" s="32">
        <v>-1.46</v>
      </c>
      <c r="V91" s="32">
        <v>0.63600000000000001</v>
      </c>
      <c r="W91" s="32">
        <v>-573.55999999999995</v>
      </c>
      <c r="X91" s="32">
        <v>2.3069999999999999</v>
      </c>
      <c r="Y91" s="27">
        <v>12.0107</v>
      </c>
      <c r="Z91" s="27">
        <v>1</v>
      </c>
    </row>
    <row r="92" spans="8:26" ht="18" x14ac:dyDescent="0.25">
      <c r="H92" s="27">
        <f t="shared" si="1"/>
        <v>0</v>
      </c>
      <c r="I92" s="31" t="s">
        <v>111</v>
      </c>
      <c r="J92" s="32">
        <v>1.1299999999999999E-2</v>
      </c>
      <c r="K92" s="32">
        <v>-2.8E-3</v>
      </c>
      <c r="L92" s="32">
        <v>56</v>
      </c>
      <c r="M92" s="32">
        <v>18.18</v>
      </c>
      <c r="N92" s="32">
        <v>-4.32</v>
      </c>
      <c r="O92" s="32">
        <v>-9.6300000000000008</v>
      </c>
      <c r="P92" s="32">
        <v>3.77</v>
      </c>
      <c r="Q92" s="33">
        <v>23.6</v>
      </c>
      <c r="R92" s="33">
        <v>-3.8100000000000002E-2</v>
      </c>
      <c r="S92" s="33">
        <v>1.7200000000000001E-4</v>
      </c>
      <c r="T92" s="33">
        <v>-1.03E-7</v>
      </c>
      <c r="U92" s="32">
        <v>-0.47299999999999998</v>
      </c>
      <c r="V92" s="32">
        <v>1.724</v>
      </c>
      <c r="W92" s="32">
        <v>495.01</v>
      </c>
      <c r="X92" s="32">
        <v>-1.5389999999999999</v>
      </c>
      <c r="Y92" s="27">
        <v>14.026579999999999</v>
      </c>
      <c r="Z92" s="27">
        <v>3</v>
      </c>
    </row>
    <row r="93" spans="8:26" x14ac:dyDescent="0.25">
      <c r="H93" s="27">
        <f t="shared" si="1"/>
        <v>0</v>
      </c>
      <c r="I93" s="35" t="s">
        <v>26</v>
      </c>
      <c r="J93" s="40">
        <v>1.29E-2</v>
      </c>
      <c r="K93" s="32">
        <v>-5.9999999999999995E-4</v>
      </c>
      <c r="L93" s="32">
        <v>46</v>
      </c>
      <c r="M93" s="32">
        <v>24.96</v>
      </c>
      <c r="N93" s="32">
        <v>8.73</v>
      </c>
      <c r="O93" s="32">
        <v>37.97</v>
      </c>
      <c r="P93" s="32">
        <v>48.53</v>
      </c>
      <c r="Q93" s="32">
        <v>-8</v>
      </c>
      <c r="R93" s="33">
        <v>0.105</v>
      </c>
      <c r="S93" s="33">
        <v>-9.6299999999999996E-5</v>
      </c>
      <c r="T93" s="33">
        <v>3.5600000000000001E-8</v>
      </c>
      <c r="U93" s="32">
        <v>2.6909999999999998</v>
      </c>
      <c r="V93" s="32">
        <v>2.2050000000000001</v>
      </c>
      <c r="W93" s="32">
        <v>82.28</v>
      </c>
      <c r="X93" s="32">
        <v>-0.24199999999999999</v>
      </c>
      <c r="Y93" s="27">
        <v>13.01864</v>
      </c>
      <c r="Z93" s="27">
        <v>2</v>
      </c>
    </row>
    <row r="94" spans="8:26" x14ac:dyDescent="0.25">
      <c r="H94" s="27">
        <f t="shared" si="1"/>
        <v>0</v>
      </c>
      <c r="I94" s="35" t="s">
        <v>27</v>
      </c>
      <c r="J94" s="32">
        <v>1.17E-2</v>
      </c>
      <c r="K94" s="32">
        <v>1.1000000000000001E-3</v>
      </c>
      <c r="L94" s="32">
        <v>38</v>
      </c>
      <c r="M94" s="32">
        <v>24.14</v>
      </c>
      <c r="N94" s="32">
        <v>11.14</v>
      </c>
      <c r="O94" s="32">
        <v>83.99</v>
      </c>
      <c r="P94" s="32">
        <v>92.36</v>
      </c>
      <c r="Q94" s="33">
        <v>-28.1</v>
      </c>
      <c r="R94" s="33">
        <v>0.20799999999999999</v>
      </c>
      <c r="S94" s="33">
        <v>-3.0600000000000001E-4</v>
      </c>
      <c r="T94" s="33">
        <v>1.4600000000000001E-7</v>
      </c>
      <c r="U94" s="32">
        <v>3.0630000000000002</v>
      </c>
      <c r="V94" s="32">
        <v>2.1379999999999999</v>
      </c>
      <c r="W94" s="32" t="s">
        <v>28</v>
      </c>
      <c r="X94" s="32" t="s">
        <v>28</v>
      </c>
      <c r="Y94" s="27">
        <v>12.0107</v>
      </c>
      <c r="Z94" s="27">
        <v>1</v>
      </c>
    </row>
    <row r="95" spans="8:26" x14ac:dyDescent="0.25">
      <c r="H95" s="27">
        <f t="shared" si="1"/>
        <v>0</v>
      </c>
      <c r="I95" s="35" t="s">
        <v>29</v>
      </c>
      <c r="J95" s="32">
        <v>2.5999999999999999E-3</v>
      </c>
      <c r="K95" s="32">
        <v>2.8E-3</v>
      </c>
      <c r="L95" s="32">
        <v>36</v>
      </c>
      <c r="M95" s="32">
        <v>26.15</v>
      </c>
      <c r="N95" s="32">
        <v>17.78</v>
      </c>
      <c r="O95" s="32">
        <v>142.13999999999999</v>
      </c>
      <c r="P95" s="32">
        <v>136.69999999999999</v>
      </c>
      <c r="Q95" s="33">
        <v>27.4</v>
      </c>
      <c r="R95" s="33">
        <v>-5.57E-2</v>
      </c>
      <c r="S95" s="33">
        <v>1.01E-4</v>
      </c>
      <c r="T95" s="33">
        <v>-5.02E-8</v>
      </c>
      <c r="U95" s="32">
        <v>4.72</v>
      </c>
      <c r="V95" s="32">
        <v>2.661</v>
      </c>
      <c r="W95" s="32" t="s">
        <v>28</v>
      </c>
      <c r="X95" s="32" t="s">
        <v>28</v>
      </c>
      <c r="Y95" s="27">
        <v>12.0107</v>
      </c>
      <c r="Z95" s="27">
        <v>1</v>
      </c>
    </row>
    <row r="96" spans="8:26" x14ac:dyDescent="0.25">
      <c r="H96" s="27">
        <f t="shared" si="1"/>
        <v>0</v>
      </c>
      <c r="I96" s="35" t="s">
        <v>30</v>
      </c>
      <c r="J96" s="32">
        <v>2.7000000000000001E-3</v>
      </c>
      <c r="K96" s="32">
        <v>-8.0000000000000004E-4</v>
      </c>
      <c r="L96" s="32">
        <v>46</v>
      </c>
      <c r="M96" s="32">
        <v>9.1999999999999993</v>
      </c>
      <c r="N96" s="32">
        <v>-11.18</v>
      </c>
      <c r="O96" s="32">
        <v>79.3</v>
      </c>
      <c r="P96" s="32">
        <v>77.709999999999994</v>
      </c>
      <c r="Q96" s="33">
        <v>24.5</v>
      </c>
      <c r="R96" s="33">
        <v>-2.7099999999999999E-2</v>
      </c>
      <c r="S96" s="33">
        <v>1.11E-4</v>
      </c>
      <c r="T96" s="33">
        <v>-6.7799999999999998E-8</v>
      </c>
      <c r="U96" s="32">
        <v>2.3220000000000001</v>
      </c>
      <c r="V96" s="32">
        <v>1.155</v>
      </c>
      <c r="W96" s="32" t="s">
        <v>28</v>
      </c>
      <c r="X96" s="32" t="s">
        <v>28</v>
      </c>
      <c r="Y96" s="27">
        <v>13.01864</v>
      </c>
      <c r="Z96" s="27">
        <v>2</v>
      </c>
    </row>
    <row r="97" spans="8:26" x14ac:dyDescent="0.25">
      <c r="H97" s="27">
        <f t="shared" si="1"/>
        <v>0</v>
      </c>
      <c r="I97" s="35" t="s">
        <v>31</v>
      </c>
      <c r="J97" s="32">
        <v>2E-3</v>
      </c>
      <c r="K97" s="32">
        <v>1.6000000000000001E-3</v>
      </c>
      <c r="L97" s="32">
        <v>37</v>
      </c>
      <c r="M97" s="32">
        <v>27.38</v>
      </c>
      <c r="N97" s="32">
        <v>64.319999999999993</v>
      </c>
      <c r="O97" s="32">
        <v>115.51</v>
      </c>
      <c r="P97" s="32">
        <v>109.82</v>
      </c>
      <c r="Q97" s="32">
        <v>7.87</v>
      </c>
      <c r="R97" s="33">
        <v>2.01E-2</v>
      </c>
      <c r="S97" s="33">
        <v>-8.3299999999999999E-6</v>
      </c>
      <c r="T97" s="33">
        <v>1.39E-9</v>
      </c>
      <c r="U97" s="32">
        <v>4.1509999999999998</v>
      </c>
      <c r="V97" s="32">
        <v>3.302</v>
      </c>
      <c r="W97" s="32" t="s">
        <v>28</v>
      </c>
      <c r="X97" s="32" t="s">
        <v>28</v>
      </c>
      <c r="Y97" s="27">
        <v>12.0107</v>
      </c>
      <c r="Z97" s="27">
        <v>1</v>
      </c>
    </row>
    <row r="98" spans="8:26" x14ac:dyDescent="0.25">
      <c r="H98" s="27"/>
      <c r="I98" s="30" t="s">
        <v>32</v>
      </c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spans="8:26" ht="18" x14ac:dyDescent="0.25">
      <c r="H99" s="27">
        <f>C19</f>
        <v>0</v>
      </c>
      <c r="I99" s="35" t="s">
        <v>23</v>
      </c>
      <c r="J99" s="32">
        <v>0.01</v>
      </c>
      <c r="K99" s="32">
        <v>2.5000000000000001E-3</v>
      </c>
      <c r="L99" s="32">
        <v>48</v>
      </c>
      <c r="M99" s="32">
        <v>27.15</v>
      </c>
      <c r="N99" s="32">
        <v>7.75</v>
      </c>
      <c r="O99" s="32">
        <v>-26.8</v>
      </c>
      <c r="P99" s="32">
        <v>-3.68</v>
      </c>
      <c r="Q99" s="32">
        <v>-6.03</v>
      </c>
      <c r="R99" s="33">
        <v>8.5400000000000004E-2</v>
      </c>
      <c r="S99" s="33">
        <v>-7.9999999999999996E-6</v>
      </c>
      <c r="T99" s="33">
        <v>-1.7999999999999999E-8</v>
      </c>
      <c r="U99" s="32">
        <v>0.49</v>
      </c>
      <c r="V99" s="32">
        <v>2.3980000000000001</v>
      </c>
      <c r="W99" s="32">
        <v>307.52999999999997</v>
      </c>
      <c r="X99" s="32">
        <v>-0.79800000000000004</v>
      </c>
      <c r="Y99" s="27">
        <v>14.026579999999999</v>
      </c>
      <c r="Z99" s="27">
        <v>3</v>
      </c>
    </row>
    <row r="100" spans="8:26" x14ac:dyDescent="0.25">
      <c r="H100" s="27">
        <f t="shared" ref="H100:H103" si="2">C20</f>
        <v>0</v>
      </c>
      <c r="I100" s="35" t="s">
        <v>24</v>
      </c>
      <c r="J100" s="32">
        <v>1.2200000000000001E-2</v>
      </c>
      <c r="K100" s="32">
        <v>4.0000000000000002E-4</v>
      </c>
      <c r="L100" s="32">
        <v>38</v>
      </c>
      <c r="M100" s="32">
        <v>21.78</v>
      </c>
      <c r="N100" s="32">
        <v>19.88</v>
      </c>
      <c r="O100" s="32">
        <v>8.67</v>
      </c>
      <c r="P100" s="32">
        <v>40.99</v>
      </c>
      <c r="Q100" s="33">
        <v>-20.5</v>
      </c>
      <c r="R100" s="33">
        <v>0.16200000000000001</v>
      </c>
      <c r="S100" s="33">
        <v>-1.6000000000000001E-4</v>
      </c>
      <c r="T100" s="33">
        <v>6.2400000000000003E-8</v>
      </c>
      <c r="U100" s="32">
        <v>3.2429999999999999</v>
      </c>
      <c r="V100" s="32">
        <v>1.9419999999999999</v>
      </c>
      <c r="W100" s="32">
        <v>-394.29</v>
      </c>
      <c r="X100" s="32">
        <v>1.2509999999999999</v>
      </c>
      <c r="Y100" s="27">
        <v>13.01864</v>
      </c>
      <c r="Z100" s="27">
        <v>2</v>
      </c>
    </row>
    <row r="101" spans="8:26" x14ac:dyDescent="0.25">
      <c r="H101" s="27">
        <f t="shared" si="2"/>
        <v>0</v>
      </c>
      <c r="I101" s="35" t="s">
        <v>25</v>
      </c>
      <c r="J101" s="32">
        <v>4.1999999999999997E-3</v>
      </c>
      <c r="K101" s="32">
        <v>6.1000000000000004E-3</v>
      </c>
      <c r="L101" s="32">
        <v>27</v>
      </c>
      <c r="M101" s="32">
        <v>21.32</v>
      </c>
      <c r="N101" s="32">
        <v>60.15</v>
      </c>
      <c r="O101" s="32">
        <v>79.72</v>
      </c>
      <c r="P101" s="32">
        <v>87.88</v>
      </c>
      <c r="Q101" s="33">
        <v>-90.9</v>
      </c>
      <c r="R101" s="33">
        <v>0.55700000000000005</v>
      </c>
      <c r="S101" s="33">
        <v>-8.9999999999999998E-4</v>
      </c>
      <c r="T101" s="33">
        <v>4.6899999999999998E-7</v>
      </c>
      <c r="U101" s="32">
        <v>-1.373</v>
      </c>
      <c r="V101" s="32">
        <v>0.64400000000000002</v>
      </c>
      <c r="W101" s="32" t="s">
        <v>28</v>
      </c>
      <c r="X101" s="32" t="s">
        <v>28</v>
      </c>
      <c r="Y101" s="27">
        <v>12.0107</v>
      </c>
      <c r="Z101" s="27">
        <v>1</v>
      </c>
    </row>
    <row r="102" spans="8:26" x14ac:dyDescent="0.25">
      <c r="H102" s="27">
        <f t="shared" si="2"/>
        <v>9</v>
      </c>
      <c r="I102" s="35" t="s">
        <v>26</v>
      </c>
      <c r="J102" s="32" t="s">
        <v>33</v>
      </c>
      <c r="K102" s="32">
        <v>1.1000000000000001E-3</v>
      </c>
      <c r="L102" s="32">
        <v>41</v>
      </c>
      <c r="M102" s="32">
        <v>26.73</v>
      </c>
      <c r="N102" s="32">
        <v>8.1300000000000008</v>
      </c>
      <c r="O102" s="32">
        <v>2.09</v>
      </c>
      <c r="P102" s="32">
        <v>11.3</v>
      </c>
      <c r="Q102" s="32">
        <v>-2.14</v>
      </c>
      <c r="R102" s="33">
        <v>5.74E-2</v>
      </c>
      <c r="S102" s="33">
        <v>-1.64E-6</v>
      </c>
      <c r="T102" s="33">
        <v>-1.59E-8</v>
      </c>
      <c r="U102" s="32">
        <v>1.101</v>
      </c>
      <c r="V102" s="32">
        <v>2.544</v>
      </c>
      <c r="W102" s="32">
        <v>259.64999999999998</v>
      </c>
      <c r="X102" s="32">
        <v>-0.70199999999999996</v>
      </c>
      <c r="Y102" s="27">
        <v>13.01864</v>
      </c>
      <c r="Z102" s="27">
        <v>2</v>
      </c>
    </row>
    <row r="103" spans="8:26" x14ac:dyDescent="0.25">
      <c r="H103" s="27">
        <f t="shared" si="2"/>
        <v>3</v>
      </c>
      <c r="I103" s="35" t="s">
        <v>27</v>
      </c>
      <c r="J103" s="32">
        <v>1.43E-2</v>
      </c>
      <c r="K103" s="32">
        <v>8.0000000000000004E-4</v>
      </c>
      <c r="L103" s="32">
        <v>32</v>
      </c>
      <c r="M103" s="32">
        <v>31.01</v>
      </c>
      <c r="N103" s="32">
        <v>37.020000000000003</v>
      </c>
      <c r="O103" s="32">
        <v>46.43</v>
      </c>
      <c r="P103" s="32">
        <v>54.05</v>
      </c>
      <c r="Q103" s="32">
        <v>-8.25</v>
      </c>
      <c r="R103" s="33">
        <v>0.10100000000000001</v>
      </c>
      <c r="S103" s="33">
        <v>-1.4200000000000001E-4</v>
      </c>
      <c r="T103" s="33">
        <v>6.7799999999999998E-8</v>
      </c>
      <c r="U103" s="32">
        <v>2.3940000000000001</v>
      </c>
      <c r="V103" s="32">
        <v>3.0590000000000002</v>
      </c>
      <c r="W103" s="32">
        <v>-245.74</v>
      </c>
      <c r="X103" s="32">
        <v>0.91200000000000003</v>
      </c>
      <c r="Y103" s="27">
        <v>12.0107</v>
      </c>
      <c r="Z103" s="27">
        <v>1</v>
      </c>
    </row>
    <row r="104" spans="8:26" x14ac:dyDescent="0.25">
      <c r="H104" s="27"/>
      <c r="I104" s="30" t="s">
        <v>34</v>
      </c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spans="8:26" x14ac:dyDescent="0.25">
      <c r="H105" s="27">
        <f>C25</f>
        <v>0</v>
      </c>
      <c r="I105" s="35" t="s">
        <v>35</v>
      </c>
      <c r="J105" s="32">
        <v>1.11E-2</v>
      </c>
      <c r="K105" s="32">
        <v>-5.7000000000000002E-3</v>
      </c>
      <c r="L105" s="32">
        <v>27</v>
      </c>
      <c r="M105" s="32">
        <v>-0.03</v>
      </c>
      <c r="N105" s="32">
        <v>-15.78</v>
      </c>
      <c r="O105" s="32">
        <v>-251.92</v>
      </c>
      <c r="P105" s="32">
        <v>-247.19</v>
      </c>
      <c r="Q105" s="33">
        <v>26.5</v>
      </c>
      <c r="R105" s="33">
        <v>-9.1300000000000006E-2</v>
      </c>
      <c r="S105" s="33">
        <v>1.9100000000000001E-4</v>
      </c>
      <c r="T105" s="33">
        <v>-1.03E-7</v>
      </c>
      <c r="U105" s="32">
        <v>1.3979999999999999</v>
      </c>
      <c r="V105" s="32">
        <v>-0.67</v>
      </c>
      <c r="W105" s="32" t="s">
        <v>28</v>
      </c>
      <c r="X105" s="32" t="s">
        <v>28</v>
      </c>
      <c r="Y105" s="36">
        <v>18.998403199999998</v>
      </c>
      <c r="Z105" s="27">
        <v>1</v>
      </c>
    </row>
    <row r="106" spans="8:26" x14ac:dyDescent="0.25">
      <c r="H106" s="27">
        <f t="shared" ref="H106:H108" si="3">C26</f>
        <v>0</v>
      </c>
      <c r="I106" s="35" t="s">
        <v>36</v>
      </c>
      <c r="J106" s="32">
        <v>1.0500000000000001E-2</v>
      </c>
      <c r="K106" s="32">
        <v>-4.8999999999999998E-3</v>
      </c>
      <c r="L106" s="32">
        <v>58</v>
      </c>
      <c r="M106" s="32">
        <v>38.130000000000003</v>
      </c>
      <c r="N106" s="32">
        <v>13.55</v>
      </c>
      <c r="O106" s="32">
        <v>-71.55</v>
      </c>
      <c r="P106" s="32">
        <v>-64.31</v>
      </c>
      <c r="Q106" s="33">
        <v>33.299999999999997</v>
      </c>
      <c r="R106" s="33">
        <v>-9.6299999999999997E-2</v>
      </c>
      <c r="S106" s="33">
        <v>1.8699999999999999E-4</v>
      </c>
      <c r="T106" s="33">
        <v>-9.9600000000000005E-8</v>
      </c>
      <c r="U106" s="32">
        <v>2.5150000000000001</v>
      </c>
      <c r="V106" s="32">
        <v>4.532</v>
      </c>
      <c r="W106" s="32">
        <v>625.45000000000005</v>
      </c>
      <c r="X106" s="32">
        <v>-1.8140000000000001</v>
      </c>
      <c r="Y106" s="27">
        <v>35.453000000000003</v>
      </c>
      <c r="Z106" s="27">
        <v>1</v>
      </c>
    </row>
    <row r="107" spans="8:26" x14ac:dyDescent="0.25">
      <c r="H107" s="27">
        <f t="shared" si="3"/>
        <v>0</v>
      </c>
      <c r="I107" s="35" t="s">
        <v>37</v>
      </c>
      <c r="J107" s="32">
        <v>1.3299999999999999E-2</v>
      </c>
      <c r="K107" s="32">
        <v>5.7000000000000002E-3</v>
      </c>
      <c r="L107" s="32">
        <v>71</v>
      </c>
      <c r="M107" s="32">
        <v>66.86</v>
      </c>
      <c r="N107" s="32">
        <v>43.43</v>
      </c>
      <c r="O107" s="32">
        <v>-29.48</v>
      </c>
      <c r="P107" s="32">
        <v>-38.06</v>
      </c>
      <c r="Q107" s="33">
        <v>28.6</v>
      </c>
      <c r="R107" s="33">
        <v>-6.4899999999999999E-2</v>
      </c>
      <c r="S107" s="33">
        <v>1.36E-4</v>
      </c>
      <c r="T107" s="33">
        <v>-7.4499999999999999E-8</v>
      </c>
      <c r="U107" s="32">
        <v>3.6030000000000002</v>
      </c>
      <c r="V107" s="32">
        <v>6.5819999999999999</v>
      </c>
      <c r="W107" s="32">
        <v>738.91</v>
      </c>
      <c r="X107" s="32">
        <v>-2.0379999999999998</v>
      </c>
      <c r="Y107" s="27">
        <v>79.903999999999996</v>
      </c>
      <c r="Z107" s="27">
        <v>1</v>
      </c>
    </row>
    <row r="108" spans="8:26" x14ac:dyDescent="0.25">
      <c r="H108" s="27">
        <f t="shared" si="3"/>
        <v>0</v>
      </c>
      <c r="I108" s="35" t="s">
        <v>38</v>
      </c>
      <c r="J108" s="32">
        <v>6.7999999999999996E-3</v>
      </c>
      <c r="K108" s="32">
        <v>-3.3999999999999998E-3</v>
      </c>
      <c r="L108" s="32">
        <v>97</v>
      </c>
      <c r="M108" s="32">
        <v>93.84</v>
      </c>
      <c r="N108" s="32">
        <v>41.69</v>
      </c>
      <c r="O108" s="32">
        <v>21.06</v>
      </c>
      <c r="P108" s="32">
        <v>5.74</v>
      </c>
      <c r="Q108" s="33">
        <v>32.1</v>
      </c>
      <c r="R108" s="33">
        <v>-6.4100000000000004E-2</v>
      </c>
      <c r="S108" s="33">
        <v>1.26E-4</v>
      </c>
      <c r="T108" s="33">
        <v>-6.87E-8</v>
      </c>
      <c r="U108" s="32">
        <v>2.7240000000000002</v>
      </c>
      <c r="V108" s="32">
        <v>9.52</v>
      </c>
      <c r="W108" s="32">
        <v>809.55</v>
      </c>
      <c r="X108" s="32">
        <v>-2.2240000000000002</v>
      </c>
      <c r="Y108" s="27">
        <v>126.90447</v>
      </c>
      <c r="Z108" s="27">
        <v>1</v>
      </c>
    </row>
    <row r="109" spans="8:26" x14ac:dyDescent="0.25">
      <c r="H109" s="27"/>
      <c r="I109" s="30" t="s">
        <v>39</v>
      </c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spans="8:26" x14ac:dyDescent="0.25">
      <c r="H110" s="27">
        <f>G8</f>
        <v>0</v>
      </c>
      <c r="I110" s="35" t="s">
        <v>40</v>
      </c>
      <c r="J110" s="32">
        <v>7.4099999999999999E-2</v>
      </c>
      <c r="K110" s="32">
        <v>1.12E-2</v>
      </c>
      <c r="L110" s="32">
        <v>28</v>
      </c>
      <c r="M110" s="32">
        <v>92.88</v>
      </c>
      <c r="N110" s="32">
        <v>44.45</v>
      </c>
      <c r="O110" s="32">
        <v>-208.04</v>
      </c>
      <c r="P110" s="32">
        <v>-189.2</v>
      </c>
      <c r="Q110" s="33">
        <v>25.7</v>
      </c>
      <c r="R110" s="33">
        <v>-6.9099999999999995E-2</v>
      </c>
      <c r="S110" s="33">
        <v>1.7699999999999999E-4</v>
      </c>
      <c r="T110" s="33">
        <v>-9.8799999999999998E-8</v>
      </c>
      <c r="U110" s="32">
        <v>2.4060000000000001</v>
      </c>
      <c r="V110" s="32">
        <v>16.826000000000001</v>
      </c>
      <c r="W110" s="32">
        <v>2173.7199999999998</v>
      </c>
      <c r="X110" s="32">
        <v>-5.0570000000000004</v>
      </c>
      <c r="Y110" s="27">
        <v>17.007339999999999</v>
      </c>
      <c r="Z110" s="27">
        <v>2</v>
      </c>
    </row>
    <row r="111" spans="8:26" x14ac:dyDescent="0.25">
      <c r="H111" s="27">
        <f t="shared" ref="H111:H119" si="4">G9</f>
        <v>1</v>
      </c>
      <c r="I111" s="35" t="s">
        <v>41</v>
      </c>
      <c r="J111" s="32">
        <v>2.4E-2</v>
      </c>
      <c r="K111" s="32">
        <v>1.84E-2</v>
      </c>
      <c r="L111" s="32">
        <v>-25</v>
      </c>
      <c r="M111" s="32">
        <v>76.34</v>
      </c>
      <c r="N111" s="32">
        <v>82.83</v>
      </c>
      <c r="O111" s="32">
        <v>-221.65</v>
      </c>
      <c r="P111" s="32">
        <v>-197.37</v>
      </c>
      <c r="Q111" s="32">
        <v>-2.81</v>
      </c>
      <c r="R111" s="33">
        <v>0.111</v>
      </c>
      <c r="S111" s="33">
        <v>-1.16E-4</v>
      </c>
      <c r="T111" s="33">
        <v>4.9399999999999999E-8</v>
      </c>
      <c r="U111" s="32">
        <v>4.49</v>
      </c>
      <c r="V111" s="32">
        <v>12.499000000000001</v>
      </c>
      <c r="W111" s="32">
        <v>3018.17</v>
      </c>
      <c r="X111" s="32">
        <v>-7.3140000000000001</v>
      </c>
      <c r="Y111" s="27">
        <v>17.007339999999999</v>
      </c>
      <c r="Z111" s="27">
        <v>2</v>
      </c>
    </row>
    <row r="112" spans="8:26" x14ac:dyDescent="0.25">
      <c r="H112" s="27">
        <f t="shared" si="4"/>
        <v>1</v>
      </c>
      <c r="I112" s="35" t="s">
        <v>42</v>
      </c>
      <c r="J112" s="32">
        <v>1.6799999999999999E-2</v>
      </c>
      <c r="K112" s="32">
        <v>1.5E-3</v>
      </c>
      <c r="L112" s="32">
        <v>18</v>
      </c>
      <c r="M112" s="32">
        <v>22.42</v>
      </c>
      <c r="N112" s="32">
        <v>22.23</v>
      </c>
      <c r="O112" s="32">
        <v>-132.22</v>
      </c>
      <c r="P112" s="32">
        <v>-105</v>
      </c>
      <c r="Q112" s="33">
        <v>25.5</v>
      </c>
      <c r="R112" s="33">
        <v>-6.3200000000000006E-2</v>
      </c>
      <c r="S112" s="33">
        <v>1.11E-4</v>
      </c>
      <c r="T112" s="33">
        <v>-5.4800000000000001E-8</v>
      </c>
      <c r="U112" s="32">
        <v>1.1879999999999999</v>
      </c>
      <c r="V112" s="32">
        <v>2.41</v>
      </c>
      <c r="W112" s="32">
        <v>122.09</v>
      </c>
      <c r="X112" s="32">
        <v>-0.38600000000000001</v>
      </c>
      <c r="Y112" s="27">
        <v>15.9994</v>
      </c>
      <c r="Z112" s="27">
        <v>1</v>
      </c>
    </row>
    <row r="113" spans="8:26" x14ac:dyDescent="0.25">
      <c r="H113" s="27">
        <f t="shared" si="4"/>
        <v>0</v>
      </c>
      <c r="I113" s="35" t="s">
        <v>43</v>
      </c>
      <c r="J113" s="32">
        <v>9.7999999999999997E-3</v>
      </c>
      <c r="K113" s="32">
        <v>4.7999999999999996E-3</v>
      </c>
      <c r="L113" s="32">
        <v>13</v>
      </c>
      <c r="M113" s="32">
        <v>31.22</v>
      </c>
      <c r="N113" s="32">
        <v>23.05</v>
      </c>
      <c r="O113" s="32">
        <v>-138.16</v>
      </c>
      <c r="P113" s="32">
        <v>-98.22</v>
      </c>
      <c r="Q113" s="33">
        <v>12.2</v>
      </c>
      <c r="R113" s="33">
        <v>-1.26E-2</v>
      </c>
      <c r="S113" s="33">
        <v>6.0300000000000002E-5</v>
      </c>
      <c r="T113" s="33">
        <v>-3.8600000000000002E-8</v>
      </c>
      <c r="U113" s="32">
        <v>5.8789999999999996</v>
      </c>
      <c r="V113" s="32">
        <v>4.6820000000000004</v>
      </c>
      <c r="W113" s="32">
        <v>440.24</v>
      </c>
      <c r="X113" s="32">
        <v>-0.95299999999999996</v>
      </c>
      <c r="Y113" s="27">
        <v>15.9994</v>
      </c>
      <c r="Z113" s="27">
        <v>1</v>
      </c>
    </row>
    <row r="114" spans="8:26" x14ac:dyDescent="0.25">
      <c r="H114" s="27">
        <f t="shared" si="4"/>
        <v>0</v>
      </c>
      <c r="I114" s="35" t="s">
        <v>44</v>
      </c>
      <c r="J114" s="32">
        <v>3.7999999999999999E-2</v>
      </c>
      <c r="K114" s="32">
        <v>3.0999999999999999E-3</v>
      </c>
      <c r="L114" s="32">
        <v>62</v>
      </c>
      <c r="M114" s="32">
        <v>76.75</v>
      </c>
      <c r="N114" s="32">
        <v>61.2</v>
      </c>
      <c r="O114" s="32">
        <v>-133.22</v>
      </c>
      <c r="P114" s="32">
        <v>-120.5</v>
      </c>
      <c r="Q114" s="32">
        <v>6.45</v>
      </c>
      <c r="R114" s="33">
        <v>6.7000000000000004E-2</v>
      </c>
      <c r="S114" s="33">
        <v>-3.57E-5</v>
      </c>
      <c r="T114" s="33">
        <v>2.86E-9</v>
      </c>
      <c r="U114" s="32">
        <v>4.1890000000000001</v>
      </c>
      <c r="V114" s="32">
        <v>8.9719999999999995</v>
      </c>
      <c r="W114" s="32">
        <v>340.35</v>
      </c>
      <c r="X114" s="32">
        <v>-0.35</v>
      </c>
      <c r="Y114" s="27">
        <v>28.010100000000001</v>
      </c>
      <c r="Z114" s="27">
        <v>2</v>
      </c>
    </row>
    <row r="115" spans="8:26" x14ac:dyDescent="0.25">
      <c r="H115" s="27">
        <f t="shared" si="4"/>
        <v>0</v>
      </c>
      <c r="I115" s="35" t="s">
        <v>45</v>
      </c>
      <c r="J115" s="32">
        <v>2.8400000000000002E-2</v>
      </c>
      <c r="K115" s="32">
        <v>2.8E-3</v>
      </c>
      <c r="L115" s="32">
        <v>55</v>
      </c>
      <c r="M115" s="32">
        <v>94.97</v>
      </c>
      <c r="N115" s="32">
        <v>75.97</v>
      </c>
      <c r="O115" s="32">
        <v>-164.5</v>
      </c>
      <c r="P115" s="32">
        <v>-126.27</v>
      </c>
      <c r="Q115" s="33">
        <v>30.4</v>
      </c>
      <c r="R115" s="33">
        <v>-8.2900000000000001E-2</v>
      </c>
      <c r="S115" s="33">
        <v>2.3599999999999999E-4</v>
      </c>
      <c r="T115" s="33">
        <v>-1.31E-7</v>
      </c>
      <c r="U115" s="32">
        <v>0</v>
      </c>
      <c r="V115" s="32">
        <v>6.6449999999999996</v>
      </c>
      <c r="W115" s="32" t="s">
        <v>28</v>
      </c>
      <c r="X115" s="32" t="s">
        <v>28</v>
      </c>
      <c r="Y115" s="27">
        <v>28.010100000000001</v>
      </c>
      <c r="Z115" s="27">
        <v>2</v>
      </c>
    </row>
    <row r="116" spans="8:26" x14ac:dyDescent="0.25">
      <c r="H116" s="27">
        <f t="shared" si="4"/>
        <v>0</v>
      </c>
      <c r="I116" s="35" t="s">
        <v>46</v>
      </c>
      <c r="J116" s="32">
        <v>3.7900000000000003E-2</v>
      </c>
      <c r="K116" s="32">
        <v>3.0000000000000001E-3</v>
      </c>
      <c r="L116" s="32">
        <v>82</v>
      </c>
      <c r="M116" s="32">
        <v>72.239999999999995</v>
      </c>
      <c r="N116" s="32">
        <v>36.9</v>
      </c>
      <c r="O116" s="32">
        <v>-162.03</v>
      </c>
      <c r="P116" s="32">
        <v>-143.47999999999999</v>
      </c>
      <c r="Q116" s="33">
        <v>30.9</v>
      </c>
      <c r="R116" s="33">
        <v>-3.3599999999999998E-2</v>
      </c>
      <c r="S116" s="33">
        <v>1.6000000000000001E-4</v>
      </c>
      <c r="T116" s="33">
        <v>-9.8799999999999998E-8</v>
      </c>
      <c r="U116" s="32">
        <v>3.1970000000000001</v>
      </c>
      <c r="V116" s="32">
        <v>9.093</v>
      </c>
      <c r="W116" s="32">
        <v>740.92</v>
      </c>
      <c r="X116" s="32">
        <v>-1.7130000000000001</v>
      </c>
      <c r="Y116" s="27">
        <v>29.018040000000003</v>
      </c>
      <c r="Z116" s="27">
        <v>3</v>
      </c>
    </row>
    <row r="117" spans="8:26" x14ac:dyDescent="0.25">
      <c r="H117" s="27">
        <f t="shared" si="4"/>
        <v>0</v>
      </c>
      <c r="I117" s="35" t="s">
        <v>47</v>
      </c>
      <c r="J117" s="32">
        <v>7.9100000000000004E-2</v>
      </c>
      <c r="K117" s="32">
        <v>7.7000000000000002E-3</v>
      </c>
      <c r="L117" s="32">
        <v>89</v>
      </c>
      <c r="M117" s="32">
        <v>169.09</v>
      </c>
      <c r="N117" s="32">
        <v>155.5</v>
      </c>
      <c r="O117" s="32">
        <v>-426.72</v>
      </c>
      <c r="P117" s="32">
        <v>-387.87</v>
      </c>
      <c r="Q117" s="33">
        <v>24.1</v>
      </c>
      <c r="R117" s="33">
        <v>4.2700000000000002E-2</v>
      </c>
      <c r="S117" s="33">
        <v>8.0400000000000003E-5</v>
      </c>
      <c r="T117" s="33">
        <v>-6.87E-8</v>
      </c>
      <c r="U117" s="32">
        <v>11.051</v>
      </c>
      <c r="V117" s="32">
        <v>19.536999999999999</v>
      </c>
      <c r="W117" s="32">
        <v>1317.23</v>
      </c>
      <c r="X117" s="32">
        <v>-2.5779999999999998</v>
      </c>
      <c r="Y117" s="27">
        <v>45.017440000000001</v>
      </c>
      <c r="Z117" s="27">
        <v>4</v>
      </c>
    </row>
    <row r="118" spans="8:26" x14ac:dyDescent="0.25">
      <c r="H118" s="27">
        <f t="shared" si="4"/>
        <v>0</v>
      </c>
      <c r="I118" s="35" t="s">
        <v>48</v>
      </c>
      <c r="J118" s="32">
        <v>4.8099999999999997E-2</v>
      </c>
      <c r="K118" s="32">
        <v>5.0000000000000001E-4</v>
      </c>
      <c r="L118" s="32">
        <v>82</v>
      </c>
      <c r="M118" s="32">
        <v>81.099999999999994</v>
      </c>
      <c r="N118" s="32">
        <v>53.6</v>
      </c>
      <c r="O118" s="32">
        <v>-337.92</v>
      </c>
      <c r="P118" s="32">
        <v>-301.95</v>
      </c>
      <c r="Q118" s="33">
        <v>24.5</v>
      </c>
      <c r="R118" s="33">
        <v>4.02E-2</v>
      </c>
      <c r="S118" s="33">
        <v>4.0200000000000001E-5</v>
      </c>
      <c r="T118" s="33">
        <v>-4.5200000000000001E-8</v>
      </c>
      <c r="U118" s="32">
        <v>6.9589999999999996</v>
      </c>
      <c r="V118" s="32">
        <v>9.6329999999999991</v>
      </c>
      <c r="W118" s="32">
        <v>483.88</v>
      </c>
      <c r="X118" s="32">
        <v>-0.96599999999999997</v>
      </c>
      <c r="Y118" s="27">
        <v>44.009500000000003</v>
      </c>
      <c r="Z118" s="27">
        <v>3</v>
      </c>
    </row>
    <row r="119" spans="8:26" x14ac:dyDescent="0.25">
      <c r="H119" s="27">
        <f t="shared" si="4"/>
        <v>0</v>
      </c>
      <c r="I119" s="31" t="s">
        <v>61</v>
      </c>
      <c r="J119" s="32" t="s">
        <v>49</v>
      </c>
      <c r="K119" s="32">
        <v>1.01E-2</v>
      </c>
      <c r="L119" s="32">
        <v>36</v>
      </c>
      <c r="M119" s="32">
        <v>-10.5</v>
      </c>
      <c r="N119" s="32">
        <v>2.08</v>
      </c>
      <c r="O119" s="32">
        <v>-247.61</v>
      </c>
      <c r="P119" s="32">
        <v>-250.83</v>
      </c>
      <c r="Q119" s="32">
        <v>6.82</v>
      </c>
      <c r="R119" s="33">
        <v>1.9599999999999999E-2</v>
      </c>
      <c r="S119" s="33">
        <v>1.27E-5</v>
      </c>
      <c r="T119" s="33">
        <v>-1.7800000000000001E-8</v>
      </c>
      <c r="U119" s="32">
        <v>3.6240000000000001</v>
      </c>
      <c r="V119" s="32">
        <v>5.9089999999999998</v>
      </c>
      <c r="W119" s="32">
        <v>675.24</v>
      </c>
      <c r="X119" s="32">
        <v>-1.34</v>
      </c>
      <c r="Y119" s="27">
        <v>15.9994</v>
      </c>
      <c r="Z119" s="27">
        <v>1</v>
      </c>
    </row>
    <row r="120" spans="8:26" x14ac:dyDescent="0.25">
      <c r="H120" s="27"/>
      <c r="I120" s="30" t="s">
        <v>50</v>
      </c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spans="8:26" x14ac:dyDescent="0.25">
      <c r="H121" s="27">
        <f>G19</f>
        <v>0</v>
      </c>
      <c r="I121" s="31" t="s">
        <v>64</v>
      </c>
      <c r="J121" s="32">
        <v>2.4299999999999999E-2</v>
      </c>
      <c r="K121" s="32">
        <v>1.09E-2</v>
      </c>
      <c r="L121" s="32">
        <v>38</v>
      </c>
      <c r="M121" s="32">
        <v>73.23</v>
      </c>
      <c r="N121" s="32">
        <v>66.89</v>
      </c>
      <c r="O121" s="32">
        <v>-22.02</v>
      </c>
      <c r="P121" s="32">
        <v>14.07</v>
      </c>
      <c r="Q121" s="33">
        <v>26.9</v>
      </c>
      <c r="R121" s="33">
        <v>-4.1200000000000001E-2</v>
      </c>
      <c r="S121" s="33">
        <v>1.64E-4</v>
      </c>
      <c r="T121" s="33">
        <v>-9.76E-8</v>
      </c>
      <c r="U121" s="32">
        <v>3.5150000000000001</v>
      </c>
      <c r="V121" s="32">
        <v>10.788</v>
      </c>
      <c r="W121" s="32"/>
      <c r="X121" s="32"/>
      <c r="Y121" s="27">
        <v>16.022580000000001</v>
      </c>
      <c r="Z121" s="27">
        <v>3</v>
      </c>
    </row>
    <row r="122" spans="8:26" x14ac:dyDescent="0.25">
      <c r="H122" s="27">
        <f t="shared" ref="H122:H129" si="5">G20</f>
        <v>0</v>
      </c>
      <c r="I122" s="35" t="s">
        <v>51</v>
      </c>
      <c r="J122" s="32">
        <v>2.9499999999999998E-2</v>
      </c>
      <c r="K122" s="32">
        <v>7.7000000000000002E-3</v>
      </c>
      <c r="L122" s="32">
        <v>35</v>
      </c>
      <c r="M122" s="32">
        <v>50.17</v>
      </c>
      <c r="N122" s="32">
        <v>52.66</v>
      </c>
      <c r="O122" s="32">
        <v>53.47</v>
      </c>
      <c r="P122" s="32">
        <v>89.39</v>
      </c>
      <c r="Q122" s="32">
        <v>-1.21</v>
      </c>
      <c r="R122" s="33">
        <v>7.6200000000000004E-2</v>
      </c>
      <c r="S122" s="33">
        <v>-4.8600000000000002E-5</v>
      </c>
      <c r="T122" s="33">
        <v>1.05E-8</v>
      </c>
      <c r="U122" s="32">
        <v>5.0990000000000002</v>
      </c>
      <c r="V122" s="32">
        <v>6.4359999999999999</v>
      </c>
      <c r="W122" s="32"/>
      <c r="X122" s="32"/>
      <c r="Y122" s="27">
        <v>15.01464</v>
      </c>
      <c r="Z122" s="27">
        <v>2</v>
      </c>
    </row>
    <row r="123" spans="8:26" x14ac:dyDescent="0.25">
      <c r="H123" s="27">
        <f t="shared" si="5"/>
        <v>0</v>
      </c>
      <c r="I123" s="35" t="s">
        <v>52</v>
      </c>
      <c r="J123" s="32">
        <v>1.2999999999999999E-2</v>
      </c>
      <c r="K123" s="32">
        <v>1.14E-2</v>
      </c>
      <c r="L123" s="32">
        <v>29</v>
      </c>
      <c r="M123" s="32">
        <v>52.82</v>
      </c>
      <c r="N123" s="32">
        <v>101.51</v>
      </c>
      <c r="O123" s="32">
        <v>31.65</v>
      </c>
      <c r="P123" s="32">
        <v>75.61</v>
      </c>
      <c r="Q123" s="33">
        <v>11.8</v>
      </c>
      <c r="R123" s="33">
        <v>-2.3E-2</v>
      </c>
      <c r="S123" s="33">
        <v>1.07E-4</v>
      </c>
      <c r="T123" s="33">
        <v>-6.2800000000000006E-8</v>
      </c>
      <c r="U123" s="32">
        <v>7.49</v>
      </c>
      <c r="V123" s="32">
        <v>6.93</v>
      </c>
      <c r="W123" s="32"/>
      <c r="X123" s="32"/>
      <c r="Y123" s="27">
        <v>15.01464</v>
      </c>
      <c r="Z123" s="27">
        <v>2</v>
      </c>
    </row>
    <row r="124" spans="8:26" x14ac:dyDescent="0.25">
      <c r="H124" s="27">
        <f t="shared" si="5"/>
        <v>0</v>
      </c>
      <c r="I124" s="35" t="s">
        <v>53</v>
      </c>
      <c r="J124" s="32">
        <v>1.6899999999999998E-2</v>
      </c>
      <c r="K124" s="32">
        <v>7.4000000000000003E-3</v>
      </c>
      <c r="L124" s="32">
        <v>9</v>
      </c>
      <c r="M124" s="32">
        <v>11.74</v>
      </c>
      <c r="N124" s="32">
        <v>48.84</v>
      </c>
      <c r="O124" s="32">
        <v>123.34</v>
      </c>
      <c r="P124" s="32">
        <v>163.16</v>
      </c>
      <c r="Q124" s="33">
        <v>-31.1</v>
      </c>
      <c r="R124" s="33">
        <v>0.22700000000000001</v>
      </c>
      <c r="S124" s="33">
        <v>-3.2000000000000003E-4</v>
      </c>
      <c r="T124" s="33">
        <v>1.4600000000000001E-7</v>
      </c>
      <c r="U124" s="32">
        <v>4.7030000000000003</v>
      </c>
      <c r="V124" s="32">
        <v>1.8959999999999999</v>
      </c>
      <c r="W124" s="32"/>
      <c r="X124" s="32"/>
      <c r="Y124" s="27">
        <v>14.0067</v>
      </c>
      <c r="Z124" s="27">
        <v>1</v>
      </c>
    </row>
    <row r="125" spans="8:26" x14ac:dyDescent="0.25">
      <c r="H125" s="27">
        <f t="shared" si="5"/>
        <v>0</v>
      </c>
      <c r="I125" s="35" t="s">
        <v>54</v>
      </c>
      <c r="J125" s="32">
        <v>2.5499999999999998E-2</v>
      </c>
      <c r="K125" s="32">
        <v>-9.9000000000000008E-3</v>
      </c>
      <c r="L125" s="32"/>
      <c r="M125" s="32">
        <v>74.599999999999994</v>
      </c>
      <c r="N125" s="32"/>
      <c r="O125" s="32">
        <v>23.61</v>
      </c>
      <c r="P125" s="32"/>
      <c r="Q125" s="32"/>
      <c r="R125" s="32"/>
      <c r="S125" s="32"/>
      <c r="T125" s="32"/>
      <c r="U125" s="32"/>
      <c r="V125" s="32">
        <v>3.335</v>
      </c>
      <c r="W125" s="32"/>
      <c r="X125" s="32"/>
      <c r="Y125" s="27">
        <v>14.0067</v>
      </c>
      <c r="Z125" s="27">
        <v>1</v>
      </c>
    </row>
    <row r="126" spans="8:26" x14ac:dyDescent="0.25">
      <c r="H126" s="27">
        <f t="shared" si="5"/>
        <v>0</v>
      </c>
      <c r="I126" s="35" t="s">
        <v>55</v>
      </c>
      <c r="J126" s="32">
        <v>8.5000000000000006E-3</v>
      </c>
      <c r="K126" s="32">
        <v>7.6E-3</v>
      </c>
      <c r="L126" s="32">
        <v>34</v>
      </c>
      <c r="M126" s="32">
        <v>57.55</v>
      </c>
      <c r="N126" s="32">
        <v>68.400000000000006</v>
      </c>
      <c r="O126" s="32">
        <v>55.52</v>
      </c>
      <c r="P126" s="32">
        <v>79.930000000000007</v>
      </c>
      <c r="Q126" s="32">
        <v>8.83</v>
      </c>
      <c r="R126" s="33">
        <v>-3.8400000000000001E-3</v>
      </c>
      <c r="S126" s="33">
        <v>4.35E-5</v>
      </c>
      <c r="T126" s="33">
        <v>-2.6000000000000001E-8</v>
      </c>
      <c r="U126" s="32">
        <v>3.649</v>
      </c>
      <c r="V126" s="32">
        <v>6.5279999999999996</v>
      </c>
      <c r="W126" s="32"/>
      <c r="X126" s="32"/>
      <c r="Y126" s="27">
        <v>14.0067</v>
      </c>
      <c r="Z126" s="27">
        <v>1</v>
      </c>
    </row>
    <row r="127" spans="8:26" x14ac:dyDescent="0.25">
      <c r="H127" s="27">
        <f t="shared" si="5"/>
        <v>0</v>
      </c>
      <c r="I127" s="31" t="s">
        <v>62</v>
      </c>
      <c r="J127" s="32"/>
      <c r="K127" s="32"/>
      <c r="L127" s="32"/>
      <c r="M127" s="32">
        <v>83.08</v>
      </c>
      <c r="N127" s="32">
        <v>68.91</v>
      </c>
      <c r="O127" s="32">
        <v>93.7</v>
      </c>
      <c r="P127" s="32">
        <v>119.66</v>
      </c>
      <c r="Q127" s="32">
        <v>5.69</v>
      </c>
      <c r="R127" s="33">
        <v>-4.1200000000000004E-3</v>
      </c>
      <c r="S127" s="33">
        <v>1.2799999999999999E-4</v>
      </c>
      <c r="T127" s="33">
        <v>-8.8800000000000001E-8</v>
      </c>
      <c r="U127" s="32" t="s">
        <v>28</v>
      </c>
      <c r="V127" s="32">
        <v>12.169</v>
      </c>
      <c r="W127" s="32"/>
      <c r="X127" s="32"/>
      <c r="Y127" s="27">
        <v>15.01464</v>
      </c>
      <c r="Z127" s="27">
        <v>2</v>
      </c>
    </row>
    <row r="128" spans="8:26" x14ac:dyDescent="0.25">
      <c r="H128" s="27">
        <f t="shared" si="5"/>
        <v>0</v>
      </c>
      <c r="I128" s="35" t="s">
        <v>56</v>
      </c>
      <c r="J128" s="32">
        <v>4.9599999999999998E-2</v>
      </c>
      <c r="K128" s="32">
        <v>-1.01E-2</v>
      </c>
      <c r="L128" s="32">
        <v>91</v>
      </c>
      <c r="M128" s="32">
        <v>125.66</v>
      </c>
      <c r="N128" s="32">
        <v>59.89</v>
      </c>
      <c r="O128" s="32">
        <v>88.43</v>
      </c>
      <c r="P128" s="32">
        <v>89.22</v>
      </c>
      <c r="Q128" s="33">
        <v>36.5</v>
      </c>
      <c r="R128" s="33">
        <v>-7.3300000000000004E-2</v>
      </c>
      <c r="S128" s="33">
        <v>1.84E-4</v>
      </c>
      <c r="T128" s="33">
        <v>-1.03E-7</v>
      </c>
      <c r="U128" s="32">
        <v>2.4140000000000001</v>
      </c>
      <c r="V128" s="32">
        <v>12.851000000000001</v>
      </c>
      <c r="W128" s="32"/>
      <c r="X128" s="32"/>
      <c r="Y128" s="27">
        <v>26.017400000000002</v>
      </c>
      <c r="Z128" s="27">
        <v>2</v>
      </c>
    </row>
    <row r="129" spans="8:26" x14ac:dyDescent="0.25">
      <c r="H129" s="27">
        <f t="shared" si="5"/>
        <v>0</v>
      </c>
      <c r="I129" s="31" t="s">
        <v>65</v>
      </c>
      <c r="J129" s="32">
        <v>4.3700000000000003E-2</v>
      </c>
      <c r="K129" s="32">
        <v>6.4000000000000003E-3</v>
      </c>
      <c r="L129" s="32">
        <v>91</v>
      </c>
      <c r="M129" s="32">
        <v>152.54</v>
      </c>
      <c r="N129" s="32">
        <v>127.24</v>
      </c>
      <c r="O129" s="32">
        <v>-66.569999999999993</v>
      </c>
      <c r="P129" s="32">
        <v>-16.829999999999998</v>
      </c>
      <c r="Q129" s="33">
        <v>25.9</v>
      </c>
      <c r="R129" s="33">
        <v>-3.7399999999999998E-3</v>
      </c>
      <c r="S129" s="33">
        <v>1.2899999999999999E-4</v>
      </c>
      <c r="T129" s="33">
        <v>-8.8800000000000001E-8</v>
      </c>
      <c r="U129" s="32">
        <v>9.6790000000000003</v>
      </c>
      <c r="V129" s="32">
        <v>16.738</v>
      </c>
      <c r="W129" s="32"/>
      <c r="X129" s="32"/>
      <c r="Y129" s="27">
        <v>46.005499999999998</v>
      </c>
      <c r="Z129" s="27">
        <v>3</v>
      </c>
    </row>
    <row r="130" spans="8:26" x14ac:dyDescent="0.25">
      <c r="H130" s="27"/>
      <c r="I130" s="30" t="s">
        <v>57</v>
      </c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spans="8:26" x14ac:dyDescent="0.25">
      <c r="H131" s="27">
        <f>G29</f>
        <v>0</v>
      </c>
      <c r="I131" s="35" t="s">
        <v>58</v>
      </c>
      <c r="J131" s="32">
        <v>3.0999999999999999E-3</v>
      </c>
      <c r="K131" s="32">
        <v>8.3999999999999995E-3</v>
      </c>
      <c r="L131" s="32">
        <v>63</v>
      </c>
      <c r="M131" s="32">
        <v>63.56</v>
      </c>
      <c r="N131" s="32">
        <v>20.09</v>
      </c>
      <c r="O131" s="32">
        <v>-17.329999999999998</v>
      </c>
      <c r="P131" s="32">
        <v>-22.99</v>
      </c>
      <c r="Q131" s="33">
        <v>35.299999999999997</v>
      </c>
      <c r="R131" s="33">
        <v>-7.5800000000000006E-2</v>
      </c>
      <c r="S131" s="33">
        <v>1.85E-4</v>
      </c>
      <c r="T131" s="33">
        <v>-1.03E-7</v>
      </c>
      <c r="U131" s="32">
        <v>2.36</v>
      </c>
      <c r="V131" s="32">
        <v>6.8840000000000003</v>
      </c>
      <c r="W131" s="32"/>
      <c r="X131" s="32"/>
      <c r="Y131" s="27">
        <v>33.072939999999996</v>
      </c>
      <c r="Z131" s="27">
        <v>2</v>
      </c>
    </row>
    <row r="132" spans="8:26" x14ac:dyDescent="0.25">
      <c r="H132" s="27">
        <f t="shared" ref="H132:H133" si="6">G30</f>
        <v>0</v>
      </c>
      <c r="I132" s="35" t="s">
        <v>59</v>
      </c>
      <c r="J132" s="32">
        <v>1.1900000000000001E-2</v>
      </c>
      <c r="K132" s="32">
        <v>4.8999999999999998E-3</v>
      </c>
      <c r="L132" s="32">
        <v>54</v>
      </c>
      <c r="M132" s="32">
        <v>68.78</v>
      </c>
      <c r="N132" s="32">
        <v>34.4</v>
      </c>
      <c r="O132" s="32">
        <v>41.87</v>
      </c>
      <c r="P132" s="32">
        <v>33.119999999999997</v>
      </c>
      <c r="Q132" s="33">
        <v>19.600000000000001</v>
      </c>
      <c r="R132" s="33">
        <v>-5.6100000000000004E-3</v>
      </c>
      <c r="S132" s="33">
        <v>4.0200000000000001E-5</v>
      </c>
      <c r="T132" s="33">
        <v>-2.7599999999999999E-8</v>
      </c>
      <c r="U132" s="32">
        <v>4.13</v>
      </c>
      <c r="V132" s="32">
        <v>6.8170000000000002</v>
      </c>
      <c r="W132" s="32"/>
      <c r="X132" s="32"/>
      <c r="Y132" s="27">
        <v>32.064999999999998</v>
      </c>
      <c r="Z132" s="27">
        <v>1</v>
      </c>
    </row>
    <row r="133" spans="8:26" x14ac:dyDescent="0.25">
      <c r="H133" s="27">
        <f t="shared" si="6"/>
        <v>0</v>
      </c>
      <c r="I133" s="35" t="s">
        <v>60</v>
      </c>
      <c r="J133" s="32">
        <v>1.9E-3</v>
      </c>
      <c r="K133" s="32">
        <v>5.1000000000000004E-3</v>
      </c>
      <c r="L133" s="32">
        <v>38</v>
      </c>
      <c r="M133" s="32">
        <v>52.1</v>
      </c>
      <c r="N133" s="32">
        <v>79.930000000000007</v>
      </c>
      <c r="O133" s="32">
        <v>39.1</v>
      </c>
      <c r="P133" s="32">
        <v>27.76</v>
      </c>
      <c r="Q133" s="33">
        <v>16.7</v>
      </c>
      <c r="R133" s="33">
        <v>4.81E-3</v>
      </c>
      <c r="S133" s="33">
        <v>2.7699999999999999E-5</v>
      </c>
      <c r="T133" s="33">
        <v>-2.11E-8</v>
      </c>
      <c r="U133" s="32">
        <v>1.5569999999999999</v>
      </c>
      <c r="V133" s="32">
        <v>5.984</v>
      </c>
      <c r="W133" s="32"/>
      <c r="X133" s="32"/>
      <c r="Y133" s="27">
        <v>32.064999999999998</v>
      </c>
      <c r="Z133" s="27">
        <v>1</v>
      </c>
    </row>
    <row r="136" spans="8:26" x14ac:dyDescent="0.25">
      <c r="I136" s="10" t="s">
        <v>93</v>
      </c>
    </row>
    <row r="137" spans="8:26" x14ac:dyDescent="0.25">
      <c r="I137" t="s">
        <v>68</v>
      </c>
      <c r="J137">
        <f>G37*0.98692327</f>
        <v>39.734793717307831</v>
      </c>
      <c r="K137" t="s">
        <v>84</v>
      </c>
    </row>
    <row r="138" spans="8:26" x14ac:dyDescent="0.25">
      <c r="I138" t="s">
        <v>85</v>
      </c>
      <c r="J138">
        <f>G35/G36</f>
        <v>0.65776480999999998</v>
      </c>
    </row>
    <row r="139" spans="8:26" x14ac:dyDescent="0.25">
      <c r="I139" s="15" t="s">
        <v>86</v>
      </c>
      <c r="J139" s="16">
        <f>(-1*LN(J137)-5.92714+6.09648/J138 + 1.28862*LN(J138)-0.169347*(J138^6) )/(15.2518 - 15.6875/J138-13.4721*LN(J138)+0.43577*(J138^6) )</f>
        <v>0.30640640340670466</v>
      </c>
    </row>
    <row r="141" spans="8:26" x14ac:dyDescent="0.25">
      <c r="I141" s="6" t="s">
        <v>94</v>
      </c>
    </row>
    <row r="142" spans="8:26" x14ac:dyDescent="0.25">
      <c r="I142" t="s">
        <v>95</v>
      </c>
      <c r="J142" s="14">
        <f>Q83-37.93</f>
        <v>-59.250000000000007</v>
      </c>
    </row>
    <row r="143" spans="8:26" x14ac:dyDescent="0.25">
      <c r="I143" t="s">
        <v>96</v>
      </c>
      <c r="J143" s="14">
        <f>R83+0.21</f>
        <v>1.0773999999999999</v>
      </c>
    </row>
    <row r="144" spans="8:26" x14ac:dyDescent="0.25">
      <c r="I144" t="s">
        <v>66</v>
      </c>
      <c r="J144" s="4">
        <f>S83-0.000391</f>
        <v>-8.3676000000000019E-4</v>
      </c>
    </row>
    <row r="145" spans="9:10" x14ac:dyDescent="0.25">
      <c r="I145" t="s">
        <v>97</v>
      </c>
      <c r="J145">
        <f>T83+0.000000206</f>
        <v>2.6089999999999996E-7</v>
      </c>
    </row>
    <row r="147" spans="9:10" x14ac:dyDescent="0.25">
      <c r="I147" s="6" t="s">
        <v>103</v>
      </c>
    </row>
    <row r="148" spans="9:10" x14ac:dyDescent="0.25">
      <c r="I148" t="s">
        <v>95</v>
      </c>
      <c r="J148">
        <f>W83-597.82</f>
        <v>4142.0700000000006</v>
      </c>
    </row>
    <row r="149" spans="9:10" x14ac:dyDescent="0.25">
      <c r="I149" t="s">
        <v>96</v>
      </c>
      <c r="J149">
        <f>X83-11.202</f>
        <v>-22.483999999999998</v>
      </c>
    </row>
  </sheetData>
  <mergeCells count="19">
    <mergeCell ref="B2:G2"/>
    <mergeCell ref="B7:C7"/>
    <mergeCell ref="E7:G7"/>
    <mergeCell ref="E18:G18"/>
    <mergeCell ref="B18:C18"/>
    <mergeCell ref="B5:C5"/>
    <mergeCell ref="W85:X86"/>
    <mergeCell ref="M86:N86"/>
    <mergeCell ref="O86:P86"/>
    <mergeCell ref="U86:V86"/>
    <mergeCell ref="Q85:T86"/>
    <mergeCell ref="U85:V85"/>
    <mergeCell ref="B24:C24"/>
    <mergeCell ref="I85:I86"/>
    <mergeCell ref="J85:L86"/>
    <mergeCell ref="M85:N85"/>
    <mergeCell ref="O85:P85"/>
    <mergeCell ref="E28:G28"/>
    <mergeCell ref="B33:G33"/>
  </mergeCells>
  <pageMargins left="0.25" right="0.25" top="0.75" bottom="0.75" header="0.3" footer="0.3"/>
  <pageSetup paperSize="9" scale="97"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3"/>
  <sheetViews>
    <sheetView showGridLines="0" workbookViewId="0">
      <selection activeCell="H1" sqref="H1"/>
    </sheetView>
  </sheetViews>
  <sheetFormatPr defaultRowHeight="15" x14ac:dyDescent="0.25"/>
  <cols>
    <col min="1" max="1" width="30.7109375" style="24" customWidth="1"/>
    <col min="2" max="16384" width="9.140625" style="24"/>
  </cols>
  <sheetData>
    <row r="1" spans="1:4" x14ac:dyDescent="0.25">
      <c r="A1" s="24" t="s">
        <v>115</v>
      </c>
      <c r="B1" s="24" t="s">
        <v>116</v>
      </c>
    </row>
    <row r="2" spans="1:4" x14ac:dyDescent="0.25">
      <c r="A2" s="24" t="s">
        <v>117</v>
      </c>
      <c r="B2" s="24" t="s">
        <v>118</v>
      </c>
    </row>
    <row r="3" spans="1:4" x14ac:dyDescent="0.25">
      <c r="A3" s="24" t="s">
        <v>119</v>
      </c>
      <c r="B3" s="24" t="s">
        <v>120</v>
      </c>
    </row>
    <row r="4" spans="1:4" x14ac:dyDescent="0.25">
      <c r="A4" s="24" t="s">
        <v>121</v>
      </c>
      <c r="B4" s="24" t="s">
        <v>122</v>
      </c>
    </row>
    <row r="5" spans="1:4" x14ac:dyDescent="0.25">
      <c r="A5" s="24" t="s">
        <v>123</v>
      </c>
      <c r="B5" s="24" t="s">
        <v>124</v>
      </c>
    </row>
    <row r="6" spans="1:4" x14ac:dyDescent="0.25">
      <c r="A6" s="24" t="s">
        <v>125</v>
      </c>
      <c r="B6" s="24" t="s">
        <v>113</v>
      </c>
    </row>
    <row r="7" spans="1:4" x14ac:dyDescent="0.25">
      <c r="A7" s="24" t="s">
        <v>126</v>
      </c>
      <c r="B7" s="24" t="s">
        <v>127</v>
      </c>
    </row>
    <row r="8" spans="1:4" x14ac:dyDescent="0.25">
      <c r="A8" s="24" t="s">
        <v>128</v>
      </c>
      <c r="B8" s="24">
        <v>186.20660400390599</v>
      </c>
    </row>
    <row r="9" spans="1:4" x14ac:dyDescent="0.25">
      <c r="A9" s="24" t="s">
        <v>129</v>
      </c>
      <c r="B9" s="24" t="s">
        <v>130</v>
      </c>
    </row>
    <row r="10" spans="1:4" x14ac:dyDescent="0.25">
      <c r="A10" s="24" t="s">
        <v>129</v>
      </c>
      <c r="B10" s="24" t="s">
        <v>118</v>
      </c>
    </row>
    <row r="11" spans="1:4" x14ac:dyDescent="0.25">
      <c r="A11" s="24" t="s">
        <v>129</v>
      </c>
      <c r="B11" s="24" t="s">
        <v>131</v>
      </c>
    </row>
    <row r="12" spans="1:4" x14ac:dyDescent="0.25">
      <c r="A12" s="24" t="s">
        <v>129</v>
      </c>
      <c r="B12" s="24" t="s">
        <v>132</v>
      </c>
    </row>
    <row r="13" spans="1:4" x14ac:dyDescent="0.25">
      <c r="A13" s="24" t="s">
        <v>129</v>
      </c>
      <c r="B13" s="24" t="s">
        <v>133</v>
      </c>
    </row>
    <row r="15" spans="1:4" x14ac:dyDescent="0.25">
      <c r="A15" s="24" t="s">
        <v>115</v>
      </c>
      <c r="B15" s="24" t="s">
        <v>116</v>
      </c>
      <c r="C15" s="24" t="s">
        <v>134</v>
      </c>
      <c r="D15" s="24" t="s">
        <v>135</v>
      </c>
    </row>
    <row r="16" spans="1:4" x14ac:dyDescent="0.25">
      <c r="A16" s="24" t="s">
        <v>136</v>
      </c>
      <c r="B16" s="24">
        <v>15.36</v>
      </c>
      <c r="D16" s="24" t="s">
        <v>67</v>
      </c>
    </row>
    <row r="17" spans="1:5" x14ac:dyDescent="0.25">
      <c r="A17" s="24" t="s">
        <v>137</v>
      </c>
      <c r="B17" s="24">
        <v>-127.48</v>
      </c>
      <c r="D17" s="24" t="s">
        <v>67</v>
      </c>
    </row>
    <row r="18" spans="1:5" x14ac:dyDescent="0.25">
      <c r="A18" s="24" t="s">
        <v>138</v>
      </c>
      <c r="B18" s="24">
        <v>21.888999999999999</v>
      </c>
      <c r="D18" s="24" t="s">
        <v>67</v>
      </c>
    </row>
    <row r="19" spans="1:5" x14ac:dyDescent="0.25">
      <c r="A19" s="24" t="s">
        <v>139</v>
      </c>
      <c r="B19" s="24">
        <v>62.281999999999996</v>
      </c>
      <c r="D19" s="24" t="s">
        <v>67</v>
      </c>
    </row>
    <row r="20" spans="1:5" x14ac:dyDescent="0.25">
      <c r="A20" s="24" t="s">
        <v>140</v>
      </c>
      <c r="B20" s="24">
        <v>3.1844999999999999</v>
      </c>
    </row>
    <row r="21" spans="1:5" x14ac:dyDescent="0.25">
      <c r="A21" s="24" t="s">
        <v>68</v>
      </c>
      <c r="B21" s="24">
        <v>4026.1279600092798</v>
      </c>
      <c r="D21" s="24" t="s">
        <v>141</v>
      </c>
    </row>
    <row r="22" spans="1:5" x14ac:dyDescent="0.25">
      <c r="A22" s="24" t="s">
        <v>142</v>
      </c>
      <c r="B22" s="24">
        <v>630.36</v>
      </c>
      <c r="D22" s="24" t="s">
        <v>101</v>
      </c>
    </row>
    <row r="23" spans="1:5" x14ac:dyDescent="0.25">
      <c r="A23" s="24" t="s">
        <v>143</v>
      </c>
      <c r="B23" s="24">
        <v>886.35632618267198</v>
      </c>
      <c r="D23" s="24" t="s">
        <v>101</v>
      </c>
    </row>
    <row r="24" spans="1:5" x14ac:dyDescent="0.25">
      <c r="A24" s="24" t="s">
        <v>144</v>
      </c>
      <c r="B24" s="24">
        <v>411.79</v>
      </c>
      <c r="D24" s="24" t="s">
        <v>101</v>
      </c>
    </row>
    <row r="25" spans="1:5" x14ac:dyDescent="0.25">
      <c r="A25" s="24" t="s">
        <v>145</v>
      </c>
      <c r="B25" s="24">
        <v>0.47549999999999998</v>
      </c>
      <c r="D25" s="24" t="s">
        <v>146</v>
      </c>
    </row>
    <row r="27" spans="1:5" x14ac:dyDescent="0.25">
      <c r="A27" s="24" t="s">
        <v>115</v>
      </c>
      <c r="B27" s="24" t="s">
        <v>116</v>
      </c>
      <c r="C27" s="24" t="s">
        <v>134</v>
      </c>
      <c r="D27" s="24" t="s">
        <v>135</v>
      </c>
      <c r="E27" s="24" t="s">
        <v>147</v>
      </c>
    </row>
    <row r="28" spans="1:5" x14ac:dyDescent="0.25">
      <c r="A28" s="24" t="s">
        <v>148</v>
      </c>
      <c r="B28" s="24">
        <v>352.75931874476601</v>
      </c>
      <c r="D28" s="24" t="s">
        <v>149</v>
      </c>
      <c r="E28" s="24">
        <v>630.36</v>
      </c>
    </row>
    <row r="29" spans="1:5" x14ac:dyDescent="0.25">
      <c r="A29" s="24" t="s">
        <v>150</v>
      </c>
      <c r="B29" s="24">
        <v>2.2841581743100398E-5</v>
      </c>
      <c r="D29" s="24" t="s">
        <v>151</v>
      </c>
      <c r="E29" s="24">
        <v>630.36</v>
      </c>
    </row>
    <row r="31" spans="1:5" x14ac:dyDescent="0.25">
      <c r="A31" s="24" t="s">
        <v>152</v>
      </c>
    </row>
    <row r="32" spans="1:5" x14ac:dyDescent="0.25">
      <c r="A32" s="24" t="s">
        <v>148</v>
      </c>
      <c r="B32" s="24" t="s">
        <v>153</v>
      </c>
    </row>
    <row r="33" spans="1:2" x14ac:dyDescent="0.25">
      <c r="A33" s="24" t="s">
        <v>150</v>
      </c>
      <c r="B33" s="24" t="s">
        <v>154</v>
      </c>
    </row>
    <row r="34" spans="1:2" x14ac:dyDescent="0.25">
      <c r="A34" s="24" t="s">
        <v>136</v>
      </c>
      <c r="B34" s="24" t="s">
        <v>155</v>
      </c>
    </row>
    <row r="35" spans="1:2" x14ac:dyDescent="0.25">
      <c r="A35" s="24" t="s">
        <v>137</v>
      </c>
      <c r="B35" s="24" t="s">
        <v>156</v>
      </c>
    </row>
    <row r="36" spans="1:2" x14ac:dyDescent="0.25">
      <c r="A36" s="24" t="s">
        <v>138</v>
      </c>
      <c r="B36" s="24" t="s">
        <v>157</v>
      </c>
    </row>
    <row r="37" spans="1:2" x14ac:dyDescent="0.25">
      <c r="A37" s="24" t="s">
        <v>139</v>
      </c>
      <c r="B37" s="24" t="s">
        <v>158</v>
      </c>
    </row>
    <row r="38" spans="1:2" x14ac:dyDescent="0.25">
      <c r="A38" s="24" t="s">
        <v>140</v>
      </c>
      <c r="B38" s="24" t="s">
        <v>159</v>
      </c>
    </row>
    <row r="39" spans="1:2" x14ac:dyDescent="0.25">
      <c r="A39" s="24" t="s">
        <v>68</v>
      </c>
      <c r="B39" s="24" t="s">
        <v>160</v>
      </c>
    </row>
    <row r="40" spans="1:2" x14ac:dyDescent="0.25">
      <c r="A40" s="24" t="s">
        <v>142</v>
      </c>
      <c r="B40" s="24" t="s">
        <v>161</v>
      </c>
    </row>
    <row r="41" spans="1:2" x14ac:dyDescent="0.25">
      <c r="A41" s="24" t="s">
        <v>143</v>
      </c>
      <c r="B41" s="24" t="s">
        <v>162</v>
      </c>
    </row>
    <row r="42" spans="1:2" x14ac:dyDescent="0.25">
      <c r="A42" s="24" t="s">
        <v>144</v>
      </c>
      <c r="B42" s="24" t="s">
        <v>163</v>
      </c>
    </row>
    <row r="43" spans="1:2" x14ac:dyDescent="0.25">
      <c r="A43" s="24" t="s">
        <v>145</v>
      </c>
      <c r="B43" s="24" t="s">
        <v>164</v>
      </c>
    </row>
    <row r="46" spans="1:2" x14ac:dyDescent="0.25">
      <c r="B46" s="57"/>
    </row>
    <row r="47" spans="1:2" x14ac:dyDescent="0.25">
      <c r="B47" s="57"/>
    </row>
    <row r="48" spans="1:2" x14ac:dyDescent="0.25">
      <c r="B48" s="57"/>
    </row>
    <row r="49" spans="2:2" x14ac:dyDescent="0.25">
      <c r="B49" s="57"/>
    </row>
    <row r="50" spans="2:2" x14ac:dyDescent="0.25">
      <c r="B50" s="57"/>
    </row>
    <row r="52" spans="2:2" x14ac:dyDescent="0.25">
      <c r="B52" s="57"/>
    </row>
    <row r="53" spans="2:2" x14ac:dyDescent="0.25">
      <c r="B53" s="57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49"/>
  <sheetViews>
    <sheetView showGridLines="0" topLeftCell="A4" workbookViewId="0">
      <selection activeCell="G42" sqref="G42"/>
    </sheetView>
  </sheetViews>
  <sheetFormatPr defaultRowHeight="15" x14ac:dyDescent="0.25"/>
  <cols>
    <col min="1" max="1" width="4.7109375" style="7" customWidth="1"/>
    <col min="2" max="2" width="9.140625" customWidth="1"/>
    <col min="4" max="4" width="3.85546875" customWidth="1"/>
    <col min="5" max="5" width="10.42578125" customWidth="1"/>
    <col min="6" max="6" width="10" customWidth="1"/>
    <col min="7" max="7" width="18.140625" bestFit="1" customWidth="1"/>
    <col min="9" max="9" width="20.7109375" bestFit="1" customWidth="1"/>
    <col min="10" max="10" width="11" bestFit="1" customWidth="1"/>
    <col min="25" max="25" width="10.5703125" bestFit="1" customWidth="1"/>
  </cols>
  <sheetData>
    <row r="1" spans="2:18" ht="9" customHeight="1" thickBot="1" x14ac:dyDescent="0.3"/>
    <row r="2" spans="2:18" ht="18.75" x14ac:dyDescent="0.3">
      <c r="B2" s="195" t="s">
        <v>69</v>
      </c>
      <c r="C2" s="195"/>
      <c r="D2" s="195"/>
      <c r="E2" s="195"/>
      <c r="F2" s="195"/>
      <c r="G2" s="195"/>
      <c r="I2" s="43"/>
      <c r="J2" s="44"/>
      <c r="K2" s="44"/>
      <c r="L2" s="44"/>
      <c r="M2" s="44"/>
      <c r="N2" s="44"/>
      <c r="O2" s="44"/>
      <c r="P2" s="44"/>
      <c r="Q2" s="44"/>
      <c r="R2" s="45"/>
    </row>
    <row r="3" spans="2:18" ht="7.5" customHeight="1" x14ac:dyDescent="0.25">
      <c r="I3" s="46"/>
      <c r="J3" s="24"/>
      <c r="K3" s="24"/>
      <c r="L3" s="24"/>
      <c r="M3" s="24"/>
      <c r="N3" s="24"/>
      <c r="O3" s="24"/>
      <c r="P3" s="24"/>
      <c r="Q3" s="24"/>
      <c r="R3" s="47"/>
    </row>
    <row r="4" spans="2:18" ht="15.75" thickBot="1" x14ac:dyDescent="0.3">
      <c r="B4" s="17"/>
      <c r="F4" s="13" t="s">
        <v>77</v>
      </c>
      <c r="G4" s="20" t="s">
        <v>167</v>
      </c>
      <c r="I4" s="46"/>
      <c r="J4" s="24"/>
      <c r="K4" s="24"/>
      <c r="L4" s="24"/>
      <c r="M4" s="24"/>
      <c r="N4" s="24"/>
      <c r="O4" s="24"/>
      <c r="P4" s="24"/>
      <c r="Q4" s="24"/>
      <c r="R4" s="47"/>
    </row>
    <row r="5" spans="2:18" ht="15.75" thickBot="1" x14ac:dyDescent="0.3">
      <c r="B5" s="196"/>
      <c r="C5" s="197"/>
      <c r="D5" s="42"/>
      <c r="F5" s="13" t="s">
        <v>78</v>
      </c>
      <c r="G5" s="21" t="s">
        <v>112</v>
      </c>
      <c r="I5" s="46"/>
      <c r="J5" s="24"/>
      <c r="K5" s="24"/>
      <c r="L5" s="24"/>
      <c r="M5" s="24"/>
      <c r="N5" s="24"/>
      <c r="O5" s="24"/>
      <c r="P5" s="24"/>
      <c r="Q5" s="24"/>
      <c r="R5" s="47"/>
    </row>
    <row r="6" spans="2:18" ht="7.5" customHeight="1" x14ac:dyDescent="0.25">
      <c r="I6" s="46"/>
      <c r="J6" s="24"/>
      <c r="K6" s="24"/>
      <c r="L6" s="24"/>
      <c r="M6" s="24"/>
      <c r="N6" s="24"/>
      <c r="O6" s="24"/>
      <c r="P6" s="24"/>
      <c r="Q6" s="24"/>
      <c r="R6" s="47"/>
    </row>
    <row r="7" spans="2:18" x14ac:dyDescent="0.25">
      <c r="B7" s="198" t="s">
        <v>22</v>
      </c>
      <c r="C7" s="198"/>
      <c r="E7" s="198" t="s">
        <v>39</v>
      </c>
      <c r="F7" s="198"/>
      <c r="G7" s="198"/>
      <c r="I7" s="46"/>
      <c r="J7" s="24"/>
      <c r="K7" s="24"/>
      <c r="L7" s="24"/>
      <c r="M7" s="24"/>
      <c r="N7" s="24"/>
      <c r="O7" s="24"/>
      <c r="P7" s="24"/>
      <c r="Q7" s="24"/>
      <c r="R7" s="47"/>
    </row>
    <row r="8" spans="2:18" ht="18" x14ac:dyDescent="0.25">
      <c r="B8" s="1" t="s">
        <v>63</v>
      </c>
      <c r="C8" s="11"/>
      <c r="E8" s="8" t="s">
        <v>40</v>
      </c>
      <c r="G8" s="11"/>
      <c r="I8" s="46"/>
      <c r="J8" s="24"/>
      <c r="K8" s="24"/>
      <c r="L8" s="24"/>
      <c r="M8" s="24"/>
      <c r="N8" s="24"/>
      <c r="O8" s="24"/>
      <c r="P8" s="24"/>
      <c r="Q8" s="24"/>
      <c r="R8" s="47"/>
    </row>
    <row r="9" spans="2:18" ht="18" x14ac:dyDescent="0.25">
      <c r="B9" s="5" t="s">
        <v>23</v>
      </c>
      <c r="C9" s="11"/>
      <c r="E9" s="8" t="s">
        <v>41</v>
      </c>
      <c r="G9" s="11"/>
      <c r="I9" s="46"/>
      <c r="J9" s="24"/>
      <c r="K9" s="24"/>
      <c r="L9" s="24"/>
      <c r="M9" s="24"/>
      <c r="N9" s="24"/>
      <c r="O9" s="24"/>
      <c r="P9" s="24"/>
      <c r="Q9" s="24"/>
      <c r="R9" s="47"/>
    </row>
    <row r="10" spans="2:18" ht="15.75" customHeight="1" x14ac:dyDescent="0.25">
      <c r="B10" s="5" t="s">
        <v>24</v>
      </c>
      <c r="C10" s="11"/>
      <c r="E10" s="8" t="s">
        <v>42</v>
      </c>
      <c r="G10" s="11"/>
      <c r="I10" s="46"/>
      <c r="J10" s="24"/>
      <c r="K10" s="24"/>
      <c r="L10" s="24"/>
      <c r="M10" s="24"/>
      <c r="N10" s="24"/>
      <c r="O10" s="24"/>
      <c r="P10" s="24"/>
      <c r="Q10" s="24"/>
      <c r="R10" s="47"/>
    </row>
    <row r="11" spans="2:18" x14ac:dyDescent="0.25">
      <c r="B11" s="5" t="s">
        <v>25</v>
      </c>
      <c r="C11" s="11"/>
      <c r="E11" s="8" t="s">
        <v>43</v>
      </c>
      <c r="G11" s="11"/>
      <c r="I11" s="46"/>
      <c r="J11" s="24"/>
      <c r="K11" s="24"/>
      <c r="L11" s="24"/>
      <c r="M11" s="24"/>
      <c r="N11" s="24"/>
      <c r="O11" s="24"/>
      <c r="P11" s="24"/>
      <c r="Q11" s="24"/>
      <c r="R11" s="47"/>
    </row>
    <row r="12" spans="2:18" ht="18" x14ac:dyDescent="0.25">
      <c r="B12" s="1" t="s">
        <v>111</v>
      </c>
      <c r="C12" s="11"/>
      <c r="E12" s="8" t="s">
        <v>44</v>
      </c>
      <c r="G12" s="11"/>
      <c r="I12" s="46"/>
      <c r="J12" s="24"/>
      <c r="K12" s="24"/>
      <c r="L12" s="24"/>
      <c r="M12" s="24"/>
      <c r="N12" s="24"/>
      <c r="O12" s="24"/>
      <c r="P12" s="24"/>
      <c r="Q12" s="24"/>
      <c r="R12" s="47"/>
    </row>
    <row r="13" spans="2:18" x14ac:dyDescent="0.25">
      <c r="B13" s="5" t="s">
        <v>26</v>
      </c>
      <c r="C13" s="11"/>
      <c r="E13" s="8" t="s">
        <v>45</v>
      </c>
      <c r="G13" s="11"/>
      <c r="I13" s="46"/>
      <c r="J13" s="24"/>
      <c r="K13" s="24"/>
      <c r="L13" s="24"/>
      <c r="M13" s="24"/>
      <c r="N13" s="24"/>
      <c r="O13" s="24"/>
      <c r="P13" s="24"/>
      <c r="Q13" s="24"/>
      <c r="R13" s="47"/>
    </row>
    <row r="14" spans="2:18" x14ac:dyDescent="0.25">
      <c r="B14" s="5" t="s">
        <v>27</v>
      </c>
      <c r="C14" s="11"/>
      <c r="E14" s="8" t="s">
        <v>46</v>
      </c>
      <c r="G14" s="11"/>
      <c r="I14" s="46"/>
      <c r="J14" s="24"/>
      <c r="K14" s="24"/>
      <c r="L14" s="24"/>
      <c r="M14" s="24"/>
      <c r="N14" s="24"/>
      <c r="O14" s="24"/>
      <c r="P14" s="24"/>
      <c r="Q14" s="24"/>
      <c r="R14" s="47"/>
    </row>
    <row r="15" spans="2:18" x14ac:dyDescent="0.25">
      <c r="B15" s="5" t="s">
        <v>29</v>
      </c>
      <c r="C15" s="11"/>
      <c r="E15" s="8" t="s">
        <v>47</v>
      </c>
      <c r="G15" s="11"/>
      <c r="I15" s="46"/>
      <c r="J15" s="48"/>
      <c r="K15" s="48"/>
      <c r="L15" s="48"/>
      <c r="M15" s="48"/>
      <c r="N15" s="48"/>
      <c r="O15" s="48"/>
      <c r="P15" s="24"/>
      <c r="Q15" s="24"/>
      <c r="R15" s="47"/>
    </row>
    <row r="16" spans="2:18" x14ac:dyDescent="0.25">
      <c r="B16" s="5" t="s">
        <v>30</v>
      </c>
      <c r="C16" s="11"/>
      <c r="E16" s="8" t="s">
        <v>48</v>
      </c>
      <c r="G16" s="11"/>
      <c r="I16" s="46"/>
      <c r="J16" s="24"/>
      <c r="K16" s="24"/>
      <c r="L16" s="24"/>
      <c r="M16" s="24"/>
      <c r="N16" s="24"/>
      <c r="O16" s="24"/>
      <c r="P16" s="24"/>
      <c r="Q16" s="24"/>
      <c r="R16" s="47"/>
    </row>
    <row r="17" spans="2:18" x14ac:dyDescent="0.25">
      <c r="B17" s="5" t="s">
        <v>31</v>
      </c>
      <c r="C17" s="11"/>
      <c r="E17" s="9" t="s">
        <v>61</v>
      </c>
      <c r="G17" s="11"/>
      <c r="I17" s="46"/>
      <c r="J17" s="24"/>
      <c r="K17" s="24"/>
      <c r="L17" s="24"/>
      <c r="M17" s="24"/>
      <c r="N17" s="24"/>
      <c r="O17" s="24"/>
      <c r="P17" s="24"/>
      <c r="Q17" s="24"/>
      <c r="R17" s="47"/>
    </row>
    <row r="18" spans="2:18" ht="15.75" thickBot="1" x14ac:dyDescent="0.3">
      <c r="B18" s="198" t="s">
        <v>32</v>
      </c>
      <c r="C18" s="198"/>
      <c r="E18" s="198" t="s">
        <v>50</v>
      </c>
      <c r="F18" s="198"/>
      <c r="G18" s="198"/>
      <c r="I18" s="49"/>
      <c r="J18" s="50"/>
      <c r="K18" s="50"/>
      <c r="L18" s="50"/>
      <c r="M18" s="50"/>
      <c r="N18" s="50"/>
      <c r="O18" s="50"/>
      <c r="P18" s="50"/>
      <c r="Q18" s="50"/>
      <c r="R18" s="51"/>
    </row>
    <row r="19" spans="2:18" ht="18" x14ac:dyDescent="0.25">
      <c r="B19" s="5" t="s">
        <v>23</v>
      </c>
      <c r="C19" s="11"/>
      <c r="E19" s="9" t="s">
        <v>64</v>
      </c>
      <c r="G19" s="11"/>
    </row>
    <row r="20" spans="2:18" x14ac:dyDescent="0.25">
      <c r="B20" s="5" t="s">
        <v>24</v>
      </c>
      <c r="C20" s="11"/>
      <c r="E20" s="8" t="s">
        <v>51</v>
      </c>
      <c r="G20" s="11"/>
    </row>
    <row r="21" spans="2:18" x14ac:dyDescent="0.25">
      <c r="B21" s="5" t="s">
        <v>25</v>
      </c>
      <c r="C21" s="11"/>
      <c r="E21" s="8" t="s">
        <v>52</v>
      </c>
      <c r="G21" s="11"/>
    </row>
    <row r="22" spans="2:18" x14ac:dyDescent="0.25">
      <c r="B22" s="5" t="s">
        <v>26</v>
      </c>
      <c r="C22" s="11">
        <v>4</v>
      </c>
      <c r="E22" s="8" t="s">
        <v>53</v>
      </c>
      <c r="G22" s="11"/>
    </row>
    <row r="23" spans="2:18" x14ac:dyDescent="0.25">
      <c r="B23" s="5" t="s">
        <v>27</v>
      </c>
      <c r="C23" s="11">
        <v>2</v>
      </c>
      <c r="E23" s="8" t="s">
        <v>54</v>
      </c>
      <c r="G23" s="11"/>
    </row>
    <row r="24" spans="2:18" x14ac:dyDescent="0.25">
      <c r="B24" s="199" t="s">
        <v>34</v>
      </c>
      <c r="C24" s="199"/>
      <c r="E24" s="8" t="s">
        <v>55</v>
      </c>
      <c r="G24" s="11"/>
    </row>
    <row r="25" spans="2:18" x14ac:dyDescent="0.25">
      <c r="B25" s="8" t="s">
        <v>35</v>
      </c>
      <c r="C25" s="11"/>
      <c r="E25" s="9" t="s">
        <v>62</v>
      </c>
      <c r="G25" s="11"/>
    </row>
    <row r="26" spans="2:18" x14ac:dyDescent="0.25">
      <c r="B26" s="8" t="s">
        <v>36</v>
      </c>
      <c r="C26" s="11"/>
      <c r="E26" s="8" t="s">
        <v>56</v>
      </c>
      <c r="G26" s="11"/>
    </row>
    <row r="27" spans="2:18" x14ac:dyDescent="0.25">
      <c r="B27" s="8" t="s">
        <v>37</v>
      </c>
      <c r="C27" s="11"/>
      <c r="E27" s="9" t="s">
        <v>65</v>
      </c>
      <c r="G27" s="11">
        <v>2</v>
      </c>
    </row>
    <row r="28" spans="2:18" x14ac:dyDescent="0.25">
      <c r="B28" s="8" t="s">
        <v>38</v>
      </c>
      <c r="C28" s="11"/>
      <c r="E28" s="198" t="s">
        <v>57</v>
      </c>
      <c r="F28" s="198"/>
      <c r="G28" s="198"/>
    </row>
    <row r="29" spans="2:18" x14ac:dyDescent="0.25">
      <c r="E29" s="8" t="s">
        <v>58</v>
      </c>
      <c r="G29" s="11"/>
    </row>
    <row r="30" spans="2:18" x14ac:dyDescent="0.25">
      <c r="E30" s="8" t="s">
        <v>59</v>
      </c>
      <c r="G30" s="11"/>
    </row>
    <row r="31" spans="2:18" x14ac:dyDescent="0.25">
      <c r="E31" s="8" t="s">
        <v>60</v>
      </c>
      <c r="G31" s="11"/>
    </row>
    <row r="32" spans="2:18" ht="8.25" customHeight="1" x14ac:dyDescent="0.25"/>
    <row r="33" spans="2:7" x14ac:dyDescent="0.25">
      <c r="B33" s="200" t="s">
        <v>109</v>
      </c>
      <c r="C33" s="200"/>
      <c r="D33" s="200"/>
      <c r="E33" s="200"/>
      <c r="F33" s="200"/>
      <c r="G33" s="200"/>
    </row>
    <row r="34" spans="2:7" x14ac:dyDescent="0.25">
      <c r="B34" s="37" t="s">
        <v>74</v>
      </c>
      <c r="F34" s="12" t="s">
        <v>75</v>
      </c>
      <c r="G34">
        <f>Y83</f>
        <v>168.10695999999999</v>
      </c>
    </row>
    <row r="35" spans="2:7" x14ac:dyDescent="0.25">
      <c r="B35" s="37" t="s">
        <v>90</v>
      </c>
      <c r="F35" s="12" t="s">
        <v>101</v>
      </c>
      <c r="G35" s="2">
        <f>198+M83</f>
        <v>672.02</v>
      </c>
    </row>
    <row r="36" spans="2:7" x14ac:dyDescent="0.25">
      <c r="B36" s="37" t="s">
        <v>76</v>
      </c>
      <c r="F36" s="12" t="s">
        <v>101</v>
      </c>
      <c r="G36" s="2">
        <f>G35/(0.584+0.965*J83-J83^2)</f>
        <v>984.66777243129513</v>
      </c>
    </row>
    <row r="37" spans="2:7" x14ac:dyDescent="0.25">
      <c r="B37" s="37" t="s">
        <v>81</v>
      </c>
      <c r="F37" s="12" t="s">
        <v>79</v>
      </c>
      <c r="G37" s="2">
        <f>(0.113+0.0032*Z83-K83)^-2</f>
        <v>47.301094168910318</v>
      </c>
    </row>
    <row r="38" spans="2:7" x14ac:dyDescent="0.25">
      <c r="B38" s="37" t="s">
        <v>80</v>
      </c>
      <c r="F38" s="12" t="s">
        <v>82</v>
      </c>
      <c r="G38" s="2">
        <f>17.5+L83</f>
        <v>427.5</v>
      </c>
    </row>
    <row r="39" spans="2:7" x14ac:dyDescent="0.25">
      <c r="B39" s="37" t="s">
        <v>83</v>
      </c>
      <c r="G39" s="14">
        <f>G37*G38/(83.1447*G36)</f>
        <v>0.24699207086193256</v>
      </c>
    </row>
    <row r="40" spans="2:7" x14ac:dyDescent="0.25">
      <c r="B40" s="37" t="s">
        <v>110</v>
      </c>
      <c r="G40" s="14">
        <f>J139</f>
        <v>0.52963311972305815</v>
      </c>
    </row>
    <row r="41" spans="2:7" x14ac:dyDescent="0.25">
      <c r="B41" s="37" t="s">
        <v>87</v>
      </c>
      <c r="F41" s="12" t="s">
        <v>101</v>
      </c>
      <c r="G41">
        <f>122.5+N83</f>
        <v>483.53999999999996</v>
      </c>
    </row>
    <row r="42" spans="2:7" x14ac:dyDescent="0.25">
      <c r="B42" s="37" t="s">
        <v>88</v>
      </c>
      <c r="F42" s="12" t="s">
        <v>67</v>
      </c>
      <c r="G42">
        <f>68.29+O83</f>
        <v>36.370000000000019</v>
      </c>
    </row>
    <row r="43" spans="2:7" x14ac:dyDescent="0.25">
      <c r="B43" s="37" t="s">
        <v>89</v>
      </c>
      <c r="F43" s="12" t="s">
        <v>67</v>
      </c>
      <c r="G43">
        <f>53.88+P83</f>
        <v>173.52</v>
      </c>
    </row>
    <row r="44" spans="2:7" x14ac:dyDescent="0.25">
      <c r="B44" s="37" t="s">
        <v>91</v>
      </c>
      <c r="F44" s="12" t="s">
        <v>67</v>
      </c>
      <c r="G44" s="2">
        <f>1.092*8.3144598*G35*(LN(G37)-1.013)/(0.93 - G35/G36)/1000</f>
        <v>70.096112785061507</v>
      </c>
    </row>
    <row r="45" spans="2:7" x14ac:dyDescent="0.25">
      <c r="B45" s="38" t="s">
        <v>92</v>
      </c>
      <c r="C45" s="24"/>
      <c r="D45" s="24"/>
      <c r="E45" s="24"/>
      <c r="F45" s="25" t="s">
        <v>67</v>
      </c>
      <c r="G45" s="26">
        <f>-0.88+U83</f>
        <v>27.67</v>
      </c>
    </row>
    <row r="46" spans="2:7" ht="6.75" customHeight="1" x14ac:dyDescent="0.25">
      <c r="B46" s="24"/>
      <c r="C46" s="24"/>
      <c r="D46" s="24"/>
      <c r="E46" s="24"/>
      <c r="F46" s="25"/>
      <c r="G46" s="26"/>
    </row>
    <row r="47" spans="2:7" x14ac:dyDescent="0.25">
      <c r="B47" s="23" t="s">
        <v>98</v>
      </c>
      <c r="C47" s="23"/>
      <c r="D47" s="23"/>
      <c r="E47" s="23"/>
      <c r="F47" s="22" t="s">
        <v>101</v>
      </c>
      <c r="G47" s="39">
        <v>300</v>
      </c>
    </row>
    <row r="48" spans="2:7" x14ac:dyDescent="0.25">
      <c r="B48" s="37" t="s">
        <v>108</v>
      </c>
      <c r="F48" s="12"/>
      <c r="G48" s="19">
        <f>G47/G36</f>
        <v>0.30467128954495398</v>
      </c>
    </row>
    <row r="49" spans="2:7" x14ac:dyDescent="0.25">
      <c r="B49" s="37" t="s">
        <v>99</v>
      </c>
      <c r="F49" s="12" t="s">
        <v>100</v>
      </c>
      <c r="G49" s="2">
        <f>J142+J143*G47+J144*G47^2+J145*G47^3</f>
        <v>143.63640000000004</v>
      </c>
    </row>
    <row r="50" spans="2:7" x14ac:dyDescent="0.25">
      <c r="B50" s="37" t="s">
        <v>102</v>
      </c>
      <c r="F50" s="12" t="s">
        <v>67</v>
      </c>
      <c r="G50" s="2">
        <f>G44*( ((G36-G47)/(G36-G35))^0.38)</f>
        <v>94.418101258949193</v>
      </c>
    </row>
    <row r="51" spans="2:7" x14ac:dyDescent="0.25">
      <c r="B51" s="37" t="s">
        <v>103</v>
      </c>
      <c r="F51" s="12" t="s">
        <v>104</v>
      </c>
      <c r="G51" s="18">
        <f>G34*EXP(J148/G47+J149)</f>
        <v>7.2423143394328635E-4</v>
      </c>
    </row>
    <row r="52" spans="2:7" x14ac:dyDescent="0.25">
      <c r="B52" s="37" t="s">
        <v>105</v>
      </c>
      <c r="F52" s="12" t="s">
        <v>106</v>
      </c>
      <c r="G52" s="3">
        <f>G34/( (83.1447*G36/G37)*(G39^(1 + ((1-G47/G36)^(2/7)))  ) )</f>
        <v>1.387003147247053</v>
      </c>
    </row>
    <row r="53" spans="2:7" x14ac:dyDescent="0.25">
      <c r="B53" s="37" t="s">
        <v>107</v>
      </c>
      <c r="F53" s="12" t="s">
        <v>79</v>
      </c>
      <c r="G53" s="3">
        <f>G37*EXP( (5.92714-6.09648/G48-1.28862*LN(G48)+0.169347*(G48^6) )+G40*(15.2518-15.6875/G48-13.4721*LN(G48)+0.43577*(G48^6)) )</f>
        <v>3.7296121046004962E-9</v>
      </c>
    </row>
    <row r="83" spans="8:26" x14ac:dyDescent="0.25">
      <c r="H83" s="27"/>
      <c r="I83" s="27"/>
      <c r="J83" s="27">
        <f>SUMPRODUCT($H$88:$H$133,J88:J133)</f>
        <v>0.11600000000000001</v>
      </c>
      <c r="K83" s="27">
        <f t="shared" ref="K83:Z83" si="0">SUMPRODUCT($H$88:$H$133,K88:K133)</f>
        <v>1.8800000000000001E-2</v>
      </c>
      <c r="L83" s="27">
        <f t="shared" si="0"/>
        <v>410</v>
      </c>
      <c r="M83" s="27">
        <f t="shared" si="0"/>
        <v>474.02</v>
      </c>
      <c r="N83" s="27">
        <f t="shared" si="0"/>
        <v>361.03999999999996</v>
      </c>
      <c r="O83" s="27">
        <f t="shared" si="0"/>
        <v>-31.919999999999987</v>
      </c>
      <c r="P83" s="27">
        <f t="shared" si="0"/>
        <v>119.64000000000001</v>
      </c>
      <c r="Q83" s="27">
        <f t="shared" si="0"/>
        <v>26.739999999999995</v>
      </c>
      <c r="R83" s="27">
        <f t="shared" si="0"/>
        <v>0.42412</v>
      </c>
      <c r="S83" s="27">
        <f t="shared" si="0"/>
        <v>-3.2560000000000054E-5</v>
      </c>
      <c r="T83" s="27">
        <f t="shared" si="0"/>
        <v>-1.0560000000000001E-7</v>
      </c>
      <c r="U83" s="27">
        <f>SUMPRODUCT($H$88:$H$133,U88:U133)</f>
        <v>28.55</v>
      </c>
      <c r="V83" s="27">
        <f t="shared" si="0"/>
        <v>49.769999999999996</v>
      </c>
      <c r="W83" s="27">
        <f t="shared" si="0"/>
        <v>547.11999999999989</v>
      </c>
      <c r="X83" s="27">
        <f t="shared" si="0"/>
        <v>-0.98399999999999976</v>
      </c>
      <c r="Y83" s="27">
        <f t="shared" si="0"/>
        <v>168.10695999999999</v>
      </c>
      <c r="Z83" s="27">
        <f t="shared" si="0"/>
        <v>16</v>
      </c>
    </row>
    <row r="84" spans="8:26" ht="18" x14ac:dyDescent="0.25">
      <c r="H84" s="27"/>
      <c r="I84" s="28" t="s">
        <v>0</v>
      </c>
      <c r="J84" s="29" t="s">
        <v>1</v>
      </c>
      <c r="K84" s="29" t="s">
        <v>2</v>
      </c>
      <c r="L84" s="29" t="s">
        <v>3</v>
      </c>
      <c r="M84" s="29" t="s">
        <v>4</v>
      </c>
      <c r="N84" s="29" t="s">
        <v>5</v>
      </c>
      <c r="O84" s="29" t="s">
        <v>6</v>
      </c>
      <c r="P84" s="29" t="s">
        <v>7</v>
      </c>
      <c r="Q84" s="29" t="s">
        <v>8</v>
      </c>
      <c r="R84" s="29" t="s">
        <v>9</v>
      </c>
      <c r="S84" s="29" t="s">
        <v>10</v>
      </c>
      <c r="T84" s="29" t="s">
        <v>11</v>
      </c>
      <c r="U84" s="29" t="s">
        <v>12</v>
      </c>
      <c r="V84" s="29" t="s">
        <v>13</v>
      </c>
      <c r="W84" s="29" t="s">
        <v>8</v>
      </c>
      <c r="X84" s="29" t="s">
        <v>9</v>
      </c>
      <c r="Y84" s="29" t="s">
        <v>72</v>
      </c>
      <c r="Z84" s="29" t="s">
        <v>70</v>
      </c>
    </row>
    <row r="85" spans="8:26" x14ac:dyDescent="0.25">
      <c r="H85" s="27"/>
      <c r="I85" s="201"/>
      <c r="J85" s="202" t="s">
        <v>14</v>
      </c>
      <c r="K85" s="202"/>
      <c r="L85" s="202"/>
      <c r="M85" s="202" t="s">
        <v>15</v>
      </c>
      <c r="N85" s="202"/>
      <c r="O85" s="202" t="s">
        <v>17</v>
      </c>
      <c r="P85" s="202"/>
      <c r="Q85" s="202" t="s">
        <v>19</v>
      </c>
      <c r="R85" s="202"/>
      <c r="S85" s="202"/>
      <c r="T85" s="202"/>
      <c r="U85" s="202" t="s">
        <v>20</v>
      </c>
      <c r="V85" s="202"/>
      <c r="W85" s="202" t="s">
        <v>21</v>
      </c>
      <c r="X85" s="202"/>
      <c r="Y85" s="29" t="s">
        <v>73</v>
      </c>
      <c r="Z85" s="29" t="s">
        <v>71</v>
      </c>
    </row>
    <row r="86" spans="8:26" x14ac:dyDescent="0.25">
      <c r="H86" s="27"/>
      <c r="I86" s="201"/>
      <c r="J86" s="202"/>
      <c r="K86" s="202"/>
      <c r="L86" s="202"/>
      <c r="M86" s="202" t="s">
        <v>16</v>
      </c>
      <c r="N86" s="202"/>
      <c r="O86" s="202" t="s">
        <v>18</v>
      </c>
      <c r="P86" s="202"/>
      <c r="Q86" s="202"/>
      <c r="R86" s="202"/>
      <c r="S86" s="202"/>
      <c r="T86" s="202"/>
      <c r="U86" s="202" t="s">
        <v>16</v>
      </c>
      <c r="V86" s="202"/>
      <c r="W86" s="202"/>
      <c r="X86" s="202"/>
      <c r="Y86" s="27"/>
      <c r="Z86" s="27"/>
    </row>
    <row r="87" spans="8:26" x14ac:dyDescent="0.25">
      <c r="H87" s="27"/>
      <c r="I87" s="30" t="s">
        <v>22</v>
      </c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8:26" ht="18" x14ac:dyDescent="0.25">
      <c r="H88" s="27">
        <f>C8</f>
        <v>0</v>
      </c>
      <c r="I88" s="31" t="s">
        <v>63</v>
      </c>
      <c r="J88" s="32">
        <v>1.41E-2</v>
      </c>
      <c r="K88" s="32">
        <v>-1.1999999999999999E-3</v>
      </c>
      <c r="L88" s="32">
        <v>65</v>
      </c>
      <c r="M88" s="32">
        <v>23.58</v>
      </c>
      <c r="N88" s="32">
        <v>-5.0999999999999996</v>
      </c>
      <c r="O88" s="32">
        <v>-76.45</v>
      </c>
      <c r="P88" s="32">
        <v>-43.96</v>
      </c>
      <c r="Q88" s="33">
        <v>19.5</v>
      </c>
      <c r="R88" s="33">
        <v>-8.0800000000000004E-3</v>
      </c>
      <c r="S88" s="33">
        <v>1.5300000000000001E-4</v>
      </c>
      <c r="T88" s="33">
        <v>-9.6699999999999999E-8</v>
      </c>
      <c r="U88" s="32">
        <v>0.90800000000000003</v>
      </c>
      <c r="V88" s="32">
        <v>2.3730000000000002</v>
      </c>
      <c r="W88" s="32">
        <v>548.29</v>
      </c>
      <c r="X88" s="32">
        <v>-1.7190000000000001</v>
      </c>
      <c r="Y88" s="34">
        <v>15.034520000000001</v>
      </c>
      <c r="Z88" s="27">
        <v>4</v>
      </c>
    </row>
    <row r="89" spans="8:26" ht="18" x14ac:dyDescent="0.25">
      <c r="H89" s="27">
        <f t="shared" ref="H89:H97" si="1">C9</f>
        <v>0</v>
      </c>
      <c r="I89" s="58" t="s">
        <v>23</v>
      </c>
      <c r="J89" s="32">
        <v>1.89E-2</v>
      </c>
      <c r="K89" s="32">
        <v>0</v>
      </c>
      <c r="L89" s="32">
        <v>56</v>
      </c>
      <c r="M89" s="32">
        <v>22.88</v>
      </c>
      <c r="N89" s="32">
        <v>11.27</v>
      </c>
      <c r="O89" s="32">
        <v>-20.64</v>
      </c>
      <c r="P89" s="32">
        <v>8.42</v>
      </c>
      <c r="Q89" s="33">
        <v>-0.90900000000000003</v>
      </c>
      <c r="R89" s="33">
        <v>9.5000000000000001E-2</v>
      </c>
      <c r="S89" s="33">
        <v>-5.4400000000000001E-5</v>
      </c>
      <c r="T89" s="33">
        <v>1.1900000000000001E-8</v>
      </c>
      <c r="U89" s="32">
        <v>2.59</v>
      </c>
      <c r="V89" s="32">
        <v>2.226</v>
      </c>
      <c r="W89" s="32">
        <v>94.16</v>
      </c>
      <c r="X89" s="32">
        <v>-0.19900000000000001</v>
      </c>
      <c r="Y89" s="27">
        <v>14.026579999999999</v>
      </c>
      <c r="Z89" s="27">
        <v>3</v>
      </c>
    </row>
    <row r="90" spans="8:26" x14ac:dyDescent="0.25">
      <c r="H90" s="27">
        <f t="shared" si="1"/>
        <v>0</v>
      </c>
      <c r="I90" s="58" t="s">
        <v>24</v>
      </c>
      <c r="J90" s="32">
        <v>1.6400000000000001E-2</v>
      </c>
      <c r="K90" s="32">
        <v>2E-3</v>
      </c>
      <c r="L90" s="32">
        <v>41</v>
      </c>
      <c r="M90" s="32">
        <v>21.74</v>
      </c>
      <c r="N90" s="32">
        <v>12.64</v>
      </c>
      <c r="O90" s="32">
        <v>29.89</v>
      </c>
      <c r="P90" s="32">
        <v>58.36</v>
      </c>
      <c r="Q90" s="33">
        <v>-23</v>
      </c>
      <c r="R90" s="33">
        <v>0.20399999999999999</v>
      </c>
      <c r="S90" s="33">
        <v>-2.6499999999999999E-4</v>
      </c>
      <c r="T90" s="33">
        <v>1.1999999999999999E-7</v>
      </c>
      <c r="U90" s="32">
        <v>0.749</v>
      </c>
      <c r="V90" s="32">
        <v>1.6910000000000001</v>
      </c>
      <c r="W90" s="32">
        <v>-322.14999999999998</v>
      </c>
      <c r="X90" s="32">
        <v>1.1870000000000001</v>
      </c>
      <c r="Y90" s="27">
        <v>13.01864</v>
      </c>
      <c r="Z90" s="27">
        <v>2</v>
      </c>
    </row>
    <row r="91" spans="8:26" x14ac:dyDescent="0.25">
      <c r="H91" s="27">
        <f t="shared" si="1"/>
        <v>0</v>
      </c>
      <c r="I91" s="58" t="s">
        <v>25</v>
      </c>
      <c r="J91" s="32">
        <v>6.7000000000000002E-3</v>
      </c>
      <c r="K91" s="32">
        <v>4.3E-3</v>
      </c>
      <c r="L91" s="32">
        <v>27</v>
      </c>
      <c r="M91" s="32">
        <v>18.25</v>
      </c>
      <c r="N91" s="32">
        <v>46.43</v>
      </c>
      <c r="O91" s="32">
        <v>82.23</v>
      </c>
      <c r="P91" s="32">
        <v>116.02</v>
      </c>
      <c r="Q91" s="33">
        <v>-66.2</v>
      </c>
      <c r="R91" s="33">
        <v>0.42699999999999999</v>
      </c>
      <c r="S91" s="33">
        <v>-6.4099999999999997E-4</v>
      </c>
      <c r="T91" s="33">
        <v>3.0100000000000001E-7</v>
      </c>
      <c r="U91" s="32">
        <v>-1.46</v>
      </c>
      <c r="V91" s="32">
        <v>0.63600000000000001</v>
      </c>
      <c r="W91" s="32">
        <v>-573.55999999999995</v>
      </c>
      <c r="X91" s="32">
        <v>2.3069999999999999</v>
      </c>
      <c r="Y91" s="27">
        <v>12.0107</v>
      </c>
      <c r="Z91" s="27">
        <v>1</v>
      </c>
    </row>
    <row r="92" spans="8:26" ht="18" x14ac:dyDescent="0.25">
      <c r="H92" s="27">
        <f t="shared" si="1"/>
        <v>0</v>
      </c>
      <c r="I92" s="31" t="s">
        <v>111</v>
      </c>
      <c r="J92" s="32">
        <v>1.1299999999999999E-2</v>
      </c>
      <c r="K92" s="32">
        <v>-2.8E-3</v>
      </c>
      <c r="L92" s="32">
        <v>56</v>
      </c>
      <c r="M92" s="32">
        <v>18.18</v>
      </c>
      <c r="N92" s="32">
        <v>-4.32</v>
      </c>
      <c r="O92" s="32">
        <v>-9.6300000000000008</v>
      </c>
      <c r="P92" s="32">
        <v>3.77</v>
      </c>
      <c r="Q92" s="33">
        <v>23.6</v>
      </c>
      <c r="R92" s="33">
        <v>-3.8100000000000002E-2</v>
      </c>
      <c r="S92" s="33">
        <v>1.7200000000000001E-4</v>
      </c>
      <c r="T92" s="33">
        <v>-1.03E-7</v>
      </c>
      <c r="U92" s="32">
        <v>-0.47299999999999998</v>
      </c>
      <c r="V92" s="32">
        <v>1.724</v>
      </c>
      <c r="W92" s="32">
        <v>495.01</v>
      </c>
      <c r="X92" s="32">
        <v>-1.5389999999999999</v>
      </c>
      <c r="Y92" s="27">
        <v>14.026579999999999</v>
      </c>
      <c r="Z92" s="27">
        <v>3</v>
      </c>
    </row>
    <row r="93" spans="8:26" x14ac:dyDescent="0.25">
      <c r="H93" s="27">
        <f t="shared" si="1"/>
        <v>0</v>
      </c>
      <c r="I93" s="58" t="s">
        <v>26</v>
      </c>
      <c r="J93" s="40">
        <v>1.29E-2</v>
      </c>
      <c r="K93" s="32">
        <v>-5.9999999999999995E-4</v>
      </c>
      <c r="L93" s="32">
        <v>46</v>
      </c>
      <c r="M93" s="32">
        <v>24.96</v>
      </c>
      <c r="N93" s="32">
        <v>8.73</v>
      </c>
      <c r="O93" s="32">
        <v>37.97</v>
      </c>
      <c r="P93" s="32">
        <v>48.53</v>
      </c>
      <c r="Q93" s="32">
        <v>-8</v>
      </c>
      <c r="R93" s="33">
        <v>0.105</v>
      </c>
      <c r="S93" s="33">
        <v>-9.6299999999999996E-5</v>
      </c>
      <c r="T93" s="33">
        <v>3.5600000000000001E-8</v>
      </c>
      <c r="U93" s="32">
        <v>2.6909999999999998</v>
      </c>
      <c r="V93" s="32">
        <v>2.2050000000000001</v>
      </c>
      <c r="W93" s="32">
        <v>82.28</v>
      </c>
      <c r="X93" s="32">
        <v>-0.24199999999999999</v>
      </c>
      <c r="Y93" s="27">
        <v>13.01864</v>
      </c>
      <c r="Z93" s="27">
        <v>2</v>
      </c>
    </row>
    <row r="94" spans="8:26" x14ac:dyDescent="0.25">
      <c r="H94" s="27">
        <f t="shared" si="1"/>
        <v>0</v>
      </c>
      <c r="I94" s="58" t="s">
        <v>27</v>
      </c>
      <c r="J94" s="32">
        <v>1.17E-2</v>
      </c>
      <c r="K94" s="32">
        <v>1.1000000000000001E-3</v>
      </c>
      <c r="L94" s="32">
        <v>38</v>
      </c>
      <c r="M94" s="32">
        <v>24.14</v>
      </c>
      <c r="N94" s="32">
        <v>11.14</v>
      </c>
      <c r="O94" s="32">
        <v>83.99</v>
      </c>
      <c r="P94" s="32">
        <v>92.36</v>
      </c>
      <c r="Q94" s="33">
        <v>-28.1</v>
      </c>
      <c r="R94" s="33">
        <v>0.20799999999999999</v>
      </c>
      <c r="S94" s="33">
        <v>-3.0600000000000001E-4</v>
      </c>
      <c r="T94" s="33">
        <v>1.4600000000000001E-7</v>
      </c>
      <c r="U94" s="32">
        <v>3.0630000000000002</v>
      </c>
      <c r="V94" s="32">
        <v>2.1379999999999999</v>
      </c>
      <c r="W94" s="32" t="s">
        <v>28</v>
      </c>
      <c r="X94" s="32" t="s">
        <v>28</v>
      </c>
      <c r="Y94" s="27">
        <v>12.0107</v>
      </c>
      <c r="Z94" s="27">
        <v>1</v>
      </c>
    </row>
    <row r="95" spans="8:26" x14ac:dyDescent="0.25">
      <c r="H95" s="27">
        <f t="shared" si="1"/>
        <v>0</v>
      </c>
      <c r="I95" s="58" t="s">
        <v>29</v>
      </c>
      <c r="J95" s="32">
        <v>2.5999999999999999E-3</v>
      </c>
      <c r="K95" s="32">
        <v>2.8E-3</v>
      </c>
      <c r="L95" s="32">
        <v>36</v>
      </c>
      <c r="M95" s="32">
        <v>26.15</v>
      </c>
      <c r="N95" s="32">
        <v>17.78</v>
      </c>
      <c r="O95" s="32">
        <v>142.13999999999999</v>
      </c>
      <c r="P95" s="32">
        <v>136.69999999999999</v>
      </c>
      <c r="Q95" s="33">
        <v>27.4</v>
      </c>
      <c r="R95" s="33">
        <v>-5.57E-2</v>
      </c>
      <c r="S95" s="33">
        <v>1.01E-4</v>
      </c>
      <c r="T95" s="33">
        <v>-5.02E-8</v>
      </c>
      <c r="U95" s="32">
        <v>4.72</v>
      </c>
      <c r="V95" s="32">
        <v>2.661</v>
      </c>
      <c r="W95" s="32" t="s">
        <v>28</v>
      </c>
      <c r="X95" s="32" t="s">
        <v>28</v>
      </c>
      <c r="Y95" s="27">
        <v>12.0107</v>
      </c>
      <c r="Z95" s="27">
        <v>1</v>
      </c>
    </row>
    <row r="96" spans="8:26" x14ac:dyDescent="0.25">
      <c r="H96" s="27">
        <f t="shared" si="1"/>
        <v>0</v>
      </c>
      <c r="I96" s="58" t="s">
        <v>30</v>
      </c>
      <c r="J96" s="32">
        <v>2.7000000000000001E-3</v>
      </c>
      <c r="K96" s="32">
        <v>-8.0000000000000004E-4</v>
      </c>
      <c r="L96" s="32">
        <v>46</v>
      </c>
      <c r="M96" s="32">
        <v>9.1999999999999993</v>
      </c>
      <c r="N96" s="32">
        <v>-11.18</v>
      </c>
      <c r="O96" s="32">
        <v>79.3</v>
      </c>
      <c r="P96" s="32">
        <v>77.709999999999994</v>
      </c>
      <c r="Q96" s="33">
        <v>24.5</v>
      </c>
      <c r="R96" s="33">
        <v>-2.7099999999999999E-2</v>
      </c>
      <c r="S96" s="33">
        <v>1.11E-4</v>
      </c>
      <c r="T96" s="33">
        <v>-6.7799999999999998E-8</v>
      </c>
      <c r="U96" s="32">
        <v>2.3220000000000001</v>
      </c>
      <c r="V96" s="32">
        <v>1.155</v>
      </c>
      <c r="W96" s="32" t="s">
        <v>28</v>
      </c>
      <c r="X96" s="32" t="s">
        <v>28</v>
      </c>
      <c r="Y96" s="27">
        <v>13.01864</v>
      </c>
      <c r="Z96" s="27">
        <v>2</v>
      </c>
    </row>
    <row r="97" spans="8:26" x14ac:dyDescent="0.25">
      <c r="H97" s="27">
        <f t="shared" si="1"/>
        <v>0</v>
      </c>
      <c r="I97" s="58" t="s">
        <v>31</v>
      </c>
      <c r="J97" s="32">
        <v>2E-3</v>
      </c>
      <c r="K97" s="32">
        <v>1.6000000000000001E-3</v>
      </c>
      <c r="L97" s="32">
        <v>37</v>
      </c>
      <c r="M97" s="32">
        <v>27.38</v>
      </c>
      <c r="N97" s="32">
        <v>64.319999999999993</v>
      </c>
      <c r="O97" s="32">
        <v>115.51</v>
      </c>
      <c r="P97" s="32">
        <v>109.82</v>
      </c>
      <c r="Q97" s="32">
        <v>7.87</v>
      </c>
      <c r="R97" s="33">
        <v>2.01E-2</v>
      </c>
      <c r="S97" s="33">
        <v>-8.3299999999999999E-6</v>
      </c>
      <c r="T97" s="33">
        <v>1.39E-9</v>
      </c>
      <c r="U97" s="32">
        <v>4.1509999999999998</v>
      </c>
      <c r="V97" s="32">
        <v>3.302</v>
      </c>
      <c r="W97" s="32" t="s">
        <v>28</v>
      </c>
      <c r="X97" s="32" t="s">
        <v>28</v>
      </c>
      <c r="Y97" s="27">
        <v>12.0107</v>
      </c>
      <c r="Z97" s="27">
        <v>1</v>
      </c>
    </row>
    <row r="98" spans="8:26" x14ac:dyDescent="0.25">
      <c r="H98" s="27"/>
      <c r="I98" s="30" t="s">
        <v>32</v>
      </c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spans="8:26" ht="18" x14ac:dyDescent="0.25">
      <c r="H99" s="27">
        <f>C19</f>
        <v>0</v>
      </c>
      <c r="I99" s="58" t="s">
        <v>23</v>
      </c>
      <c r="J99" s="32">
        <v>0.01</v>
      </c>
      <c r="K99" s="32">
        <v>2.5000000000000001E-3</v>
      </c>
      <c r="L99" s="32">
        <v>48</v>
      </c>
      <c r="M99" s="32">
        <v>27.15</v>
      </c>
      <c r="N99" s="32">
        <v>7.75</v>
      </c>
      <c r="O99" s="32">
        <v>-26.8</v>
      </c>
      <c r="P99" s="32">
        <v>-3.68</v>
      </c>
      <c r="Q99" s="32">
        <v>-6.03</v>
      </c>
      <c r="R99" s="33">
        <v>8.5400000000000004E-2</v>
      </c>
      <c r="S99" s="33">
        <v>-7.9999999999999996E-6</v>
      </c>
      <c r="T99" s="33">
        <v>-1.7999999999999999E-8</v>
      </c>
      <c r="U99" s="32">
        <v>0.49</v>
      </c>
      <c r="V99" s="32">
        <v>2.3980000000000001</v>
      </c>
      <c r="W99" s="32">
        <v>307.52999999999997</v>
      </c>
      <c r="X99" s="32">
        <v>-0.79800000000000004</v>
      </c>
      <c r="Y99" s="27">
        <v>14.026579999999999</v>
      </c>
      <c r="Z99" s="27">
        <v>3</v>
      </c>
    </row>
    <row r="100" spans="8:26" x14ac:dyDescent="0.25">
      <c r="H100" s="27">
        <f t="shared" ref="H100:H103" si="2">C20</f>
        <v>0</v>
      </c>
      <c r="I100" s="58" t="s">
        <v>24</v>
      </c>
      <c r="J100" s="32">
        <v>1.2200000000000001E-2</v>
      </c>
      <c r="K100" s="32">
        <v>4.0000000000000002E-4</v>
      </c>
      <c r="L100" s="32">
        <v>38</v>
      </c>
      <c r="M100" s="32">
        <v>21.78</v>
      </c>
      <c r="N100" s="32">
        <v>19.88</v>
      </c>
      <c r="O100" s="32">
        <v>8.67</v>
      </c>
      <c r="P100" s="32">
        <v>40.99</v>
      </c>
      <c r="Q100" s="33">
        <v>-20.5</v>
      </c>
      <c r="R100" s="33">
        <v>0.16200000000000001</v>
      </c>
      <c r="S100" s="33">
        <v>-1.6000000000000001E-4</v>
      </c>
      <c r="T100" s="33">
        <v>6.2400000000000003E-8</v>
      </c>
      <c r="U100" s="32">
        <v>3.2429999999999999</v>
      </c>
      <c r="V100" s="32">
        <v>1.9419999999999999</v>
      </c>
      <c r="W100" s="32">
        <v>-394.29</v>
      </c>
      <c r="X100" s="32">
        <v>1.2509999999999999</v>
      </c>
      <c r="Y100" s="27">
        <v>13.01864</v>
      </c>
      <c r="Z100" s="27">
        <v>2</v>
      </c>
    </row>
    <row r="101" spans="8:26" x14ac:dyDescent="0.25">
      <c r="H101" s="27">
        <f t="shared" si="2"/>
        <v>0</v>
      </c>
      <c r="I101" s="58" t="s">
        <v>25</v>
      </c>
      <c r="J101" s="32">
        <v>4.1999999999999997E-3</v>
      </c>
      <c r="K101" s="32">
        <v>6.1000000000000004E-3</v>
      </c>
      <c r="L101" s="32">
        <v>27</v>
      </c>
      <c r="M101" s="32">
        <v>21.32</v>
      </c>
      <c r="N101" s="32">
        <v>60.15</v>
      </c>
      <c r="O101" s="32">
        <v>79.72</v>
      </c>
      <c r="P101" s="32">
        <v>87.88</v>
      </c>
      <c r="Q101" s="33">
        <v>-90.9</v>
      </c>
      <c r="R101" s="33">
        <v>0.55700000000000005</v>
      </c>
      <c r="S101" s="33">
        <v>-8.9999999999999998E-4</v>
      </c>
      <c r="T101" s="33">
        <v>4.6899999999999998E-7</v>
      </c>
      <c r="U101" s="32">
        <v>-1.373</v>
      </c>
      <c r="V101" s="32">
        <v>0.64400000000000002</v>
      </c>
      <c r="W101" s="32" t="s">
        <v>28</v>
      </c>
      <c r="X101" s="32" t="s">
        <v>28</v>
      </c>
      <c r="Y101" s="27">
        <v>12.0107</v>
      </c>
      <c r="Z101" s="27">
        <v>1</v>
      </c>
    </row>
    <row r="102" spans="8:26" x14ac:dyDescent="0.25">
      <c r="H102" s="27">
        <f t="shared" si="2"/>
        <v>4</v>
      </c>
      <c r="I102" s="58" t="s">
        <v>26</v>
      </c>
      <c r="J102" s="32" t="s">
        <v>33</v>
      </c>
      <c r="K102" s="32">
        <v>1.1000000000000001E-3</v>
      </c>
      <c r="L102" s="32">
        <v>41</v>
      </c>
      <c r="M102" s="32">
        <v>26.73</v>
      </c>
      <c r="N102" s="32">
        <v>8.1300000000000008</v>
      </c>
      <c r="O102" s="32">
        <v>2.09</v>
      </c>
      <c r="P102" s="32">
        <v>11.3</v>
      </c>
      <c r="Q102" s="32">
        <v>-2.14</v>
      </c>
      <c r="R102" s="33">
        <v>5.74E-2</v>
      </c>
      <c r="S102" s="33">
        <v>-1.64E-6</v>
      </c>
      <c r="T102" s="33">
        <v>-1.59E-8</v>
      </c>
      <c r="U102" s="32">
        <v>1.101</v>
      </c>
      <c r="V102" s="32">
        <v>2.544</v>
      </c>
      <c r="W102" s="32">
        <v>259.64999999999998</v>
      </c>
      <c r="X102" s="32">
        <v>-0.70199999999999996</v>
      </c>
      <c r="Y102" s="27">
        <v>13.01864</v>
      </c>
      <c r="Z102" s="27">
        <v>2</v>
      </c>
    </row>
    <row r="103" spans="8:26" x14ac:dyDescent="0.25">
      <c r="H103" s="27">
        <f t="shared" si="2"/>
        <v>2</v>
      </c>
      <c r="I103" s="58" t="s">
        <v>27</v>
      </c>
      <c r="J103" s="32">
        <v>1.43E-2</v>
      </c>
      <c r="K103" s="32">
        <v>8.0000000000000004E-4</v>
      </c>
      <c r="L103" s="32">
        <v>32</v>
      </c>
      <c r="M103" s="32">
        <v>31.01</v>
      </c>
      <c r="N103" s="32">
        <v>37.020000000000003</v>
      </c>
      <c r="O103" s="32">
        <v>46.43</v>
      </c>
      <c r="P103" s="32">
        <v>54.05</v>
      </c>
      <c r="Q103" s="32">
        <v>-8.25</v>
      </c>
      <c r="R103" s="33">
        <v>0.10100000000000001</v>
      </c>
      <c r="S103" s="33">
        <v>-1.4200000000000001E-4</v>
      </c>
      <c r="T103" s="33">
        <v>6.7799999999999998E-8</v>
      </c>
      <c r="U103" s="32">
        <v>2.3940000000000001</v>
      </c>
      <c r="V103" s="32">
        <v>3.0590000000000002</v>
      </c>
      <c r="W103" s="32">
        <v>-245.74</v>
      </c>
      <c r="X103" s="32">
        <v>0.91200000000000003</v>
      </c>
      <c r="Y103" s="27">
        <v>12.0107</v>
      </c>
      <c r="Z103" s="27">
        <v>1</v>
      </c>
    </row>
    <row r="104" spans="8:26" x14ac:dyDescent="0.25">
      <c r="H104" s="27"/>
      <c r="I104" s="30" t="s">
        <v>34</v>
      </c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spans="8:26" x14ac:dyDescent="0.25">
      <c r="H105" s="27">
        <f>C25</f>
        <v>0</v>
      </c>
      <c r="I105" s="58" t="s">
        <v>35</v>
      </c>
      <c r="J105" s="32">
        <v>1.11E-2</v>
      </c>
      <c r="K105" s="32">
        <v>-5.7000000000000002E-3</v>
      </c>
      <c r="L105" s="32">
        <v>27</v>
      </c>
      <c r="M105" s="32">
        <v>-0.03</v>
      </c>
      <c r="N105" s="32">
        <v>-15.78</v>
      </c>
      <c r="O105" s="32">
        <v>-251.92</v>
      </c>
      <c r="P105" s="32">
        <v>-247.19</v>
      </c>
      <c r="Q105" s="33">
        <v>26.5</v>
      </c>
      <c r="R105" s="33">
        <v>-9.1300000000000006E-2</v>
      </c>
      <c r="S105" s="33">
        <v>1.9100000000000001E-4</v>
      </c>
      <c r="T105" s="33">
        <v>-1.03E-7</v>
      </c>
      <c r="U105" s="32">
        <v>1.3979999999999999</v>
      </c>
      <c r="V105" s="32">
        <v>-0.67</v>
      </c>
      <c r="W105" s="32" t="s">
        <v>28</v>
      </c>
      <c r="X105" s="32" t="s">
        <v>28</v>
      </c>
      <c r="Y105" s="36">
        <v>18.998403199999998</v>
      </c>
      <c r="Z105" s="27">
        <v>1</v>
      </c>
    </row>
    <row r="106" spans="8:26" x14ac:dyDescent="0.25">
      <c r="H106" s="27">
        <f t="shared" ref="H106:H108" si="3">C26</f>
        <v>0</v>
      </c>
      <c r="I106" s="58" t="s">
        <v>36</v>
      </c>
      <c r="J106" s="32">
        <v>1.0500000000000001E-2</v>
      </c>
      <c r="K106" s="32">
        <v>-4.8999999999999998E-3</v>
      </c>
      <c r="L106" s="32">
        <v>58</v>
      </c>
      <c r="M106" s="32">
        <v>38.130000000000003</v>
      </c>
      <c r="N106" s="32">
        <v>13.55</v>
      </c>
      <c r="O106" s="32">
        <v>-71.55</v>
      </c>
      <c r="P106" s="32">
        <v>-64.31</v>
      </c>
      <c r="Q106" s="33">
        <v>33.299999999999997</v>
      </c>
      <c r="R106" s="33">
        <v>-9.6299999999999997E-2</v>
      </c>
      <c r="S106" s="33">
        <v>1.8699999999999999E-4</v>
      </c>
      <c r="T106" s="33">
        <v>-9.9600000000000005E-8</v>
      </c>
      <c r="U106" s="32">
        <v>2.5150000000000001</v>
      </c>
      <c r="V106" s="32">
        <v>4.532</v>
      </c>
      <c r="W106" s="32">
        <v>625.45000000000005</v>
      </c>
      <c r="X106" s="32">
        <v>-1.8140000000000001</v>
      </c>
      <c r="Y106" s="27">
        <v>35.453000000000003</v>
      </c>
      <c r="Z106" s="27">
        <v>1</v>
      </c>
    </row>
    <row r="107" spans="8:26" x14ac:dyDescent="0.25">
      <c r="H107" s="27">
        <f t="shared" si="3"/>
        <v>0</v>
      </c>
      <c r="I107" s="58" t="s">
        <v>37</v>
      </c>
      <c r="J107" s="32">
        <v>1.3299999999999999E-2</v>
      </c>
      <c r="K107" s="32">
        <v>5.7000000000000002E-3</v>
      </c>
      <c r="L107" s="32">
        <v>71</v>
      </c>
      <c r="M107" s="32">
        <v>66.86</v>
      </c>
      <c r="N107" s="32">
        <v>43.43</v>
      </c>
      <c r="O107" s="32">
        <v>-29.48</v>
      </c>
      <c r="P107" s="32">
        <v>-38.06</v>
      </c>
      <c r="Q107" s="33">
        <v>28.6</v>
      </c>
      <c r="R107" s="33">
        <v>-6.4899999999999999E-2</v>
      </c>
      <c r="S107" s="33">
        <v>1.36E-4</v>
      </c>
      <c r="T107" s="33">
        <v>-7.4499999999999999E-8</v>
      </c>
      <c r="U107" s="32">
        <v>3.6030000000000002</v>
      </c>
      <c r="V107" s="32">
        <v>6.5819999999999999</v>
      </c>
      <c r="W107" s="32">
        <v>738.91</v>
      </c>
      <c r="X107" s="32">
        <v>-2.0379999999999998</v>
      </c>
      <c r="Y107" s="27">
        <v>79.903999999999996</v>
      </c>
      <c r="Z107" s="27">
        <v>1</v>
      </c>
    </row>
    <row r="108" spans="8:26" x14ac:dyDescent="0.25">
      <c r="H108" s="27">
        <f t="shared" si="3"/>
        <v>0</v>
      </c>
      <c r="I108" s="58" t="s">
        <v>38</v>
      </c>
      <c r="J108" s="32">
        <v>6.7999999999999996E-3</v>
      </c>
      <c r="K108" s="32">
        <v>-3.3999999999999998E-3</v>
      </c>
      <c r="L108" s="32">
        <v>97</v>
      </c>
      <c r="M108" s="32">
        <v>93.84</v>
      </c>
      <c r="N108" s="32">
        <v>41.69</v>
      </c>
      <c r="O108" s="32">
        <v>21.06</v>
      </c>
      <c r="P108" s="32">
        <v>5.74</v>
      </c>
      <c r="Q108" s="33">
        <v>32.1</v>
      </c>
      <c r="R108" s="33">
        <v>-6.4100000000000004E-2</v>
      </c>
      <c r="S108" s="33">
        <v>1.26E-4</v>
      </c>
      <c r="T108" s="33">
        <v>-6.87E-8</v>
      </c>
      <c r="U108" s="32">
        <v>2.7240000000000002</v>
      </c>
      <c r="V108" s="32">
        <v>9.52</v>
      </c>
      <c r="W108" s="32">
        <v>809.55</v>
      </c>
      <c r="X108" s="32">
        <v>-2.2240000000000002</v>
      </c>
      <c r="Y108" s="27">
        <v>126.90447</v>
      </c>
      <c r="Z108" s="27">
        <v>1</v>
      </c>
    </row>
    <row r="109" spans="8:26" x14ac:dyDescent="0.25">
      <c r="H109" s="27"/>
      <c r="I109" s="30" t="s">
        <v>39</v>
      </c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spans="8:26" x14ac:dyDescent="0.25">
      <c r="H110" s="27">
        <f>G8</f>
        <v>0</v>
      </c>
      <c r="I110" s="58" t="s">
        <v>40</v>
      </c>
      <c r="J110" s="32">
        <v>7.4099999999999999E-2</v>
      </c>
      <c r="K110" s="32">
        <v>1.12E-2</v>
      </c>
      <c r="L110" s="32">
        <v>28</v>
      </c>
      <c r="M110" s="32">
        <v>92.88</v>
      </c>
      <c r="N110" s="32">
        <v>44.45</v>
      </c>
      <c r="O110" s="32">
        <v>-208.04</v>
      </c>
      <c r="P110" s="32">
        <v>-189.2</v>
      </c>
      <c r="Q110" s="33">
        <v>25.7</v>
      </c>
      <c r="R110" s="33">
        <v>-6.9099999999999995E-2</v>
      </c>
      <c r="S110" s="33">
        <v>1.7699999999999999E-4</v>
      </c>
      <c r="T110" s="33">
        <v>-9.8799999999999998E-8</v>
      </c>
      <c r="U110" s="32">
        <v>2.4060000000000001</v>
      </c>
      <c r="V110" s="32">
        <v>16.826000000000001</v>
      </c>
      <c r="W110" s="32">
        <v>2173.7199999999998</v>
      </c>
      <c r="X110" s="32">
        <v>-5.0570000000000004</v>
      </c>
      <c r="Y110" s="27">
        <v>17.007339999999999</v>
      </c>
      <c r="Z110" s="27">
        <v>2</v>
      </c>
    </row>
    <row r="111" spans="8:26" x14ac:dyDescent="0.25">
      <c r="H111" s="27">
        <f t="shared" ref="H111:H119" si="4">G9</f>
        <v>0</v>
      </c>
      <c r="I111" s="58" t="s">
        <v>41</v>
      </c>
      <c r="J111" s="32">
        <v>2.4E-2</v>
      </c>
      <c r="K111" s="32">
        <v>1.84E-2</v>
      </c>
      <c r="L111" s="32">
        <v>-25</v>
      </c>
      <c r="M111" s="32">
        <v>76.34</v>
      </c>
      <c r="N111" s="32">
        <v>82.83</v>
      </c>
      <c r="O111" s="32">
        <v>-221.65</v>
      </c>
      <c r="P111" s="32">
        <v>-197.37</v>
      </c>
      <c r="Q111" s="32">
        <v>-2.81</v>
      </c>
      <c r="R111" s="33">
        <v>0.111</v>
      </c>
      <c r="S111" s="33">
        <v>-1.16E-4</v>
      </c>
      <c r="T111" s="33">
        <v>4.9399999999999999E-8</v>
      </c>
      <c r="U111" s="32">
        <v>4.49</v>
      </c>
      <c r="V111" s="32">
        <v>12.499000000000001</v>
      </c>
      <c r="W111" s="32">
        <v>3018.17</v>
      </c>
      <c r="X111" s="32">
        <v>-7.3140000000000001</v>
      </c>
      <c r="Y111" s="27">
        <v>17.007339999999999</v>
      </c>
      <c r="Z111" s="27">
        <v>2</v>
      </c>
    </row>
    <row r="112" spans="8:26" x14ac:dyDescent="0.25">
      <c r="H112" s="27">
        <f t="shared" si="4"/>
        <v>0</v>
      </c>
      <c r="I112" s="58" t="s">
        <v>42</v>
      </c>
      <c r="J112" s="32">
        <v>1.6799999999999999E-2</v>
      </c>
      <c r="K112" s="32">
        <v>1.5E-3</v>
      </c>
      <c r="L112" s="32">
        <v>18</v>
      </c>
      <c r="M112" s="32">
        <v>22.42</v>
      </c>
      <c r="N112" s="32">
        <v>22.23</v>
      </c>
      <c r="O112" s="32">
        <v>-132.22</v>
      </c>
      <c r="P112" s="32">
        <v>-105</v>
      </c>
      <c r="Q112" s="33">
        <v>25.5</v>
      </c>
      <c r="R112" s="33">
        <v>-6.3200000000000006E-2</v>
      </c>
      <c r="S112" s="33">
        <v>1.11E-4</v>
      </c>
      <c r="T112" s="33">
        <v>-5.4800000000000001E-8</v>
      </c>
      <c r="U112" s="32">
        <v>1.1879999999999999</v>
      </c>
      <c r="V112" s="32">
        <v>2.41</v>
      </c>
      <c r="W112" s="32">
        <v>122.09</v>
      </c>
      <c r="X112" s="32">
        <v>-0.38600000000000001</v>
      </c>
      <c r="Y112" s="27">
        <v>15.9994</v>
      </c>
      <c r="Z112" s="27">
        <v>1</v>
      </c>
    </row>
    <row r="113" spans="8:26" x14ac:dyDescent="0.25">
      <c r="H113" s="27">
        <f t="shared" si="4"/>
        <v>0</v>
      </c>
      <c r="I113" s="58" t="s">
        <v>43</v>
      </c>
      <c r="J113" s="32">
        <v>9.7999999999999997E-3</v>
      </c>
      <c r="K113" s="32">
        <v>4.7999999999999996E-3</v>
      </c>
      <c r="L113" s="32">
        <v>13</v>
      </c>
      <c r="M113" s="32">
        <v>31.22</v>
      </c>
      <c r="N113" s="32">
        <v>23.05</v>
      </c>
      <c r="O113" s="32">
        <v>-138.16</v>
      </c>
      <c r="P113" s="32">
        <v>-98.22</v>
      </c>
      <c r="Q113" s="33">
        <v>12.2</v>
      </c>
      <c r="R113" s="33">
        <v>-1.26E-2</v>
      </c>
      <c r="S113" s="33">
        <v>6.0300000000000002E-5</v>
      </c>
      <c r="T113" s="33">
        <v>-3.8600000000000002E-8</v>
      </c>
      <c r="U113" s="32">
        <v>5.8789999999999996</v>
      </c>
      <c r="V113" s="32">
        <v>4.6820000000000004</v>
      </c>
      <c r="W113" s="32">
        <v>440.24</v>
      </c>
      <c r="X113" s="32">
        <v>-0.95299999999999996</v>
      </c>
      <c r="Y113" s="27">
        <v>15.9994</v>
      </c>
      <c r="Z113" s="27">
        <v>1</v>
      </c>
    </row>
    <row r="114" spans="8:26" x14ac:dyDescent="0.25">
      <c r="H114" s="27">
        <f t="shared" si="4"/>
        <v>0</v>
      </c>
      <c r="I114" s="58" t="s">
        <v>44</v>
      </c>
      <c r="J114" s="32">
        <v>3.7999999999999999E-2</v>
      </c>
      <c r="K114" s="32">
        <v>3.0999999999999999E-3</v>
      </c>
      <c r="L114" s="32">
        <v>62</v>
      </c>
      <c r="M114" s="32">
        <v>76.75</v>
      </c>
      <c r="N114" s="32">
        <v>61.2</v>
      </c>
      <c r="O114" s="32">
        <v>-133.22</v>
      </c>
      <c r="P114" s="32">
        <v>-120.5</v>
      </c>
      <c r="Q114" s="32">
        <v>6.45</v>
      </c>
      <c r="R114" s="33">
        <v>6.7000000000000004E-2</v>
      </c>
      <c r="S114" s="33">
        <v>-3.57E-5</v>
      </c>
      <c r="T114" s="33">
        <v>2.86E-9</v>
      </c>
      <c r="U114" s="32">
        <v>4.1890000000000001</v>
      </c>
      <c r="V114" s="32">
        <v>8.9719999999999995</v>
      </c>
      <c r="W114" s="32">
        <v>340.35</v>
      </c>
      <c r="X114" s="32">
        <v>-0.35</v>
      </c>
      <c r="Y114" s="27">
        <v>28.010100000000001</v>
      </c>
      <c r="Z114" s="27">
        <v>2</v>
      </c>
    </row>
    <row r="115" spans="8:26" x14ac:dyDescent="0.25">
      <c r="H115" s="27">
        <f t="shared" si="4"/>
        <v>0</v>
      </c>
      <c r="I115" s="58" t="s">
        <v>45</v>
      </c>
      <c r="J115" s="32">
        <v>2.8400000000000002E-2</v>
      </c>
      <c r="K115" s="32">
        <v>2.8E-3</v>
      </c>
      <c r="L115" s="32">
        <v>55</v>
      </c>
      <c r="M115" s="32">
        <v>94.97</v>
      </c>
      <c r="N115" s="32">
        <v>75.97</v>
      </c>
      <c r="O115" s="32">
        <v>-164.5</v>
      </c>
      <c r="P115" s="32">
        <v>-126.27</v>
      </c>
      <c r="Q115" s="33">
        <v>30.4</v>
      </c>
      <c r="R115" s="33">
        <v>-8.2900000000000001E-2</v>
      </c>
      <c r="S115" s="33">
        <v>2.3599999999999999E-4</v>
      </c>
      <c r="T115" s="33">
        <v>-1.31E-7</v>
      </c>
      <c r="U115" s="32">
        <v>0</v>
      </c>
      <c r="V115" s="32">
        <v>6.6449999999999996</v>
      </c>
      <c r="W115" s="32" t="s">
        <v>28</v>
      </c>
      <c r="X115" s="32" t="s">
        <v>28</v>
      </c>
      <c r="Y115" s="27">
        <v>28.010100000000001</v>
      </c>
      <c r="Z115" s="27">
        <v>2</v>
      </c>
    </row>
    <row r="116" spans="8:26" x14ac:dyDescent="0.25">
      <c r="H116" s="27">
        <f t="shared" si="4"/>
        <v>0</v>
      </c>
      <c r="I116" s="58" t="s">
        <v>46</v>
      </c>
      <c r="J116" s="32">
        <v>3.7900000000000003E-2</v>
      </c>
      <c r="K116" s="32">
        <v>3.0000000000000001E-3</v>
      </c>
      <c r="L116" s="32">
        <v>82</v>
      </c>
      <c r="M116" s="32">
        <v>72.239999999999995</v>
      </c>
      <c r="N116" s="32">
        <v>36.9</v>
      </c>
      <c r="O116" s="32">
        <v>-162.03</v>
      </c>
      <c r="P116" s="32">
        <v>-143.47999999999999</v>
      </c>
      <c r="Q116" s="33">
        <v>30.9</v>
      </c>
      <c r="R116" s="33">
        <v>-3.3599999999999998E-2</v>
      </c>
      <c r="S116" s="33">
        <v>1.6000000000000001E-4</v>
      </c>
      <c r="T116" s="33">
        <v>-9.8799999999999998E-8</v>
      </c>
      <c r="U116" s="32">
        <v>3.1970000000000001</v>
      </c>
      <c r="V116" s="32">
        <v>9.093</v>
      </c>
      <c r="W116" s="32">
        <v>740.92</v>
      </c>
      <c r="X116" s="32">
        <v>-1.7130000000000001</v>
      </c>
      <c r="Y116" s="27">
        <v>29.018040000000003</v>
      </c>
      <c r="Z116" s="27">
        <v>3</v>
      </c>
    </row>
    <row r="117" spans="8:26" x14ac:dyDescent="0.25">
      <c r="H117" s="27">
        <f t="shared" si="4"/>
        <v>0</v>
      </c>
      <c r="I117" s="58" t="s">
        <v>47</v>
      </c>
      <c r="J117" s="32">
        <v>7.9100000000000004E-2</v>
      </c>
      <c r="K117" s="32">
        <v>7.7000000000000002E-3</v>
      </c>
      <c r="L117" s="32">
        <v>89</v>
      </c>
      <c r="M117" s="32">
        <v>169.09</v>
      </c>
      <c r="N117" s="32">
        <v>155.5</v>
      </c>
      <c r="O117" s="32">
        <v>-426.72</v>
      </c>
      <c r="P117" s="32">
        <v>-387.87</v>
      </c>
      <c r="Q117" s="33">
        <v>24.1</v>
      </c>
      <c r="R117" s="33">
        <v>4.2700000000000002E-2</v>
      </c>
      <c r="S117" s="33">
        <v>8.0400000000000003E-5</v>
      </c>
      <c r="T117" s="33">
        <v>-6.87E-8</v>
      </c>
      <c r="U117" s="32">
        <v>11.051</v>
      </c>
      <c r="V117" s="32">
        <v>19.536999999999999</v>
      </c>
      <c r="W117" s="32">
        <v>1317.23</v>
      </c>
      <c r="X117" s="32">
        <v>-2.5779999999999998</v>
      </c>
      <c r="Y117" s="27">
        <v>45.017440000000001</v>
      </c>
      <c r="Z117" s="27">
        <v>4</v>
      </c>
    </row>
    <row r="118" spans="8:26" x14ac:dyDescent="0.25">
      <c r="H118" s="27">
        <f t="shared" si="4"/>
        <v>0</v>
      </c>
      <c r="I118" s="58" t="s">
        <v>48</v>
      </c>
      <c r="J118" s="32">
        <v>4.8099999999999997E-2</v>
      </c>
      <c r="K118" s="32">
        <v>5.0000000000000001E-4</v>
      </c>
      <c r="L118" s="32">
        <v>82</v>
      </c>
      <c r="M118" s="32">
        <v>81.099999999999994</v>
      </c>
      <c r="N118" s="32">
        <v>53.6</v>
      </c>
      <c r="O118" s="32">
        <v>-337.92</v>
      </c>
      <c r="P118" s="32">
        <v>-301.95</v>
      </c>
      <c r="Q118" s="33">
        <v>24.5</v>
      </c>
      <c r="R118" s="33">
        <v>4.02E-2</v>
      </c>
      <c r="S118" s="33">
        <v>4.0200000000000001E-5</v>
      </c>
      <c r="T118" s="33">
        <v>-4.5200000000000001E-8</v>
      </c>
      <c r="U118" s="32">
        <v>6.9589999999999996</v>
      </c>
      <c r="V118" s="32">
        <v>9.6329999999999991</v>
      </c>
      <c r="W118" s="32">
        <v>483.88</v>
      </c>
      <c r="X118" s="32">
        <v>-0.96599999999999997</v>
      </c>
      <c r="Y118" s="27">
        <v>44.009500000000003</v>
      </c>
      <c r="Z118" s="27">
        <v>3</v>
      </c>
    </row>
    <row r="119" spans="8:26" x14ac:dyDescent="0.25">
      <c r="H119" s="27">
        <f t="shared" si="4"/>
        <v>0</v>
      </c>
      <c r="I119" s="31" t="s">
        <v>61</v>
      </c>
      <c r="J119" s="32" t="s">
        <v>49</v>
      </c>
      <c r="K119" s="32">
        <v>1.01E-2</v>
      </c>
      <c r="L119" s="32">
        <v>36</v>
      </c>
      <c r="M119" s="32">
        <v>-10.5</v>
      </c>
      <c r="N119" s="32">
        <v>2.08</v>
      </c>
      <c r="O119" s="32">
        <v>-247.61</v>
      </c>
      <c r="P119" s="32">
        <v>-250.83</v>
      </c>
      <c r="Q119" s="32">
        <v>6.82</v>
      </c>
      <c r="R119" s="33">
        <v>1.9599999999999999E-2</v>
      </c>
      <c r="S119" s="33">
        <v>1.27E-5</v>
      </c>
      <c r="T119" s="33">
        <v>-1.7800000000000001E-8</v>
      </c>
      <c r="U119" s="32">
        <v>3.6240000000000001</v>
      </c>
      <c r="V119" s="32">
        <v>5.9089999999999998</v>
      </c>
      <c r="W119" s="32">
        <v>675.24</v>
      </c>
      <c r="X119" s="32">
        <v>-1.34</v>
      </c>
      <c r="Y119" s="27">
        <v>15.9994</v>
      </c>
      <c r="Z119" s="27">
        <v>1</v>
      </c>
    </row>
    <row r="120" spans="8:26" x14ac:dyDescent="0.25">
      <c r="H120" s="27"/>
      <c r="I120" s="30" t="s">
        <v>50</v>
      </c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spans="8:26" x14ac:dyDescent="0.25">
      <c r="H121" s="27">
        <f>G19</f>
        <v>0</v>
      </c>
      <c r="I121" s="31" t="s">
        <v>64</v>
      </c>
      <c r="J121" s="32">
        <v>2.4299999999999999E-2</v>
      </c>
      <c r="K121" s="32">
        <v>1.09E-2</v>
      </c>
      <c r="L121" s="32">
        <v>38</v>
      </c>
      <c r="M121" s="32">
        <v>73.23</v>
      </c>
      <c r="N121" s="32">
        <v>66.89</v>
      </c>
      <c r="O121" s="32">
        <v>-22.02</v>
      </c>
      <c r="P121" s="32">
        <v>14.07</v>
      </c>
      <c r="Q121" s="33">
        <v>26.9</v>
      </c>
      <c r="R121" s="33">
        <v>-4.1200000000000001E-2</v>
      </c>
      <c r="S121" s="33">
        <v>1.64E-4</v>
      </c>
      <c r="T121" s="33">
        <v>-9.76E-8</v>
      </c>
      <c r="U121" s="32">
        <v>3.5150000000000001</v>
      </c>
      <c r="V121" s="32">
        <v>10.788</v>
      </c>
      <c r="W121" s="32"/>
      <c r="X121" s="32"/>
      <c r="Y121" s="27">
        <v>16.022580000000001</v>
      </c>
      <c r="Z121" s="27">
        <v>3</v>
      </c>
    </row>
    <row r="122" spans="8:26" x14ac:dyDescent="0.25">
      <c r="H122" s="27">
        <f t="shared" ref="H122:H129" si="5">G20</f>
        <v>0</v>
      </c>
      <c r="I122" s="58" t="s">
        <v>51</v>
      </c>
      <c r="J122" s="32">
        <v>2.9499999999999998E-2</v>
      </c>
      <c r="K122" s="32">
        <v>7.7000000000000002E-3</v>
      </c>
      <c r="L122" s="32">
        <v>35</v>
      </c>
      <c r="M122" s="32">
        <v>50.17</v>
      </c>
      <c r="N122" s="32">
        <v>52.66</v>
      </c>
      <c r="O122" s="32">
        <v>53.47</v>
      </c>
      <c r="P122" s="32">
        <v>89.39</v>
      </c>
      <c r="Q122" s="32">
        <v>-1.21</v>
      </c>
      <c r="R122" s="33">
        <v>7.6200000000000004E-2</v>
      </c>
      <c r="S122" s="33">
        <v>-4.8600000000000002E-5</v>
      </c>
      <c r="T122" s="33">
        <v>1.05E-8</v>
      </c>
      <c r="U122" s="32">
        <v>5.0990000000000002</v>
      </c>
      <c r="V122" s="32">
        <v>6.4359999999999999</v>
      </c>
      <c r="W122" s="32"/>
      <c r="X122" s="32"/>
      <c r="Y122" s="27">
        <v>15.01464</v>
      </c>
      <c r="Z122" s="27">
        <v>2</v>
      </c>
    </row>
    <row r="123" spans="8:26" x14ac:dyDescent="0.25">
      <c r="H123" s="27">
        <f t="shared" si="5"/>
        <v>0</v>
      </c>
      <c r="I123" s="58" t="s">
        <v>52</v>
      </c>
      <c r="J123" s="32">
        <v>1.2999999999999999E-2</v>
      </c>
      <c r="K123" s="32">
        <v>1.14E-2</v>
      </c>
      <c r="L123" s="32">
        <v>29</v>
      </c>
      <c r="M123" s="32">
        <v>52.82</v>
      </c>
      <c r="N123" s="32">
        <v>101.51</v>
      </c>
      <c r="O123" s="32">
        <v>31.65</v>
      </c>
      <c r="P123" s="32">
        <v>75.61</v>
      </c>
      <c r="Q123" s="33">
        <v>11.8</v>
      </c>
      <c r="R123" s="33">
        <v>-2.3E-2</v>
      </c>
      <c r="S123" s="33">
        <v>1.07E-4</v>
      </c>
      <c r="T123" s="33">
        <v>-6.2800000000000006E-8</v>
      </c>
      <c r="U123" s="32">
        <v>7.49</v>
      </c>
      <c r="V123" s="32">
        <v>6.93</v>
      </c>
      <c r="W123" s="32"/>
      <c r="X123" s="32"/>
      <c r="Y123" s="27">
        <v>15.01464</v>
      </c>
      <c r="Z123" s="27">
        <v>2</v>
      </c>
    </row>
    <row r="124" spans="8:26" x14ac:dyDescent="0.25">
      <c r="H124" s="27">
        <f t="shared" si="5"/>
        <v>0</v>
      </c>
      <c r="I124" s="58" t="s">
        <v>53</v>
      </c>
      <c r="J124" s="32">
        <v>1.6899999999999998E-2</v>
      </c>
      <c r="K124" s="32">
        <v>7.4000000000000003E-3</v>
      </c>
      <c r="L124" s="32">
        <v>9</v>
      </c>
      <c r="M124" s="32">
        <v>11.74</v>
      </c>
      <c r="N124" s="32">
        <v>48.84</v>
      </c>
      <c r="O124" s="32">
        <v>123.34</v>
      </c>
      <c r="P124" s="32">
        <v>163.16</v>
      </c>
      <c r="Q124" s="33">
        <v>-31.1</v>
      </c>
      <c r="R124" s="33">
        <v>0.22700000000000001</v>
      </c>
      <c r="S124" s="33">
        <v>-3.2000000000000003E-4</v>
      </c>
      <c r="T124" s="33">
        <v>1.4600000000000001E-7</v>
      </c>
      <c r="U124" s="32">
        <v>4.7030000000000003</v>
      </c>
      <c r="V124" s="32">
        <v>1.8959999999999999</v>
      </c>
      <c r="W124" s="32"/>
      <c r="X124" s="32"/>
      <c r="Y124" s="27">
        <v>14.0067</v>
      </c>
      <c r="Z124" s="27">
        <v>1</v>
      </c>
    </row>
    <row r="125" spans="8:26" x14ac:dyDescent="0.25">
      <c r="H125" s="27">
        <f t="shared" si="5"/>
        <v>0</v>
      </c>
      <c r="I125" s="58" t="s">
        <v>54</v>
      </c>
      <c r="J125" s="32">
        <v>2.5499999999999998E-2</v>
      </c>
      <c r="K125" s="32">
        <v>-9.9000000000000008E-3</v>
      </c>
      <c r="L125" s="32"/>
      <c r="M125" s="32">
        <v>74.599999999999994</v>
      </c>
      <c r="N125" s="32"/>
      <c r="O125" s="32">
        <v>23.61</v>
      </c>
      <c r="P125" s="32"/>
      <c r="Q125" s="32"/>
      <c r="R125" s="32"/>
      <c r="S125" s="32"/>
      <c r="T125" s="32"/>
      <c r="U125" s="32"/>
      <c r="V125" s="32">
        <v>3.335</v>
      </c>
      <c r="W125" s="32"/>
      <c r="X125" s="32"/>
      <c r="Y125" s="27">
        <v>14.0067</v>
      </c>
      <c r="Z125" s="27">
        <v>1</v>
      </c>
    </row>
    <row r="126" spans="8:26" x14ac:dyDescent="0.25">
      <c r="H126" s="27">
        <f t="shared" si="5"/>
        <v>0</v>
      </c>
      <c r="I126" s="58" t="s">
        <v>55</v>
      </c>
      <c r="J126" s="32">
        <v>8.5000000000000006E-3</v>
      </c>
      <c r="K126" s="32">
        <v>7.6E-3</v>
      </c>
      <c r="L126" s="32">
        <v>34</v>
      </c>
      <c r="M126" s="32">
        <v>57.55</v>
      </c>
      <c r="N126" s="32">
        <v>68.400000000000006</v>
      </c>
      <c r="O126" s="32">
        <v>55.52</v>
      </c>
      <c r="P126" s="32">
        <v>79.930000000000007</v>
      </c>
      <c r="Q126" s="32">
        <v>8.83</v>
      </c>
      <c r="R126" s="33">
        <v>-3.8400000000000001E-3</v>
      </c>
      <c r="S126" s="33">
        <v>4.35E-5</v>
      </c>
      <c r="T126" s="33">
        <v>-2.6000000000000001E-8</v>
      </c>
      <c r="U126" s="32">
        <v>3.649</v>
      </c>
      <c r="V126" s="32">
        <v>6.5279999999999996</v>
      </c>
      <c r="W126" s="32"/>
      <c r="X126" s="32"/>
      <c r="Y126" s="27">
        <v>14.0067</v>
      </c>
      <c r="Z126" s="27">
        <v>1</v>
      </c>
    </row>
    <row r="127" spans="8:26" x14ac:dyDescent="0.25">
      <c r="H127" s="27">
        <f t="shared" si="5"/>
        <v>0</v>
      </c>
      <c r="I127" s="31" t="s">
        <v>62</v>
      </c>
      <c r="J127" s="32"/>
      <c r="K127" s="32"/>
      <c r="L127" s="32"/>
      <c r="M127" s="32">
        <v>83.08</v>
      </c>
      <c r="N127" s="32">
        <v>68.91</v>
      </c>
      <c r="O127" s="32">
        <v>93.7</v>
      </c>
      <c r="P127" s="32">
        <v>119.66</v>
      </c>
      <c r="Q127" s="32">
        <v>5.69</v>
      </c>
      <c r="R127" s="33">
        <v>-4.1200000000000004E-3</v>
      </c>
      <c r="S127" s="33">
        <v>1.2799999999999999E-4</v>
      </c>
      <c r="T127" s="33">
        <v>-8.8800000000000001E-8</v>
      </c>
      <c r="U127" s="32" t="s">
        <v>28</v>
      </c>
      <c r="V127" s="32">
        <v>12.169</v>
      </c>
      <c r="W127" s="32"/>
      <c r="X127" s="32"/>
      <c r="Y127" s="27">
        <v>15.01464</v>
      </c>
      <c r="Z127" s="27">
        <v>2</v>
      </c>
    </row>
    <row r="128" spans="8:26" x14ac:dyDescent="0.25">
      <c r="H128" s="27">
        <f t="shared" si="5"/>
        <v>0</v>
      </c>
      <c r="I128" s="58" t="s">
        <v>56</v>
      </c>
      <c r="J128" s="32">
        <v>4.9599999999999998E-2</v>
      </c>
      <c r="K128" s="32">
        <v>-1.01E-2</v>
      </c>
      <c r="L128" s="32">
        <v>91</v>
      </c>
      <c r="M128" s="32">
        <v>125.66</v>
      </c>
      <c r="N128" s="32">
        <v>59.89</v>
      </c>
      <c r="O128" s="32">
        <v>88.43</v>
      </c>
      <c r="P128" s="32">
        <v>89.22</v>
      </c>
      <c r="Q128" s="33">
        <v>36.5</v>
      </c>
      <c r="R128" s="33">
        <v>-7.3300000000000004E-2</v>
      </c>
      <c r="S128" s="33">
        <v>1.84E-4</v>
      </c>
      <c r="T128" s="33">
        <v>-1.03E-7</v>
      </c>
      <c r="U128" s="32">
        <v>2.4140000000000001</v>
      </c>
      <c r="V128" s="32">
        <v>12.851000000000001</v>
      </c>
      <c r="W128" s="32"/>
      <c r="X128" s="32"/>
      <c r="Y128" s="27">
        <v>26.017400000000002</v>
      </c>
      <c r="Z128" s="27">
        <v>2</v>
      </c>
    </row>
    <row r="129" spans="8:26" x14ac:dyDescent="0.25">
      <c r="H129" s="27">
        <f t="shared" si="5"/>
        <v>2</v>
      </c>
      <c r="I129" s="31" t="s">
        <v>65</v>
      </c>
      <c r="J129" s="32">
        <v>4.3700000000000003E-2</v>
      </c>
      <c r="K129" s="32">
        <v>6.4000000000000003E-3</v>
      </c>
      <c r="L129" s="32">
        <v>91</v>
      </c>
      <c r="M129" s="32">
        <v>152.54</v>
      </c>
      <c r="N129" s="32">
        <v>127.24</v>
      </c>
      <c r="O129" s="32">
        <v>-66.569999999999993</v>
      </c>
      <c r="P129" s="32">
        <v>-16.829999999999998</v>
      </c>
      <c r="Q129" s="33">
        <v>25.9</v>
      </c>
      <c r="R129" s="33">
        <v>-3.7399999999999998E-3</v>
      </c>
      <c r="S129" s="33">
        <v>1.2899999999999999E-4</v>
      </c>
      <c r="T129" s="33">
        <v>-8.8800000000000001E-8</v>
      </c>
      <c r="U129" s="32">
        <v>9.6790000000000003</v>
      </c>
      <c r="V129" s="32">
        <v>16.738</v>
      </c>
      <c r="W129" s="32"/>
      <c r="X129" s="32"/>
      <c r="Y129" s="27">
        <v>46.005499999999998</v>
      </c>
      <c r="Z129" s="27">
        <v>3</v>
      </c>
    </row>
    <row r="130" spans="8:26" x14ac:dyDescent="0.25">
      <c r="H130" s="27"/>
      <c r="I130" s="30" t="s">
        <v>57</v>
      </c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spans="8:26" x14ac:dyDescent="0.25">
      <c r="H131" s="27">
        <f>G29</f>
        <v>0</v>
      </c>
      <c r="I131" s="58" t="s">
        <v>58</v>
      </c>
      <c r="J131" s="32">
        <v>3.0999999999999999E-3</v>
      </c>
      <c r="K131" s="32">
        <v>8.3999999999999995E-3</v>
      </c>
      <c r="L131" s="32">
        <v>63</v>
      </c>
      <c r="M131" s="32">
        <v>63.56</v>
      </c>
      <c r="N131" s="32">
        <v>20.09</v>
      </c>
      <c r="O131" s="32">
        <v>-17.329999999999998</v>
      </c>
      <c r="P131" s="32">
        <v>-22.99</v>
      </c>
      <c r="Q131" s="33">
        <v>35.299999999999997</v>
      </c>
      <c r="R131" s="33">
        <v>-7.5800000000000006E-2</v>
      </c>
      <c r="S131" s="33">
        <v>1.85E-4</v>
      </c>
      <c r="T131" s="33">
        <v>-1.03E-7</v>
      </c>
      <c r="U131" s="32">
        <v>2.36</v>
      </c>
      <c r="V131" s="32">
        <v>6.8840000000000003</v>
      </c>
      <c r="W131" s="32"/>
      <c r="X131" s="32"/>
      <c r="Y131" s="27">
        <v>33.072939999999996</v>
      </c>
      <c r="Z131" s="27">
        <v>2</v>
      </c>
    </row>
    <row r="132" spans="8:26" x14ac:dyDescent="0.25">
      <c r="H132" s="27">
        <f t="shared" ref="H132:H133" si="6">G30</f>
        <v>0</v>
      </c>
      <c r="I132" s="58" t="s">
        <v>59</v>
      </c>
      <c r="J132" s="32">
        <v>1.1900000000000001E-2</v>
      </c>
      <c r="K132" s="32">
        <v>4.8999999999999998E-3</v>
      </c>
      <c r="L132" s="32">
        <v>54</v>
      </c>
      <c r="M132" s="32">
        <v>68.78</v>
      </c>
      <c r="N132" s="32">
        <v>34.4</v>
      </c>
      <c r="O132" s="32">
        <v>41.87</v>
      </c>
      <c r="P132" s="32">
        <v>33.119999999999997</v>
      </c>
      <c r="Q132" s="33">
        <v>19.600000000000001</v>
      </c>
      <c r="R132" s="33">
        <v>-5.6100000000000004E-3</v>
      </c>
      <c r="S132" s="33">
        <v>4.0200000000000001E-5</v>
      </c>
      <c r="T132" s="33">
        <v>-2.7599999999999999E-8</v>
      </c>
      <c r="U132" s="32">
        <v>4.13</v>
      </c>
      <c r="V132" s="32">
        <v>6.8170000000000002</v>
      </c>
      <c r="W132" s="32"/>
      <c r="X132" s="32"/>
      <c r="Y132" s="27">
        <v>32.064999999999998</v>
      </c>
      <c r="Z132" s="27">
        <v>1</v>
      </c>
    </row>
    <row r="133" spans="8:26" x14ac:dyDescent="0.25">
      <c r="H133" s="27">
        <f t="shared" si="6"/>
        <v>0</v>
      </c>
      <c r="I133" s="58" t="s">
        <v>60</v>
      </c>
      <c r="J133" s="32">
        <v>1.9E-3</v>
      </c>
      <c r="K133" s="32">
        <v>5.1000000000000004E-3</v>
      </c>
      <c r="L133" s="32">
        <v>38</v>
      </c>
      <c r="M133" s="32">
        <v>52.1</v>
      </c>
      <c r="N133" s="32">
        <v>79.930000000000007</v>
      </c>
      <c r="O133" s="32">
        <v>39.1</v>
      </c>
      <c r="P133" s="32">
        <v>27.76</v>
      </c>
      <c r="Q133" s="33">
        <v>16.7</v>
      </c>
      <c r="R133" s="33">
        <v>4.81E-3</v>
      </c>
      <c r="S133" s="33">
        <v>2.7699999999999999E-5</v>
      </c>
      <c r="T133" s="33">
        <v>-2.11E-8</v>
      </c>
      <c r="U133" s="32">
        <v>1.5569999999999999</v>
      </c>
      <c r="V133" s="32">
        <v>5.984</v>
      </c>
      <c r="W133" s="32"/>
      <c r="X133" s="32"/>
      <c r="Y133" s="27">
        <v>32.064999999999998</v>
      </c>
      <c r="Z133" s="27">
        <v>1</v>
      </c>
    </row>
    <row r="136" spans="8:26" x14ac:dyDescent="0.25">
      <c r="I136" s="10" t="s">
        <v>93</v>
      </c>
    </row>
    <row r="137" spans="8:26" x14ac:dyDescent="0.25">
      <c r="I137" t="s">
        <v>68</v>
      </c>
      <c r="J137">
        <f>G37*0.98692327</f>
        <v>46.682550531758906</v>
      </c>
      <c r="K137" t="s">
        <v>84</v>
      </c>
    </row>
    <row r="138" spans="8:26" x14ac:dyDescent="0.25">
      <c r="I138" t="s">
        <v>85</v>
      </c>
      <c r="J138">
        <f>G35/G36</f>
        <v>0.68248399999999998</v>
      </c>
    </row>
    <row r="139" spans="8:26" x14ac:dyDescent="0.25">
      <c r="I139" s="15" t="s">
        <v>86</v>
      </c>
      <c r="J139" s="16">
        <f>(-1*LN(J137)-5.92714+6.09648/J138 + 1.28862*LN(J138)-0.169347*(J138^6) )/(15.2518 - 15.6875/J138-13.4721*LN(J138)+0.43577*(J138^6) )</f>
        <v>0.52963311972305815</v>
      </c>
    </row>
    <row r="141" spans="8:26" x14ac:dyDescent="0.25">
      <c r="I141" s="6" t="s">
        <v>94</v>
      </c>
    </row>
    <row r="142" spans="8:26" x14ac:dyDescent="0.25">
      <c r="I142" t="s">
        <v>95</v>
      </c>
      <c r="J142" s="14">
        <f>Q83-37.93</f>
        <v>-11.190000000000005</v>
      </c>
    </row>
    <row r="143" spans="8:26" x14ac:dyDescent="0.25">
      <c r="I143" t="s">
        <v>96</v>
      </c>
      <c r="J143" s="14">
        <f>R83+0.21</f>
        <v>0.63412000000000002</v>
      </c>
    </row>
    <row r="144" spans="8:26" x14ac:dyDescent="0.25">
      <c r="I144" t="s">
        <v>66</v>
      </c>
      <c r="J144" s="4">
        <f>S83-0.000391</f>
        <v>-4.2356000000000007E-4</v>
      </c>
    </row>
    <row r="145" spans="9:10" x14ac:dyDescent="0.25">
      <c r="I145" t="s">
        <v>97</v>
      </c>
      <c r="J145">
        <f>T83+0.000000206</f>
        <v>1.0039999999999999E-7</v>
      </c>
    </row>
    <row r="147" spans="9:10" x14ac:dyDescent="0.25">
      <c r="I147" s="6" t="s">
        <v>103</v>
      </c>
    </row>
    <row r="148" spans="9:10" x14ac:dyDescent="0.25">
      <c r="I148" t="s">
        <v>95</v>
      </c>
      <c r="J148">
        <f>W83-597.82</f>
        <v>-50.700000000000159</v>
      </c>
    </row>
    <row r="149" spans="9:10" x14ac:dyDescent="0.25">
      <c r="I149" t="s">
        <v>96</v>
      </c>
      <c r="J149">
        <f>X83-11.202</f>
        <v>-12.186</v>
      </c>
    </row>
  </sheetData>
  <mergeCells count="19">
    <mergeCell ref="O85:P85"/>
    <mergeCell ref="Q85:T86"/>
    <mergeCell ref="U85:V85"/>
    <mergeCell ref="W85:X86"/>
    <mergeCell ref="M86:N86"/>
    <mergeCell ref="O86:P86"/>
    <mergeCell ref="U86:V86"/>
    <mergeCell ref="M85:N85"/>
    <mergeCell ref="B24:C24"/>
    <mergeCell ref="E28:G28"/>
    <mergeCell ref="B33:G33"/>
    <mergeCell ref="I85:I86"/>
    <mergeCell ref="J85:L86"/>
    <mergeCell ref="B2:G2"/>
    <mergeCell ref="B5:C5"/>
    <mergeCell ref="B7:C7"/>
    <mergeCell ref="E7:G7"/>
    <mergeCell ref="B18:C18"/>
    <mergeCell ref="E18:G1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36D48-1BD2-4F05-BAED-EF6842C7D066}">
  <dimension ref="A1:Z149"/>
  <sheetViews>
    <sheetView showGridLines="0" workbookViewId="0">
      <selection activeCell="I25" sqref="I25"/>
    </sheetView>
  </sheetViews>
  <sheetFormatPr defaultRowHeight="15" x14ac:dyDescent="0.25"/>
  <cols>
    <col min="1" max="1" width="4.7109375" style="7" customWidth="1"/>
    <col min="2" max="2" width="9.140625" customWidth="1"/>
    <col min="4" max="4" width="3.85546875" customWidth="1"/>
    <col min="5" max="5" width="10.42578125" customWidth="1"/>
    <col min="6" max="6" width="10" customWidth="1"/>
    <col min="7" max="7" width="18.140625" bestFit="1" customWidth="1"/>
    <col min="9" max="9" width="20.7109375" bestFit="1" customWidth="1"/>
    <col min="10" max="10" width="11" bestFit="1" customWidth="1"/>
    <col min="25" max="25" width="10.5703125" bestFit="1" customWidth="1"/>
  </cols>
  <sheetData>
    <row r="1" spans="2:18" ht="9" customHeight="1" thickBot="1" x14ac:dyDescent="0.3"/>
    <row r="2" spans="2:18" ht="18.75" x14ac:dyDescent="0.3">
      <c r="B2" s="195" t="s">
        <v>69</v>
      </c>
      <c r="C2" s="195"/>
      <c r="D2" s="195"/>
      <c r="E2" s="195"/>
      <c r="F2" s="195"/>
      <c r="G2" s="195"/>
      <c r="I2" s="43"/>
      <c r="J2" s="44"/>
      <c r="K2" s="44"/>
      <c r="L2" s="44"/>
      <c r="M2" s="44"/>
      <c r="N2" s="44"/>
      <c r="O2" s="44"/>
      <c r="P2" s="44"/>
      <c r="Q2" s="44"/>
      <c r="R2" s="45"/>
    </row>
    <row r="3" spans="2:18" ht="7.5" customHeight="1" x14ac:dyDescent="0.25">
      <c r="I3" s="46"/>
      <c r="J3" s="24"/>
      <c r="K3" s="24"/>
      <c r="L3" s="24"/>
      <c r="M3" s="24"/>
      <c r="N3" s="24"/>
      <c r="O3" s="24"/>
      <c r="P3" s="24"/>
      <c r="Q3" s="24"/>
      <c r="R3" s="47"/>
    </row>
    <row r="4" spans="2:18" ht="15.75" thickBot="1" x14ac:dyDescent="0.3">
      <c r="B4" s="17"/>
      <c r="F4" s="13" t="s">
        <v>77</v>
      </c>
      <c r="G4" s="20" t="s">
        <v>167</v>
      </c>
      <c r="I4" s="46"/>
      <c r="J4" s="24"/>
      <c r="K4" s="24"/>
      <c r="L4" s="24"/>
      <c r="M4" s="24"/>
      <c r="N4" s="24"/>
      <c r="O4" s="24"/>
      <c r="P4" s="24"/>
      <c r="Q4" s="24"/>
      <c r="R4" s="47"/>
    </row>
    <row r="5" spans="2:18" ht="15.75" thickBot="1" x14ac:dyDescent="0.3">
      <c r="B5" s="196"/>
      <c r="C5" s="197"/>
      <c r="D5" s="42"/>
      <c r="F5" s="13" t="s">
        <v>78</v>
      </c>
      <c r="G5" s="21" t="s">
        <v>112</v>
      </c>
      <c r="I5" s="46"/>
      <c r="J5" s="24"/>
      <c r="K5" s="24"/>
      <c r="L5" s="24"/>
      <c r="M5" s="24"/>
      <c r="N5" s="24"/>
      <c r="O5" s="24"/>
      <c r="P5" s="24"/>
      <c r="Q5" s="24"/>
      <c r="R5" s="47"/>
    </row>
    <row r="6" spans="2:18" ht="7.5" customHeight="1" x14ac:dyDescent="0.25">
      <c r="I6" s="46"/>
      <c r="J6" s="24"/>
      <c r="K6" s="24"/>
      <c r="L6" s="24"/>
      <c r="M6" s="24"/>
      <c r="N6" s="24"/>
      <c r="O6" s="24"/>
      <c r="P6" s="24"/>
      <c r="Q6" s="24"/>
      <c r="R6" s="47"/>
    </row>
    <row r="7" spans="2:18" x14ac:dyDescent="0.25">
      <c r="B7" s="198" t="s">
        <v>22</v>
      </c>
      <c r="C7" s="198"/>
      <c r="E7" s="198" t="s">
        <v>39</v>
      </c>
      <c r="F7" s="198"/>
      <c r="G7" s="198"/>
      <c r="I7" s="46"/>
      <c r="J7" s="24"/>
      <c r="K7" s="24"/>
      <c r="L7" s="24"/>
      <c r="M7" s="24"/>
      <c r="N7" s="24"/>
      <c r="O7" s="24"/>
      <c r="P7" s="24"/>
      <c r="Q7" s="24"/>
      <c r="R7" s="47"/>
    </row>
    <row r="8" spans="2:18" ht="18" x14ac:dyDescent="0.25">
      <c r="B8" s="1" t="s">
        <v>63</v>
      </c>
      <c r="C8" s="11"/>
      <c r="E8" s="8" t="s">
        <v>40</v>
      </c>
      <c r="G8" s="11"/>
      <c r="I8" s="46"/>
      <c r="J8" s="24"/>
      <c r="K8" s="24"/>
      <c r="L8" s="24"/>
      <c r="M8" s="24"/>
      <c r="N8" s="24"/>
      <c r="O8" s="24"/>
      <c r="P8" s="24"/>
      <c r="Q8" s="24"/>
      <c r="R8" s="47"/>
    </row>
    <row r="9" spans="2:18" ht="18" x14ac:dyDescent="0.25">
      <c r="B9" s="5" t="s">
        <v>23</v>
      </c>
      <c r="C9" s="11"/>
      <c r="E9" s="8" t="s">
        <v>41</v>
      </c>
      <c r="G9" s="11"/>
      <c r="I9" s="46"/>
      <c r="J9" s="24"/>
      <c r="K9" s="24"/>
      <c r="L9" s="24"/>
      <c r="M9" s="24"/>
      <c r="N9" s="24"/>
      <c r="O9" s="24"/>
      <c r="P9" s="24"/>
      <c r="Q9" s="24"/>
      <c r="R9" s="47"/>
    </row>
    <row r="10" spans="2:18" ht="15.75" customHeight="1" x14ac:dyDescent="0.25">
      <c r="B10" s="5" t="s">
        <v>24</v>
      </c>
      <c r="C10" s="11"/>
      <c r="E10" s="8" t="s">
        <v>42</v>
      </c>
      <c r="G10" s="11"/>
      <c r="I10" s="46"/>
      <c r="J10" s="24"/>
      <c r="K10" s="24"/>
      <c r="L10" s="24"/>
      <c r="M10" s="24"/>
      <c r="N10" s="24"/>
      <c r="O10" s="24"/>
      <c r="P10" s="24"/>
      <c r="Q10" s="24"/>
      <c r="R10" s="47"/>
    </row>
    <row r="11" spans="2:18" x14ac:dyDescent="0.25">
      <c r="B11" s="5" t="s">
        <v>25</v>
      </c>
      <c r="C11" s="11"/>
      <c r="E11" s="8" t="s">
        <v>43</v>
      </c>
      <c r="G11" s="11"/>
      <c r="I11" s="46"/>
      <c r="J11" s="24"/>
      <c r="K11" s="24"/>
      <c r="L11" s="24"/>
      <c r="M11" s="24"/>
      <c r="N11" s="24"/>
      <c r="O11" s="24"/>
      <c r="P11" s="24"/>
      <c r="Q11" s="24"/>
      <c r="R11" s="47"/>
    </row>
    <row r="12" spans="2:18" ht="18" x14ac:dyDescent="0.25">
      <c r="B12" s="1" t="s">
        <v>111</v>
      </c>
      <c r="C12" s="11"/>
      <c r="E12" s="8" t="s">
        <v>44</v>
      </c>
      <c r="G12" s="11"/>
      <c r="I12" s="46"/>
      <c r="J12" s="24"/>
      <c r="K12" s="24"/>
      <c r="L12" s="24"/>
      <c r="M12" s="24"/>
      <c r="N12" s="24"/>
      <c r="O12" s="24"/>
      <c r="P12" s="24"/>
      <c r="Q12" s="24"/>
      <c r="R12" s="47"/>
    </row>
    <row r="13" spans="2:18" x14ac:dyDescent="0.25">
      <c r="B13" s="5" t="s">
        <v>26</v>
      </c>
      <c r="C13" s="11"/>
      <c r="E13" s="8" t="s">
        <v>45</v>
      </c>
      <c r="G13" s="11"/>
      <c r="I13" s="46"/>
      <c r="J13" s="24"/>
      <c r="K13" s="24"/>
      <c r="L13" s="24"/>
      <c r="M13" s="24"/>
      <c r="N13" s="24"/>
      <c r="O13" s="24"/>
      <c r="P13" s="24"/>
      <c r="Q13" s="24"/>
      <c r="R13" s="47"/>
    </row>
    <row r="14" spans="2:18" x14ac:dyDescent="0.25">
      <c r="B14" s="5" t="s">
        <v>27</v>
      </c>
      <c r="C14" s="11"/>
      <c r="E14" s="8" t="s">
        <v>46</v>
      </c>
      <c r="G14" s="11"/>
      <c r="I14" s="46"/>
      <c r="J14" s="24"/>
      <c r="K14" s="24"/>
      <c r="L14" s="24"/>
      <c r="M14" s="24"/>
      <c r="N14" s="24"/>
      <c r="O14" s="24"/>
      <c r="P14" s="24"/>
      <c r="Q14" s="24"/>
      <c r="R14" s="47"/>
    </row>
    <row r="15" spans="2:18" x14ac:dyDescent="0.25">
      <c r="B15" s="5" t="s">
        <v>29</v>
      </c>
      <c r="C15" s="11"/>
      <c r="E15" s="8" t="s">
        <v>47</v>
      </c>
      <c r="G15" s="11"/>
      <c r="I15" s="46"/>
      <c r="J15" s="48"/>
      <c r="K15" s="48"/>
      <c r="L15" s="48"/>
      <c r="M15" s="48"/>
      <c r="N15" s="48"/>
      <c r="O15" s="48"/>
      <c r="P15" s="24"/>
      <c r="Q15" s="24"/>
      <c r="R15" s="47"/>
    </row>
    <row r="16" spans="2:18" x14ac:dyDescent="0.25">
      <c r="B16" s="5" t="s">
        <v>30</v>
      </c>
      <c r="C16" s="11"/>
      <c r="E16" s="8" t="s">
        <v>48</v>
      </c>
      <c r="G16" s="11"/>
      <c r="I16" s="46"/>
      <c r="J16" s="24"/>
      <c r="K16" s="24"/>
      <c r="L16" s="24"/>
      <c r="M16" s="24"/>
      <c r="N16" s="24"/>
      <c r="O16" s="24"/>
      <c r="P16" s="24"/>
      <c r="Q16" s="24"/>
      <c r="R16" s="47"/>
    </row>
    <row r="17" spans="2:18" x14ac:dyDescent="0.25">
      <c r="B17" s="5" t="s">
        <v>31</v>
      </c>
      <c r="C17" s="11"/>
      <c r="E17" s="9" t="s">
        <v>61</v>
      </c>
      <c r="G17" s="11"/>
      <c r="I17" s="46"/>
      <c r="J17" s="24"/>
      <c r="K17" s="24"/>
      <c r="L17" s="24"/>
      <c r="M17" s="24"/>
      <c r="N17" s="24"/>
      <c r="O17" s="24"/>
      <c r="P17" s="24"/>
      <c r="Q17" s="24"/>
      <c r="R17" s="47"/>
    </row>
    <row r="18" spans="2:18" ht="15.75" thickBot="1" x14ac:dyDescent="0.3">
      <c r="B18" s="198" t="s">
        <v>32</v>
      </c>
      <c r="C18" s="198"/>
      <c r="E18" s="198" t="s">
        <v>50</v>
      </c>
      <c r="F18" s="198"/>
      <c r="G18" s="198"/>
      <c r="I18" s="49"/>
      <c r="J18" s="50"/>
      <c r="K18" s="50"/>
      <c r="L18" s="50"/>
      <c r="M18" s="50"/>
      <c r="N18" s="50"/>
      <c r="O18" s="50"/>
      <c r="P18" s="50"/>
      <c r="Q18" s="50"/>
      <c r="R18" s="51"/>
    </row>
    <row r="19" spans="2:18" ht="18" x14ac:dyDescent="0.25">
      <c r="B19" s="5" t="s">
        <v>23</v>
      </c>
      <c r="C19" s="11"/>
      <c r="E19" s="9" t="s">
        <v>64</v>
      </c>
      <c r="G19" s="11">
        <v>2</v>
      </c>
    </row>
    <row r="20" spans="2:18" x14ac:dyDescent="0.25">
      <c r="B20" s="5" t="s">
        <v>24</v>
      </c>
      <c r="C20" s="11"/>
      <c r="E20" s="8" t="s">
        <v>51</v>
      </c>
      <c r="G20" s="11"/>
    </row>
    <row r="21" spans="2:18" x14ac:dyDescent="0.25">
      <c r="B21" s="5" t="s">
        <v>25</v>
      </c>
      <c r="C21" s="11"/>
      <c r="E21" s="8" t="s">
        <v>52</v>
      </c>
      <c r="G21" s="11"/>
    </row>
    <row r="22" spans="2:18" x14ac:dyDescent="0.25">
      <c r="B22" s="5" t="s">
        <v>26</v>
      </c>
      <c r="C22" s="11">
        <v>4</v>
      </c>
      <c r="E22" s="8" t="s">
        <v>53</v>
      </c>
      <c r="G22" s="11"/>
    </row>
    <row r="23" spans="2:18" x14ac:dyDescent="0.25">
      <c r="B23" s="5" t="s">
        <v>27</v>
      </c>
      <c r="C23" s="11">
        <v>2</v>
      </c>
      <c r="E23" s="8" t="s">
        <v>54</v>
      </c>
      <c r="G23" s="11"/>
    </row>
    <row r="24" spans="2:18" x14ac:dyDescent="0.25">
      <c r="B24" s="199" t="s">
        <v>34</v>
      </c>
      <c r="C24" s="199"/>
      <c r="E24" s="8" t="s">
        <v>55</v>
      </c>
      <c r="G24" s="11"/>
    </row>
    <row r="25" spans="2:18" x14ac:dyDescent="0.25">
      <c r="B25" s="8" t="s">
        <v>35</v>
      </c>
      <c r="C25" s="11"/>
      <c r="E25" s="9" t="s">
        <v>62</v>
      </c>
      <c r="G25" s="11"/>
    </row>
    <row r="26" spans="2:18" x14ac:dyDescent="0.25">
      <c r="B26" s="8" t="s">
        <v>36</v>
      </c>
      <c r="C26" s="11"/>
      <c r="E26" s="8" t="s">
        <v>56</v>
      </c>
      <c r="G26" s="11"/>
    </row>
    <row r="27" spans="2:18" x14ac:dyDescent="0.25">
      <c r="B27" s="8" t="s">
        <v>37</v>
      </c>
      <c r="C27" s="11"/>
      <c r="E27" s="9" t="s">
        <v>65</v>
      </c>
      <c r="G27" s="11"/>
    </row>
    <row r="28" spans="2:18" x14ac:dyDescent="0.25">
      <c r="B28" s="8" t="s">
        <v>38</v>
      </c>
      <c r="C28" s="11"/>
      <c r="E28" s="198" t="s">
        <v>57</v>
      </c>
      <c r="F28" s="198"/>
      <c r="G28" s="198"/>
    </row>
    <row r="29" spans="2:18" x14ac:dyDescent="0.25">
      <c r="E29" s="8" t="s">
        <v>58</v>
      </c>
      <c r="G29" s="11"/>
    </row>
    <row r="30" spans="2:18" x14ac:dyDescent="0.25">
      <c r="E30" s="8" t="s">
        <v>59</v>
      </c>
      <c r="G30" s="11"/>
    </row>
    <row r="31" spans="2:18" x14ac:dyDescent="0.25">
      <c r="E31" s="8" t="s">
        <v>60</v>
      </c>
      <c r="G31" s="11"/>
    </row>
    <row r="32" spans="2:18" ht="8.25" customHeight="1" x14ac:dyDescent="0.25"/>
    <row r="33" spans="2:7" x14ac:dyDescent="0.25">
      <c r="B33" s="200" t="s">
        <v>109</v>
      </c>
      <c r="C33" s="200"/>
      <c r="D33" s="200"/>
      <c r="E33" s="200"/>
      <c r="F33" s="200"/>
      <c r="G33" s="200"/>
    </row>
    <row r="34" spans="2:7" x14ac:dyDescent="0.25">
      <c r="B34" s="37" t="s">
        <v>74</v>
      </c>
      <c r="F34" s="12" t="s">
        <v>75</v>
      </c>
      <c r="G34">
        <f>Y83</f>
        <v>108.14112</v>
      </c>
    </row>
    <row r="35" spans="2:7" x14ac:dyDescent="0.25">
      <c r="B35" s="37" t="s">
        <v>90</v>
      </c>
      <c r="F35" s="12" t="s">
        <v>101</v>
      </c>
      <c r="G35" s="2">
        <f>198+M83</f>
        <v>513.4</v>
      </c>
    </row>
    <row r="36" spans="2:7" x14ac:dyDescent="0.25">
      <c r="B36" s="37" t="s">
        <v>76</v>
      </c>
      <c r="F36" s="12" t="s">
        <v>101</v>
      </c>
      <c r="G36" s="2">
        <f>G35/(0.584+0.965*J83-J83^2)</f>
        <v>786.77391066294126</v>
      </c>
    </row>
    <row r="37" spans="2:7" x14ac:dyDescent="0.25">
      <c r="B37" s="37" t="s">
        <v>81</v>
      </c>
      <c r="F37" s="12" t="s">
        <v>79</v>
      </c>
      <c r="G37" s="2">
        <f>(0.113+0.0032*Z83-K83)^-2</f>
        <v>53.749107764811086</v>
      </c>
    </row>
    <row r="38" spans="2:7" x14ac:dyDescent="0.25">
      <c r="B38" s="37" t="s">
        <v>80</v>
      </c>
      <c r="F38" s="12" t="s">
        <v>82</v>
      </c>
      <c r="G38" s="2">
        <f>17.5+L83</f>
        <v>321.5</v>
      </c>
    </row>
    <row r="39" spans="2:7" x14ac:dyDescent="0.25">
      <c r="B39" s="37" t="s">
        <v>83</v>
      </c>
      <c r="G39" s="14">
        <f>G37*G38/(83.1447*G36)</f>
        <v>0.26416040128070112</v>
      </c>
    </row>
    <row r="40" spans="2:7" x14ac:dyDescent="0.25">
      <c r="B40" s="37" t="s">
        <v>110</v>
      </c>
      <c r="G40" s="14">
        <f>J139</f>
        <v>0.37239026550480081</v>
      </c>
    </row>
    <row r="41" spans="2:7" x14ac:dyDescent="0.25">
      <c r="B41" s="37" t="s">
        <v>87</v>
      </c>
      <c r="F41" s="12" t="s">
        <v>101</v>
      </c>
      <c r="G41">
        <f>122.5+N83</f>
        <v>362.84000000000003</v>
      </c>
    </row>
    <row r="42" spans="2:7" x14ac:dyDescent="0.25">
      <c r="B42" s="37" t="s">
        <v>88</v>
      </c>
      <c r="F42" s="12" t="s">
        <v>67</v>
      </c>
      <c r="G42">
        <f>68.29+O83</f>
        <v>125.47</v>
      </c>
    </row>
    <row r="43" spans="2:7" x14ac:dyDescent="0.25">
      <c r="B43" s="37" t="s">
        <v>89</v>
      </c>
      <c r="F43" s="12" t="s">
        <v>67</v>
      </c>
      <c r="G43">
        <f>53.88+P83</f>
        <v>235.32</v>
      </c>
    </row>
    <row r="44" spans="2:7" x14ac:dyDescent="0.25">
      <c r="B44" s="37" t="s">
        <v>91</v>
      </c>
      <c r="F44" s="12" t="s">
        <v>67</v>
      </c>
      <c r="G44" s="2">
        <f>1.092*8.3144598*G35*(LN(G37)-1.013)/(0.93 - G35/G36)/1000</f>
        <v>49.918294365669517</v>
      </c>
    </row>
    <row r="45" spans="2:7" x14ac:dyDescent="0.25">
      <c r="B45" s="38" t="s">
        <v>92</v>
      </c>
      <c r="C45" s="24"/>
      <c r="D45" s="24"/>
      <c r="E45" s="24"/>
      <c r="F45" s="25" t="s">
        <v>67</v>
      </c>
      <c r="G45" s="26">
        <f>-0.88+U83</f>
        <v>15.342000000000001</v>
      </c>
    </row>
    <row r="46" spans="2:7" ht="6.75" customHeight="1" x14ac:dyDescent="0.25">
      <c r="B46" s="24"/>
      <c r="C46" s="24"/>
      <c r="D46" s="24"/>
      <c r="E46" s="24"/>
      <c r="F46" s="25"/>
      <c r="G46" s="26"/>
    </row>
    <row r="47" spans="2:7" x14ac:dyDescent="0.25">
      <c r="B47" s="23" t="s">
        <v>98</v>
      </c>
      <c r="C47" s="23"/>
      <c r="D47" s="23"/>
      <c r="E47" s="23"/>
      <c r="F47" s="22" t="s">
        <v>101</v>
      </c>
      <c r="G47" s="39">
        <v>300</v>
      </c>
    </row>
    <row r="48" spans="2:7" x14ac:dyDescent="0.25">
      <c r="B48" s="37" t="s">
        <v>108</v>
      </c>
      <c r="F48" s="12"/>
      <c r="G48" s="19">
        <f>G47/G36</f>
        <v>0.38130395013634588</v>
      </c>
    </row>
    <row r="49" spans="2:7" x14ac:dyDescent="0.25">
      <c r="B49" s="37" t="s">
        <v>99</v>
      </c>
      <c r="F49" s="12" t="s">
        <v>100</v>
      </c>
      <c r="G49" s="2">
        <f>J142+J143*G47+J144*G47^2+J145*G47^3</f>
        <v>128.98519999999996</v>
      </c>
    </row>
    <row r="50" spans="2:7" x14ac:dyDescent="0.25">
      <c r="B50" s="37" t="s">
        <v>102</v>
      </c>
      <c r="F50" s="12" t="s">
        <v>67</v>
      </c>
      <c r="G50" s="2">
        <f>G44*( ((G36-G47)/(G36-G35))^0.38)</f>
        <v>62.155050607099994</v>
      </c>
    </row>
    <row r="51" spans="2:7" x14ac:dyDescent="0.25">
      <c r="B51" s="37" t="s">
        <v>103</v>
      </c>
      <c r="F51" s="12" t="s">
        <v>104</v>
      </c>
      <c r="G51" s="18">
        <f>G34*EXP(J148/G47+J149)</f>
        <v>4.6588908874345837E-4</v>
      </c>
    </row>
    <row r="52" spans="2:7" x14ac:dyDescent="0.25">
      <c r="B52" s="37" t="s">
        <v>105</v>
      </c>
      <c r="F52" s="12" t="s">
        <v>106</v>
      </c>
      <c r="G52" s="3">
        <f>G34/( (83.1447*G36/G37)*(G39^(1 + ((1-G47/G36)^(2/7)))  ) )</f>
        <v>1.0735732580728954</v>
      </c>
    </row>
    <row r="53" spans="2:7" x14ac:dyDescent="0.25">
      <c r="B53" s="37" t="s">
        <v>107</v>
      </c>
      <c r="F53" s="12" t="s">
        <v>79</v>
      </c>
      <c r="G53" s="3">
        <f>G37*EXP( (5.92714-6.09648/G48-1.28862*LN(G48)+0.169347*(G48^6) )+G40*(15.2518-15.6875/G48-13.4721*LN(G48)+0.43577*(G48^6)) )</f>
        <v>6.5224709206218015E-5</v>
      </c>
    </row>
    <row r="83" spans="8:26" x14ac:dyDescent="0.25">
      <c r="H83" s="27"/>
      <c r="I83" s="27"/>
      <c r="J83" s="27">
        <f>SUMPRODUCT($H$88:$H$133,J88:J133)</f>
        <v>7.7199999999999991E-2</v>
      </c>
      <c r="K83" s="27">
        <f t="shared" ref="K83:Z83" si="0">SUMPRODUCT($H$88:$H$133,K88:K133)</f>
        <v>2.7799999999999998E-2</v>
      </c>
      <c r="L83" s="27">
        <f t="shared" si="0"/>
        <v>304</v>
      </c>
      <c r="M83" s="27">
        <f t="shared" si="0"/>
        <v>315.39999999999998</v>
      </c>
      <c r="N83" s="27">
        <f t="shared" si="0"/>
        <v>240.34</v>
      </c>
      <c r="O83" s="27">
        <f t="shared" si="0"/>
        <v>57.18</v>
      </c>
      <c r="P83" s="27">
        <f t="shared" si="0"/>
        <v>181.44</v>
      </c>
      <c r="Q83" s="27">
        <f t="shared" si="0"/>
        <v>28.739999999999995</v>
      </c>
      <c r="R83" s="27">
        <f t="shared" si="0"/>
        <v>0.34919999999999995</v>
      </c>
      <c r="S83" s="27">
        <f t="shared" si="0"/>
        <v>3.7439999999999967E-5</v>
      </c>
      <c r="T83" s="27">
        <f t="shared" si="0"/>
        <v>-1.2319999999999999E-7</v>
      </c>
      <c r="U83" s="27">
        <f>SUMPRODUCT($H$88:$H$133,U88:U133)</f>
        <v>16.222000000000001</v>
      </c>
      <c r="V83" s="27">
        <f t="shared" si="0"/>
        <v>37.870000000000005</v>
      </c>
      <c r="W83" s="27">
        <f t="shared" si="0"/>
        <v>547.11999999999989</v>
      </c>
      <c r="X83" s="27">
        <f t="shared" si="0"/>
        <v>-0.98399999999999976</v>
      </c>
      <c r="Y83" s="27">
        <f t="shared" si="0"/>
        <v>108.14112</v>
      </c>
      <c r="Z83" s="27">
        <f t="shared" si="0"/>
        <v>16</v>
      </c>
    </row>
    <row r="84" spans="8:26" ht="18" x14ac:dyDescent="0.25">
      <c r="H84" s="27"/>
      <c r="I84" s="28" t="s">
        <v>0</v>
      </c>
      <c r="J84" s="29" t="s">
        <v>1</v>
      </c>
      <c r="K84" s="29" t="s">
        <v>2</v>
      </c>
      <c r="L84" s="29" t="s">
        <v>3</v>
      </c>
      <c r="M84" s="29" t="s">
        <v>4</v>
      </c>
      <c r="N84" s="29" t="s">
        <v>5</v>
      </c>
      <c r="O84" s="29" t="s">
        <v>6</v>
      </c>
      <c r="P84" s="29" t="s">
        <v>7</v>
      </c>
      <c r="Q84" s="29" t="s">
        <v>8</v>
      </c>
      <c r="R84" s="29" t="s">
        <v>9</v>
      </c>
      <c r="S84" s="29" t="s">
        <v>10</v>
      </c>
      <c r="T84" s="29" t="s">
        <v>11</v>
      </c>
      <c r="U84" s="29" t="s">
        <v>12</v>
      </c>
      <c r="V84" s="29" t="s">
        <v>13</v>
      </c>
      <c r="W84" s="29" t="s">
        <v>8</v>
      </c>
      <c r="X84" s="29" t="s">
        <v>9</v>
      </c>
      <c r="Y84" s="29" t="s">
        <v>72</v>
      </c>
      <c r="Z84" s="29" t="s">
        <v>70</v>
      </c>
    </row>
    <row r="85" spans="8:26" x14ac:dyDescent="0.25">
      <c r="H85" s="27"/>
      <c r="I85" s="201"/>
      <c r="J85" s="202" t="s">
        <v>14</v>
      </c>
      <c r="K85" s="202"/>
      <c r="L85" s="202"/>
      <c r="M85" s="202" t="s">
        <v>15</v>
      </c>
      <c r="N85" s="202"/>
      <c r="O85" s="202" t="s">
        <v>17</v>
      </c>
      <c r="P85" s="202"/>
      <c r="Q85" s="202" t="s">
        <v>19</v>
      </c>
      <c r="R85" s="202"/>
      <c r="S85" s="202"/>
      <c r="T85" s="202"/>
      <c r="U85" s="202" t="s">
        <v>20</v>
      </c>
      <c r="V85" s="202"/>
      <c r="W85" s="202" t="s">
        <v>21</v>
      </c>
      <c r="X85" s="202"/>
      <c r="Y85" s="29" t="s">
        <v>73</v>
      </c>
      <c r="Z85" s="29" t="s">
        <v>71</v>
      </c>
    </row>
    <row r="86" spans="8:26" x14ac:dyDescent="0.25">
      <c r="H86" s="27"/>
      <c r="I86" s="201"/>
      <c r="J86" s="202"/>
      <c r="K86" s="202"/>
      <c r="L86" s="202"/>
      <c r="M86" s="202" t="s">
        <v>16</v>
      </c>
      <c r="N86" s="202"/>
      <c r="O86" s="202" t="s">
        <v>18</v>
      </c>
      <c r="P86" s="202"/>
      <c r="Q86" s="202"/>
      <c r="R86" s="202"/>
      <c r="S86" s="202"/>
      <c r="T86" s="202"/>
      <c r="U86" s="202" t="s">
        <v>16</v>
      </c>
      <c r="V86" s="202"/>
      <c r="W86" s="202"/>
      <c r="X86" s="202"/>
      <c r="Y86" s="27"/>
      <c r="Z86" s="27"/>
    </row>
    <row r="87" spans="8:26" x14ac:dyDescent="0.25">
      <c r="H87" s="27"/>
      <c r="I87" s="30" t="s">
        <v>22</v>
      </c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8:26" ht="18" x14ac:dyDescent="0.25">
      <c r="H88" s="27">
        <f>C8</f>
        <v>0</v>
      </c>
      <c r="I88" s="31" t="s">
        <v>63</v>
      </c>
      <c r="J88" s="32">
        <v>1.41E-2</v>
      </c>
      <c r="K88" s="32">
        <v>-1.1999999999999999E-3</v>
      </c>
      <c r="L88" s="32">
        <v>65</v>
      </c>
      <c r="M88" s="32">
        <v>23.58</v>
      </c>
      <c r="N88" s="32">
        <v>-5.0999999999999996</v>
      </c>
      <c r="O88" s="32">
        <v>-76.45</v>
      </c>
      <c r="P88" s="32">
        <v>-43.96</v>
      </c>
      <c r="Q88" s="33">
        <v>19.5</v>
      </c>
      <c r="R88" s="33">
        <v>-8.0800000000000004E-3</v>
      </c>
      <c r="S88" s="33">
        <v>1.5300000000000001E-4</v>
      </c>
      <c r="T88" s="33">
        <v>-9.6699999999999999E-8</v>
      </c>
      <c r="U88" s="32">
        <v>0.90800000000000003</v>
      </c>
      <c r="V88" s="32">
        <v>2.3730000000000002</v>
      </c>
      <c r="W88" s="32">
        <v>548.29</v>
      </c>
      <c r="X88" s="32">
        <v>-1.7190000000000001</v>
      </c>
      <c r="Y88" s="34">
        <v>15.034520000000001</v>
      </c>
      <c r="Z88" s="27">
        <v>4</v>
      </c>
    </row>
    <row r="89" spans="8:26" ht="18" x14ac:dyDescent="0.25">
      <c r="H89" s="27">
        <f t="shared" ref="H89:H97" si="1">C9</f>
        <v>0</v>
      </c>
      <c r="I89" s="71" t="s">
        <v>23</v>
      </c>
      <c r="J89" s="32">
        <v>1.89E-2</v>
      </c>
      <c r="K89" s="32">
        <v>0</v>
      </c>
      <c r="L89" s="32">
        <v>56</v>
      </c>
      <c r="M89" s="32">
        <v>22.88</v>
      </c>
      <c r="N89" s="32">
        <v>11.27</v>
      </c>
      <c r="O89" s="32">
        <v>-20.64</v>
      </c>
      <c r="P89" s="32">
        <v>8.42</v>
      </c>
      <c r="Q89" s="33">
        <v>-0.90900000000000003</v>
      </c>
      <c r="R89" s="33">
        <v>9.5000000000000001E-2</v>
      </c>
      <c r="S89" s="33">
        <v>-5.4400000000000001E-5</v>
      </c>
      <c r="T89" s="33">
        <v>1.1900000000000001E-8</v>
      </c>
      <c r="U89" s="32">
        <v>2.59</v>
      </c>
      <c r="V89" s="32">
        <v>2.226</v>
      </c>
      <c r="W89" s="32">
        <v>94.16</v>
      </c>
      <c r="X89" s="32">
        <v>-0.19900000000000001</v>
      </c>
      <c r="Y89" s="27">
        <v>14.026579999999999</v>
      </c>
      <c r="Z89" s="27">
        <v>3</v>
      </c>
    </row>
    <row r="90" spans="8:26" x14ac:dyDescent="0.25">
      <c r="H90" s="27">
        <f t="shared" si="1"/>
        <v>0</v>
      </c>
      <c r="I90" s="71" t="s">
        <v>24</v>
      </c>
      <c r="J90" s="32">
        <v>1.6400000000000001E-2</v>
      </c>
      <c r="K90" s="32">
        <v>2E-3</v>
      </c>
      <c r="L90" s="32">
        <v>41</v>
      </c>
      <c r="M90" s="32">
        <v>21.74</v>
      </c>
      <c r="N90" s="32">
        <v>12.64</v>
      </c>
      <c r="O90" s="32">
        <v>29.89</v>
      </c>
      <c r="P90" s="32">
        <v>58.36</v>
      </c>
      <c r="Q90" s="33">
        <v>-23</v>
      </c>
      <c r="R90" s="33">
        <v>0.20399999999999999</v>
      </c>
      <c r="S90" s="33">
        <v>-2.6499999999999999E-4</v>
      </c>
      <c r="T90" s="33">
        <v>1.1999999999999999E-7</v>
      </c>
      <c r="U90" s="32">
        <v>0.749</v>
      </c>
      <c r="V90" s="32">
        <v>1.6910000000000001</v>
      </c>
      <c r="W90" s="32">
        <v>-322.14999999999998</v>
      </c>
      <c r="X90" s="32">
        <v>1.1870000000000001</v>
      </c>
      <c r="Y90" s="27">
        <v>13.01864</v>
      </c>
      <c r="Z90" s="27">
        <v>2</v>
      </c>
    </row>
    <row r="91" spans="8:26" x14ac:dyDescent="0.25">
      <c r="H91" s="27">
        <f t="shared" si="1"/>
        <v>0</v>
      </c>
      <c r="I91" s="71" t="s">
        <v>25</v>
      </c>
      <c r="J91" s="32">
        <v>6.7000000000000002E-3</v>
      </c>
      <c r="K91" s="32">
        <v>4.3E-3</v>
      </c>
      <c r="L91" s="32">
        <v>27</v>
      </c>
      <c r="M91" s="32">
        <v>18.25</v>
      </c>
      <c r="N91" s="32">
        <v>46.43</v>
      </c>
      <c r="O91" s="32">
        <v>82.23</v>
      </c>
      <c r="P91" s="32">
        <v>116.02</v>
      </c>
      <c r="Q91" s="33">
        <v>-66.2</v>
      </c>
      <c r="R91" s="33">
        <v>0.42699999999999999</v>
      </c>
      <c r="S91" s="33">
        <v>-6.4099999999999997E-4</v>
      </c>
      <c r="T91" s="33">
        <v>3.0100000000000001E-7</v>
      </c>
      <c r="U91" s="32">
        <v>-1.46</v>
      </c>
      <c r="V91" s="32">
        <v>0.63600000000000001</v>
      </c>
      <c r="W91" s="32">
        <v>-573.55999999999995</v>
      </c>
      <c r="X91" s="32">
        <v>2.3069999999999999</v>
      </c>
      <c r="Y91" s="27">
        <v>12.0107</v>
      </c>
      <c r="Z91" s="27">
        <v>1</v>
      </c>
    </row>
    <row r="92" spans="8:26" ht="18" x14ac:dyDescent="0.25">
      <c r="H92" s="27">
        <f t="shared" si="1"/>
        <v>0</v>
      </c>
      <c r="I92" s="31" t="s">
        <v>111</v>
      </c>
      <c r="J92" s="32">
        <v>1.1299999999999999E-2</v>
      </c>
      <c r="K92" s="32">
        <v>-2.8E-3</v>
      </c>
      <c r="L92" s="32">
        <v>56</v>
      </c>
      <c r="M92" s="32">
        <v>18.18</v>
      </c>
      <c r="N92" s="32">
        <v>-4.32</v>
      </c>
      <c r="O92" s="32">
        <v>-9.6300000000000008</v>
      </c>
      <c r="P92" s="32">
        <v>3.77</v>
      </c>
      <c r="Q92" s="33">
        <v>23.6</v>
      </c>
      <c r="R92" s="33">
        <v>-3.8100000000000002E-2</v>
      </c>
      <c r="S92" s="33">
        <v>1.7200000000000001E-4</v>
      </c>
      <c r="T92" s="33">
        <v>-1.03E-7</v>
      </c>
      <c r="U92" s="32">
        <v>-0.47299999999999998</v>
      </c>
      <c r="V92" s="32">
        <v>1.724</v>
      </c>
      <c r="W92" s="32">
        <v>495.01</v>
      </c>
      <c r="X92" s="32">
        <v>-1.5389999999999999</v>
      </c>
      <c r="Y92" s="27">
        <v>14.026579999999999</v>
      </c>
      <c r="Z92" s="27">
        <v>3</v>
      </c>
    </row>
    <row r="93" spans="8:26" x14ac:dyDescent="0.25">
      <c r="H93" s="27">
        <f t="shared" si="1"/>
        <v>0</v>
      </c>
      <c r="I93" s="71" t="s">
        <v>26</v>
      </c>
      <c r="J93" s="40">
        <v>1.29E-2</v>
      </c>
      <c r="K93" s="32">
        <v>-5.9999999999999995E-4</v>
      </c>
      <c r="L93" s="32">
        <v>46</v>
      </c>
      <c r="M93" s="32">
        <v>24.96</v>
      </c>
      <c r="N93" s="32">
        <v>8.73</v>
      </c>
      <c r="O93" s="32">
        <v>37.97</v>
      </c>
      <c r="P93" s="32">
        <v>48.53</v>
      </c>
      <c r="Q93" s="32">
        <v>-8</v>
      </c>
      <c r="R93" s="33">
        <v>0.105</v>
      </c>
      <c r="S93" s="33">
        <v>-9.6299999999999996E-5</v>
      </c>
      <c r="T93" s="33">
        <v>3.5600000000000001E-8</v>
      </c>
      <c r="U93" s="32">
        <v>2.6909999999999998</v>
      </c>
      <c r="V93" s="32">
        <v>2.2050000000000001</v>
      </c>
      <c r="W93" s="32">
        <v>82.28</v>
      </c>
      <c r="X93" s="32">
        <v>-0.24199999999999999</v>
      </c>
      <c r="Y93" s="27">
        <v>13.01864</v>
      </c>
      <c r="Z93" s="27">
        <v>2</v>
      </c>
    </row>
    <row r="94" spans="8:26" x14ac:dyDescent="0.25">
      <c r="H94" s="27">
        <f t="shared" si="1"/>
        <v>0</v>
      </c>
      <c r="I94" s="71" t="s">
        <v>27</v>
      </c>
      <c r="J94" s="32">
        <v>1.17E-2</v>
      </c>
      <c r="K94" s="32">
        <v>1.1000000000000001E-3</v>
      </c>
      <c r="L94" s="32">
        <v>38</v>
      </c>
      <c r="M94" s="32">
        <v>24.14</v>
      </c>
      <c r="N94" s="32">
        <v>11.14</v>
      </c>
      <c r="O94" s="32">
        <v>83.99</v>
      </c>
      <c r="P94" s="32">
        <v>92.36</v>
      </c>
      <c r="Q94" s="33">
        <v>-28.1</v>
      </c>
      <c r="R94" s="33">
        <v>0.20799999999999999</v>
      </c>
      <c r="S94" s="33">
        <v>-3.0600000000000001E-4</v>
      </c>
      <c r="T94" s="33">
        <v>1.4600000000000001E-7</v>
      </c>
      <c r="U94" s="32">
        <v>3.0630000000000002</v>
      </c>
      <c r="V94" s="32">
        <v>2.1379999999999999</v>
      </c>
      <c r="W94" s="32" t="s">
        <v>28</v>
      </c>
      <c r="X94" s="32" t="s">
        <v>28</v>
      </c>
      <c r="Y94" s="27">
        <v>12.0107</v>
      </c>
      <c r="Z94" s="27">
        <v>1</v>
      </c>
    </row>
    <row r="95" spans="8:26" x14ac:dyDescent="0.25">
      <c r="H95" s="27">
        <f t="shared" si="1"/>
        <v>0</v>
      </c>
      <c r="I95" s="71" t="s">
        <v>29</v>
      </c>
      <c r="J95" s="32">
        <v>2.5999999999999999E-3</v>
      </c>
      <c r="K95" s="32">
        <v>2.8E-3</v>
      </c>
      <c r="L95" s="32">
        <v>36</v>
      </c>
      <c r="M95" s="32">
        <v>26.15</v>
      </c>
      <c r="N95" s="32">
        <v>17.78</v>
      </c>
      <c r="O95" s="32">
        <v>142.13999999999999</v>
      </c>
      <c r="P95" s="32">
        <v>136.69999999999999</v>
      </c>
      <c r="Q95" s="33">
        <v>27.4</v>
      </c>
      <c r="R95" s="33">
        <v>-5.57E-2</v>
      </c>
      <c r="S95" s="33">
        <v>1.01E-4</v>
      </c>
      <c r="T95" s="33">
        <v>-5.02E-8</v>
      </c>
      <c r="U95" s="32">
        <v>4.72</v>
      </c>
      <c r="V95" s="32">
        <v>2.661</v>
      </c>
      <c r="W95" s="32" t="s">
        <v>28</v>
      </c>
      <c r="X95" s="32" t="s">
        <v>28</v>
      </c>
      <c r="Y95" s="27">
        <v>12.0107</v>
      </c>
      <c r="Z95" s="27">
        <v>1</v>
      </c>
    </row>
    <row r="96" spans="8:26" x14ac:dyDescent="0.25">
      <c r="H96" s="27">
        <f t="shared" si="1"/>
        <v>0</v>
      </c>
      <c r="I96" s="71" t="s">
        <v>30</v>
      </c>
      <c r="J96" s="32">
        <v>2.7000000000000001E-3</v>
      </c>
      <c r="K96" s="32">
        <v>-8.0000000000000004E-4</v>
      </c>
      <c r="L96" s="32">
        <v>46</v>
      </c>
      <c r="M96" s="32">
        <v>9.1999999999999993</v>
      </c>
      <c r="N96" s="32">
        <v>-11.18</v>
      </c>
      <c r="O96" s="32">
        <v>79.3</v>
      </c>
      <c r="P96" s="32">
        <v>77.709999999999994</v>
      </c>
      <c r="Q96" s="33">
        <v>24.5</v>
      </c>
      <c r="R96" s="33">
        <v>-2.7099999999999999E-2</v>
      </c>
      <c r="S96" s="33">
        <v>1.11E-4</v>
      </c>
      <c r="T96" s="33">
        <v>-6.7799999999999998E-8</v>
      </c>
      <c r="U96" s="32">
        <v>2.3220000000000001</v>
      </c>
      <c r="V96" s="32">
        <v>1.155</v>
      </c>
      <c r="W96" s="32" t="s">
        <v>28</v>
      </c>
      <c r="X96" s="32" t="s">
        <v>28</v>
      </c>
      <c r="Y96" s="27">
        <v>13.01864</v>
      </c>
      <c r="Z96" s="27">
        <v>2</v>
      </c>
    </row>
    <row r="97" spans="8:26" x14ac:dyDescent="0.25">
      <c r="H97" s="27">
        <f t="shared" si="1"/>
        <v>0</v>
      </c>
      <c r="I97" s="71" t="s">
        <v>31</v>
      </c>
      <c r="J97" s="32">
        <v>2E-3</v>
      </c>
      <c r="K97" s="32">
        <v>1.6000000000000001E-3</v>
      </c>
      <c r="L97" s="32">
        <v>37</v>
      </c>
      <c r="M97" s="32">
        <v>27.38</v>
      </c>
      <c r="N97" s="32">
        <v>64.319999999999993</v>
      </c>
      <c r="O97" s="32">
        <v>115.51</v>
      </c>
      <c r="P97" s="32">
        <v>109.82</v>
      </c>
      <c r="Q97" s="32">
        <v>7.87</v>
      </c>
      <c r="R97" s="33">
        <v>2.01E-2</v>
      </c>
      <c r="S97" s="33">
        <v>-8.3299999999999999E-6</v>
      </c>
      <c r="T97" s="33">
        <v>1.39E-9</v>
      </c>
      <c r="U97" s="32">
        <v>4.1509999999999998</v>
      </c>
      <c r="V97" s="32">
        <v>3.302</v>
      </c>
      <c r="W97" s="32" t="s">
        <v>28</v>
      </c>
      <c r="X97" s="32" t="s">
        <v>28</v>
      </c>
      <c r="Y97" s="27">
        <v>12.0107</v>
      </c>
      <c r="Z97" s="27">
        <v>1</v>
      </c>
    </row>
    <row r="98" spans="8:26" x14ac:dyDescent="0.25">
      <c r="H98" s="27"/>
      <c r="I98" s="30" t="s">
        <v>32</v>
      </c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spans="8:26" ht="18" x14ac:dyDescent="0.25">
      <c r="H99" s="27">
        <f>C19</f>
        <v>0</v>
      </c>
      <c r="I99" s="71" t="s">
        <v>23</v>
      </c>
      <c r="J99" s="32">
        <v>0.01</v>
      </c>
      <c r="K99" s="32">
        <v>2.5000000000000001E-3</v>
      </c>
      <c r="L99" s="32">
        <v>48</v>
      </c>
      <c r="M99" s="32">
        <v>27.15</v>
      </c>
      <c r="N99" s="32">
        <v>7.75</v>
      </c>
      <c r="O99" s="32">
        <v>-26.8</v>
      </c>
      <c r="P99" s="32">
        <v>-3.68</v>
      </c>
      <c r="Q99" s="32">
        <v>-6.03</v>
      </c>
      <c r="R99" s="33">
        <v>8.5400000000000004E-2</v>
      </c>
      <c r="S99" s="33">
        <v>-7.9999999999999996E-6</v>
      </c>
      <c r="T99" s="33">
        <v>-1.7999999999999999E-8</v>
      </c>
      <c r="U99" s="32">
        <v>0.49</v>
      </c>
      <c r="V99" s="32">
        <v>2.3980000000000001</v>
      </c>
      <c r="W99" s="32">
        <v>307.52999999999997</v>
      </c>
      <c r="X99" s="32">
        <v>-0.79800000000000004</v>
      </c>
      <c r="Y99" s="27">
        <v>14.026579999999999</v>
      </c>
      <c r="Z99" s="27">
        <v>3</v>
      </c>
    </row>
    <row r="100" spans="8:26" x14ac:dyDescent="0.25">
      <c r="H100" s="27">
        <f t="shared" ref="H100:H103" si="2">C20</f>
        <v>0</v>
      </c>
      <c r="I100" s="71" t="s">
        <v>24</v>
      </c>
      <c r="J100" s="32">
        <v>1.2200000000000001E-2</v>
      </c>
      <c r="K100" s="32">
        <v>4.0000000000000002E-4</v>
      </c>
      <c r="L100" s="32">
        <v>38</v>
      </c>
      <c r="M100" s="32">
        <v>21.78</v>
      </c>
      <c r="N100" s="32">
        <v>19.88</v>
      </c>
      <c r="O100" s="32">
        <v>8.67</v>
      </c>
      <c r="P100" s="32">
        <v>40.99</v>
      </c>
      <c r="Q100" s="33">
        <v>-20.5</v>
      </c>
      <c r="R100" s="33">
        <v>0.16200000000000001</v>
      </c>
      <c r="S100" s="33">
        <v>-1.6000000000000001E-4</v>
      </c>
      <c r="T100" s="33">
        <v>6.2400000000000003E-8</v>
      </c>
      <c r="U100" s="32">
        <v>3.2429999999999999</v>
      </c>
      <c r="V100" s="32">
        <v>1.9419999999999999</v>
      </c>
      <c r="W100" s="32">
        <v>-394.29</v>
      </c>
      <c r="X100" s="32">
        <v>1.2509999999999999</v>
      </c>
      <c r="Y100" s="27">
        <v>13.01864</v>
      </c>
      <c r="Z100" s="27">
        <v>2</v>
      </c>
    </row>
    <row r="101" spans="8:26" x14ac:dyDescent="0.25">
      <c r="H101" s="27">
        <f t="shared" si="2"/>
        <v>0</v>
      </c>
      <c r="I101" s="71" t="s">
        <v>25</v>
      </c>
      <c r="J101" s="32">
        <v>4.1999999999999997E-3</v>
      </c>
      <c r="K101" s="32">
        <v>6.1000000000000004E-3</v>
      </c>
      <c r="L101" s="32">
        <v>27</v>
      </c>
      <c r="M101" s="32">
        <v>21.32</v>
      </c>
      <c r="N101" s="32">
        <v>60.15</v>
      </c>
      <c r="O101" s="32">
        <v>79.72</v>
      </c>
      <c r="P101" s="32">
        <v>87.88</v>
      </c>
      <c r="Q101" s="33">
        <v>-90.9</v>
      </c>
      <c r="R101" s="33">
        <v>0.55700000000000005</v>
      </c>
      <c r="S101" s="33">
        <v>-8.9999999999999998E-4</v>
      </c>
      <c r="T101" s="33">
        <v>4.6899999999999998E-7</v>
      </c>
      <c r="U101" s="32">
        <v>-1.373</v>
      </c>
      <c r="V101" s="32">
        <v>0.64400000000000002</v>
      </c>
      <c r="W101" s="32" t="s">
        <v>28</v>
      </c>
      <c r="X101" s="32" t="s">
        <v>28</v>
      </c>
      <c r="Y101" s="27">
        <v>12.0107</v>
      </c>
      <c r="Z101" s="27">
        <v>1</v>
      </c>
    </row>
    <row r="102" spans="8:26" x14ac:dyDescent="0.25">
      <c r="H102" s="27">
        <f t="shared" si="2"/>
        <v>4</v>
      </c>
      <c r="I102" s="71" t="s">
        <v>26</v>
      </c>
      <c r="J102" s="32" t="s">
        <v>33</v>
      </c>
      <c r="K102" s="32">
        <v>1.1000000000000001E-3</v>
      </c>
      <c r="L102" s="32">
        <v>41</v>
      </c>
      <c r="M102" s="32">
        <v>26.73</v>
      </c>
      <c r="N102" s="32">
        <v>8.1300000000000008</v>
      </c>
      <c r="O102" s="32">
        <v>2.09</v>
      </c>
      <c r="P102" s="32">
        <v>11.3</v>
      </c>
      <c r="Q102" s="32">
        <v>-2.14</v>
      </c>
      <c r="R102" s="33">
        <v>5.74E-2</v>
      </c>
      <c r="S102" s="33">
        <v>-1.64E-6</v>
      </c>
      <c r="T102" s="33">
        <v>-1.59E-8</v>
      </c>
      <c r="U102" s="32">
        <v>1.101</v>
      </c>
      <c r="V102" s="32">
        <v>2.544</v>
      </c>
      <c r="W102" s="32">
        <v>259.64999999999998</v>
      </c>
      <c r="X102" s="32">
        <v>-0.70199999999999996</v>
      </c>
      <c r="Y102" s="27">
        <v>13.01864</v>
      </c>
      <c r="Z102" s="27">
        <v>2</v>
      </c>
    </row>
    <row r="103" spans="8:26" x14ac:dyDescent="0.25">
      <c r="H103" s="27">
        <f t="shared" si="2"/>
        <v>2</v>
      </c>
      <c r="I103" s="71" t="s">
        <v>27</v>
      </c>
      <c r="J103" s="32">
        <v>1.43E-2</v>
      </c>
      <c r="K103" s="32">
        <v>8.0000000000000004E-4</v>
      </c>
      <c r="L103" s="32">
        <v>32</v>
      </c>
      <c r="M103" s="32">
        <v>31.01</v>
      </c>
      <c r="N103" s="32">
        <v>37.020000000000003</v>
      </c>
      <c r="O103" s="32">
        <v>46.43</v>
      </c>
      <c r="P103" s="32">
        <v>54.05</v>
      </c>
      <c r="Q103" s="32">
        <v>-8.25</v>
      </c>
      <c r="R103" s="33">
        <v>0.10100000000000001</v>
      </c>
      <c r="S103" s="33">
        <v>-1.4200000000000001E-4</v>
      </c>
      <c r="T103" s="33">
        <v>6.7799999999999998E-8</v>
      </c>
      <c r="U103" s="32">
        <v>2.3940000000000001</v>
      </c>
      <c r="V103" s="32">
        <v>3.0590000000000002</v>
      </c>
      <c r="W103" s="32">
        <v>-245.74</v>
      </c>
      <c r="X103" s="32">
        <v>0.91200000000000003</v>
      </c>
      <c r="Y103" s="27">
        <v>12.0107</v>
      </c>
      <c r="Z103" s="27">
        <v>1</v>
      </c>
    </row>
    <row r="104" spans="8:26" x14ac:dyDescent="0.25">
      <c r="H104" s="27"/>
      <c r="I104" s="30" t="s">
        <v>34</v>
      </c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spans="8:26" x14ac:dyDescent="0.25">
      <c r="H105" s="27">
        <f>C25</f>
        <v>0</v>
      </c>
      <c r="I105" s="71" t="s">
        <v>35</v>
      </c>
      <c r="J105" s="32">
        <v>1.11E-2</v>
      </c>
      <c r="K105" s="32">
        <v>-5.7000000000000002E-3</v>
      </c>
      <c r="L105" s="32">
        <v>27</v>
      </c>
      <c r="M105" s="32">
        <v>-0.03</v>
      </c>
      <c r="N105" s="32">
        <v>-15.78</v>
      </c>
      <c r="O105" s="32">
        <v>-251.92</v>
      </c>
      <c r="P105" s="32">
        <v>-247.19</v>
      </c>
      <c r="Q105" s="33">
        <v>26.5</v>
      </c>
      <c r="R105" s="33">
        <v>-9.1300000000000006E-2</v>
      </c>
      <c r="S105" s="33">
        <v>1.9100000000000001E-4</v>
      </c>
      <c r="T105" s="33">
        <v>-1.03E-7</v>
      </c>
      <c r="U105" s="32">
        <v>1.3979999999999999</v>
      </c>
      <c r="V105" s="32">
        <v>-0.67</v>
      </c>
      <c r="W105" s="32" t="s">
        <v>28</v>
      </c>
      <c r="X105" s="32" t="s">
        <v>28</v>
      </c>
      <c r="Y105" s="36">
        <v>18.998403199999998</v>
      </c>
      <c r="Z105" s="27">
        <v>1</v>
      </c>
    </row>
    <row r="106" spans="8:26" x14ac:dyDescent="0.25">
      <c r="H106" s="27">
        <f t="shared" ref="H106:H108" si="3">C26</f>
        <v>0</v>
      </c>
      <c r="I106" s="71" t="s">
        <v>36</v>
      </c>
      <c r="J106" s="32">
        <v>1.0500000000000001E-2</v>
      </c>
      <c r="K106" s="32">
        <v>-4.8999999999999998E-3</v>
      </c>
      <c r="L106" s="32">
        <v>58</v>
      </c>
      <c r="M106" s="32">
        <v>38.130000000000003</v>
      </c>
      <c r="N106" s="32">
        <v>13.55</v>
      </c>
      <c r="O106" s="32">
        <v>-71.55</v>
      </c>
      <c r="P106" s="32">
        <v>-64.31</v>
      </c>
      <c r="Q106" s="33">
        <v>33.299999999999997</v>
      </c>
      <c r="R106" s="33">
        <v>-9.6299999999999997E-2</v>
      </c>
      <c r="S106" s="33">
        <v>1.8699999999999999E-4</v>
      </c>
      <c r="T106" s="33">
        <v>-9.9600000000000005E-8</v>
      </c>
      <c r="U106" s="32">
        <v>2.5150000000000001</v>
      </c>
      <c r="V106" s="32">
        <v>4.532</v>
      </c>
      <c r="W106" s="32">
        <v>625.45000000000005</v>
      </c>
      <c r="X106" s="32">
        <v>-1.8140000000000001</v>
      </c>
      <c r="Y106" s="27">
        <v>35.453000000000003</v>
      </c>
      <c r="Z106" s="27">
        <v>1</v>
      </c>
    </row>
    <row r="107" spans="8:26" x14ac:dyDescent="0.25">
      <c r="H107" s="27">
        <f t="shared" si="3"/>
        <v>0</v>
      </c>
      <c r="I107" s="71" t="s">
        <v>37</v>
      </c>
      <c r="J107" s="32">
        <v>1.3299999999999999E-2</v>
      </c>
      <c r="K107" s="32">
        <v>5.7000000000000002E-3</v>
      </c>
      <c r="L107" s="32">
        <v>71</v>
      </c>
      <c r="M107" s="32">
        <v>66.86</v>
      </c>
      <c r="N107" s="32">
        <v>43.43</v>
      </c>
      <c r="O107" s="32">
        <v>-29.48</v>
      </c>
      <c r="P107" s="32">
        <v>-38.06</v>
      </c>
      <c r="Q107" s="33">
        <v>28.6</v>
      </c>
      <c r="R107" s="33">
        <v>-6.4899999999999999E-2</v>
      </c>
      <c r="S107" s="33">
        <v>1.36E-4</v>
      </c>
      <c r="T107" s="33">
        <v>-7.4499999999999999E-8</v>
      </c>
      <c r="U107" s="32">
        <v>3.6030000000000002</v>
      </c>
      <c r="V107" s="32">
        <v>6.5819999999999999</v>
      </c>
      <c r="W107" s="32">
        <v>738.91</v>
      </c>
      <c r="X107" s="32">
        <v>-2.0379999999999998</v>
      </c>
      <c r="Y107" s="27">
        <v>79.903999999999996</v>
      </c>
      <c r="Z107" s="27">
        <v>1</v>
      </c>
    </row>
    <row r="108" spans="8:26" x14ac:dyDescent="0.25">
      <c r="H108" s="27">
        <f t="shared" si="3"/>
        <v>0</v>
      </c>
      <c r="I108" s="71" t="s">
        <v>38</v>
      </c>
      <c r="J108" s="32">
        <v>6.7999999999999996E-3</v>
      </c>
      <c r="K108" s="32">
        <v>-3.3999999999999998E-3</v>
      </c>
      <c r="L108" s="32">
        <v>97</v>
      </c>
      <c r="M108" s="32">
        <v>93.84</v>
      </c>
      <c r="N108" s="32">
        <v>41.69</v>
      </c>
      <c r="O108" s="32">
        <v>21.06</v>
      </c>
      <c r="P108" s="32">
        <v>5.74</v>
      </c>
      <c r="Q108" s="33">
        <v>32.1</v>
      </c>
      <c r="R108" s="33">
        <v>-6.4100000000000004E-2</v>
      </c>
      <c r="S108" s="33">
        <v>1.26E-4</v>
      </c>
      <c r="T108" s="33">
        <v>-6.87E-8</v>
      </c>
      <c r="U108" s="32">
        <v>2.7240000000000002</v>
      </c>
      <c r="V108" s="32">
        <v>9.52</v>
      </c>
      <c r="W108" s="32">
        <v>809.55</v>
      </c>
      <c r="X108" s="32">
        <v>-2.2240000000000002</v>
      </c>
      <c r="Y108" s="27">
        <v>126.90447</v>
      </c>
      <c r="Z108" s="27">
        <v>1</v>
      </c>
    </row>
    <row r="109" spans="8:26" x14ac:dyDescent="0.25">
      <c r="H109" s="27"/>
      <c r="I109" s="30" t="s">
        <v>39</v>
      </c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spans="8:26" x14ac:dyDescent="0.25">
      <c r="H110" s="27">
        <f>G8</f>
        <v>0</v>
      </c>
      <c r="I110" s="71" t="s">
        <v>40</v>
      </c>
      <c r="J110" s="32">
        <v>7.4099999999999999E-2</v>
      </c>
      <c r="K110" s="32">
        <v>1.12E-2</v>
      </c>
      <c r="L110" s="32">
        <v>28</v>
      </c>
      <c r="M110" s="32">
        <v>92.88</v>
      </c>
      <c r="N110" s="32">
        <v>44.45</v>
      </c>
      <c r="O110" s="32">
        <v>-208.04</v>
      </c>
      <c r="P110" s="32">
        <v>-189.2</v>
      </c>
      <c r="Q110" s="33">
        <v>25.7</v>
      </c>
      <c r="R110" s="33">
        <v>-6.9099999999999995E-2</v>
      </c>
      <c r="S110" s="33">
        <v>1.7699999999999999E-4</v>
      </c>
      <c r="T110" s="33">
        <v>-9.8799999999999998E-8</v>
      </c>
      <c r="U110" s="32">
        <v>2.4060000000000001</v>
      </c>
      <c r="V110" s="32">
        <v>16.826000000000001</v>
      </c>
      <c r="W110" s="32">
        <v>2173.7199999999998</v>
      </c>
      <c r="X110" s="32">
        <v>-5.0570000000000004</v>
      </c>
      <c r="Y110" s="27">
        <v>17.007339999999999</v>
      </c>
      <c r="Z110" s="27">
        <v>2</v>
      </c>
    </row>
    <row r="111" spans="8:26" x14ac:dyDescent="0.25">
      <c r="H111" s="27">
        <f t="shared" ref="H111:H119" si="4">G9</f>
        <v>0</v>
      </c>
      <c r="I111" s="71" t="s">
        <v>41</v>
      </c>
      <c r="J111" s="32">
        <v>2.4E-2</v>
      </c>
      <c r="K111" s="32">
        <v>1.84E-2</v>
      </c>
      <c r="L111" s="32">
        <v>-25</v>
      </c>
      <c r="M111" s="32">
        <v>76.34</v>
      </c>
      <c r="N111" s="32">
        <v>82.83</v>
      </c>
      <c r="O111" s="32">
        <v>-221.65</v>
      </c>
      <c r="P111" s="32">
        <v>-197.37</v>
      </c>
      <c r="Q111" s="32">
        <v>-2.81</v>
      </c>
      <c r="R111" s="33">
        <v>0.111</v>
      </c>
      <c r="S111" s="33">
        <v>-1.16E-4</v>
      </c>
      <c r="T111" s="33">
        <v>4.9399999999999999E-8</v>
      </c>
      <c r="U111" s="32">
        <v>4.49</v>
      </c>
      <c r="V111" s="32">
        <v>12.499000000000001</v>
      </c>
      <c r="W111" s="32">
        <v>3018.17</v>
      </c>
      <c r="X111" s="32">
        <v>-7.3140000000000001</v>
      </c>
      <c r="Y111" s="27">
        <v>17.007339999999999</v>
      </c>
      <c r="Z111" s="27">
        <v>2</v>
      </c>
    </row>
    <row r="112" spans="8:26" x14ac:dyDescent="0.25">
      <c r="H112" s="27">
        <f t="shared" si="4"/>
        <v>0</v>
      </c>
      <c r="I112" s="71" t="s">
        <v>42</v>
      </c>
      <c r="J112" s="32">
        <v>1.6799999999999999E-2</v>
      </c>
      <c r="K112" s="32">
        <v>1.5E-3</v>
      </c>
      <c r="L112" s="32">
        <v>18</v>
      </c>
      <c r="M112" s="32">
        <v>22.42</v>
      </c>
      <c r="N112" s="32">
        <v>22.23</v>
      </c>
      <c r="O112" s="32">
        <v>-132.22</v>
      </c>
      <c r="P112" s="32">
        <v>-105</v>
      </c>
      <c r="Q112" s="33">
        <v>25.5</v>
      </c>
      <c r="R112" s="33">
        <v>-6.3200000000000006E-2</v>
      </c>
      <c r="S112" s="33">
        <v>1.11E-4</v>
      </c>
      <c r="T112" s="33">
        <v>-5.4800000000000001E-8</v>
      </c>
      <c r="U112" s="32">
        <v>1.1879999999999999</v>
      </c>
      <c r="V112" s="32">
        <v>2.41</v>
      </c>
      <c r="W112" s="32">
        <v>122.09</v>
      </c>
      <c r="X112" s="32">
        <v>-0.38600000000000001</v>
      </c>
      <c r="Y112" s="27">
        <v>15.9994</v>
      </c>
      <c r="Z112" s="27">
        <v>1</v>
      </c>
    </row>
    <row r="113" spans="8:26" x14ac:dyDescent="0.25">
      <c r="H113" s="27">
        <f t="shared" si="4"/>
        <v>0</v>
      </c>
      <c r="I113" s="71" t="s">
        <v>43</v>
      </c>
      <c r="J113" s="32">
        <v>9.7999999999999997E-3</v>
      </c>
      <c r="K113" s="32">
        <v>4.7999999999999996E-3</v>
      </c>
      <c r="L113" s="32">
        <v>13</v>
      </c>
      <c r="M113" s="32">
        <v>31.22</v>
      </c>
      <c r="N113" s="32">
        <v>23.05</v>
      </c>
      <c r="O113" s="32">
        <v>-138.16</v>
      </c>
      <c r="P113" s="32">
        <v>-98.22</v>
      </c>
      <c r="Q113" s="33">
        <v>12.2</v>
      </c>
      <c r="R113" s="33">
        <v>-1.26E-2</v>
      </c>
      <c r="S113" s="33">
        <v>6.0300000000000002E-5</v>
      </c>
      <c r="T113" s="33">
        <v>-3.8600000000000002E-8</v>
      </c>
      <c r="U113" s="32">
        <v>5.8789999999999996</v>
      </c>
      <c r="V113" s="32">
        <v>4.6820000000000004</v>
      </c>
      <c r="W113" s="32">
        <v>440.24</v>
      </c>
      <c r="X113" s="32">
        <v>-0.95299999999999996</v>
      </c>
      <c r="Y113" s="27">
        <v>15.9994</v>
      </c>
      <c r="Z113" s="27">
        <v>1</v>
      </c>
    </row>
    <row r="114" spans="8:26" x14ac:dyDescent="0.25">
      <c r="H114" s="27">
        <f t="shared" si="4"/>
        <v>0</v>
      </c>
      <c r="I114" s="71" t="s">
        <v>44</v>
      </c>
      <c r="J114" s="32">
        <v>3.7999999999999999E-2</v>
      </c>
      <c r="K114" s="32">
        <v>3.0999999999999999E-3</v>
      </c>
      <c r="L114" s="32">
        <v>62</v>
      </c>
      <c r="M114" s="32">
        <v>76.75</v>
      </c>
      <c r="N114" s="32">
        <v>61.2</v>
      </c>
      <c r="O114" s="32">
        <v>-133.22</v>
      </c>
      <c r="P114" s="32">
        <v>-120.5</v>
      </c>
      <c r="Q114" s="32">
        <v>6.45</v>
      </c>
      <c r="R114" s="33">
        <v>6.7000000000000004E-2</v>
      </c>
      <c r="S114" s="33">
        <v>-3.57E-5</v>
      </c>
      <c r="T114" s="33">
        <v>2.86E-9</v>
      </c>
      <c r="U114" s="32">
        <v>4.1890000000000001</v>
      </c>
      <c r="V114" s="32">
        <v>8.9719999999999995</v>
      </c>
      <c r="W114" s="32">
        <v>340.35</v>
      </c>
      <c r="X114" s="32">
        <v>-0.35</v>
      </c>
      <c r="Y114" s="27">
        <v>28.010100000000001</v>
      </c>
      <c r="Z114" s="27">
        <v>2</v>
      </c>
    </row>
    <row r="115" spans="8:26" x14ac:dyDescent="0.25">
      <c r="H115" s="27">
        <f t="shared" si="4"/>
        <v>0</v>
      </c>
      <c r="I115" s="71" t="s">
        <v>45</v>
      </c>
      <c r="J115" s="32">
        <v>2.8400000000000002E-2</v>
      </c>
      <c r="K115" s="32">
        <v>2.8E-3</v>
      </c>
      <c r="L115" s="32">
        <v>55</v>
      </c>
      <c r="M115" s="32">
        <v>94.97</v>
      </c>
      <c r="N115" s="32">
        <v>75.97</v>
      </c>
      <c r="O115" s="32">
        <v>-164.5</v>
      </c>
      <c r="P115" s="32">
        <v>-126.27</v>
      </c>
      <c r="Q115" s="33">
        <v>30.4</v>
      </c>
      <c r="R115" s="33">
        <v>-8.2900000000000001E-2</v>
      </c>
      <c r="S115" s="33">
        <v>2.3599999999999999E-4</v>
      </c>
      <c r="T115" s="33">
        <v>-1.31E-7</v>
      </c>
      <c r="U115" s="32">
        <v>0</v>
      </c>
      <c r="V115" s="32">
        <v>6.6449999999999996</v>
      </c>
      <c r="W115" s="32" t="s">
        <v>28</v>
      </c>
      <c r="X115" s="32" t="s">
        <v>28</v>
      </c>
      <c r="Y115" s="27">
        <v>28.010100000000001</v>
      </c>
      <c r="Z115" s="27">
        <v>2</v>
      </c>
    </row>
    <row r="116" spans="8:26" x14ac:dyDescent="0.25">
      <c r="H116" s="27">
        <f t="shared" si="4"/>
        <v>0</v>
      </c>
      <c r="I116" s="71" t="s">
        <v>46</v>
      </c>
      <c r="J116" s="32">
        <v>3.7900000000000003E-2</v>
      </c>
      <c r="K116" s="32">
        <v>3.0000000000000001E-3</v>
      </c>
      <c r="L116" s="32">
        <v>82</v>
      </c>
      <c r="M116" s="32">
        <v>72.239999999999995</v>
      </c>
      <c r="N116" s="32">
        <v>36.9</v>
      </c>
      <c r="O116" s="32">
        <v>-162.03</v>
      </c>
      <c r="P116" s="32">
        <v>-143.47999999999999</v>
      </c>
      <c r="Q116" s="33">
        <v>30.9</v>
      </c>
      <c r="R116" s="33">
        <v>-3.3599999999999998E-2</v>
      </c>
      <c r="S116" s="33">
        <v>1.6000000000000001E-4</v>
      </c>
      <c r="T116" s="33">
        <v>-9.8799999999999998E-8</v>
      </c>
      <c r="U116" s="32">
        <v>3.1970000000000001</v>
      </c>
      <c r="V116" s="32">
        <v>9.093</v>
      </c>
      <c r="W116" s="32">
        <v>740.92</v>
      </c>
      <c r="X116" s="32">
        <v>-1.7130000000000001</v>
      </c>
      <c r="Y116" s="27">
        <v>29.018040000000003</v>
      </c>
      <c r="Z116" s="27">
        <v>3</v>
      </c>
    </row>
    <row r="117" spans="8:26" x14ac:dyDescent="0.25">
      <c r="H117" s="27">
        <f t="shared" si="4"/>
        <v>0</v>
      </c>
      <c r="I117" s="71" t="s">
        <v>47</v>
      </c>
      <c r="J117" s="32">
        <v>7.9100000000000004E-2</v>
      </c>
      <c r="K117" s="32">
        <v>7.7000000000000002E-3</v>
      </c>
      <c r="L117" s="32">
        <v>89</v>
      </c>
      <c r="M117" s="32">
        <v>169.09</v>
      </c>
      <c r="N117" s="32">
        <v>155.5</v>
      </c>
      <c r="O117" s="32">
        <v>-426.72</v>
      </c>
      <c r="P117" s="32">
        <v>-387.87</v>
      </c>
      <c r="Q117" s="33">
        <v>24.1</v>
      </c>
      <c r="R117" s="33">
        <v>4.2700000000000002E-2</v>
      </c>
      <c r="S117" s="33">
        <v>8.0400000000000003E-5</v>
      </c>
      <c r="T117" s="33">
        <v>-6.87E-8</v>
      </c>
      <c r="U117" s="32">
        <v>11.051</v>
      </c>
      <c r="V117" s="32">
        <v>19.536999999999999</v>
      </c>
      <c r="W117" s="32">
        <v>1317.23</v>
      </c>
      <c r="X117" s="32">
        <v>-2.5779999999999998</v>
      </c>
      <c r="Y117" s="27">
        <v>45.017440000000001</v>
      </c>
      <c r="Z117" s="27">
        <v>4</v>
      </c>
    </row>
    <row r="118" spans="8:26" x14ac:dyDescent="0.25">
      <c r="H118" s="27">
        <f t="shared" si="4"/>
        <v>0</v>
      </c>
      <c r="I118" s="71" t="s">
        <v>48</v>
      </c>
      <c r="J118" s="32">
        <v>4.8099999999999997E-2</v>
      </c>
      <c r="K118" s="32">
        <v>5.0000000000000001E-4</v>
      </c>
      <c r="L118" s="32">
        <v>82</v>
      </c>
      <c r="M118" s="32">
        <v>81.099999999999994</v>
      </c>
      <c r="N118" s="32">
        <v>53.6</v>
      </c>
      <c r="O118" s="32">
        <v>-337.92</v>
      </c>
      <c r="P118" s="32">
        <v>-301.95</v>
      </c>
      <c r="Q118" s="33">
        <v>24.5</v>
      </c>
      <c r="R118" s="33">
        <v>4.02E-2</v>
      </c>
      <c r="S118" s="33">
        <v>4.0200000000000001E-5</v>
      </c>
      <c r="T118" s="33">
        <v>-4.5200000000000001E-8</v>
      </c>
      <c r="U118" s="32">
        <v>6.9589999999999996</v>
      </c>
      <c r="V118" s="32">
        <v>9.6329999999999991</v>
      </c>
      <c r="W118" s="32">
        <v>483.88</v>
      </c>
      <c r="X118" s="32">
        <v>-0.96599999999999997</v>
      </c>
      <c r="Y118" s="27">
        <v>44.009500000000003</v>
      </c>
      <c r="Z118" s="27">
        <v>3</v>
      </c>
    </row>
    <row r="119" spans="8:26" x14ac:dyDescent="0.25">
      <c r="H119" s="27">
        <f t="shared" si="4"/>
        <v>0</v>
      </c>
      <c r="I119" s="31" t="s">
        <v>61</v>
      </c>
      <c r="J119" s="32" t="s">
        <v>49</v>
      </c>
      <c r="K119" s="32">
        <v>1.01E-2</v>
      </c>
      <c r="L119" s="32">
        <v>36</v>
      </c>
      <c r="M119" s="32">
        <v>-10.5</v>
      </c>
      <c r="N119" s="32">
        <v>2.08</v>
      </c>
      <c r="O119" s="32">
        <v>-247.61</v>
      </c>
      <c r="P119" s="32">
        <v>-250.83</v>
      </c>
      <c r="Q119" s="32">
        <v>6.82</v>
      </c>
      <c r="R119" s="33">
        <v>1.9599999999999999E-2</v>
      </c>
      <c r="S119" s="33">
        <v>1.27E-5</v>
      </c>
      <c r="T119" s="33">
        <v>-1.7800000000000001E-8</v>
      </c>
      <c r="U119" s="32">
        <v>3.6240000000000001</v>
      </c>
      <c r="V119" s="32">
        <v>5.9089999999999998</v>
      </c>
      <c r="W119" s="32">
        <v>675.24</v>
      </c>
      <c r="X119" s="32">
        <v>-1.34</v>
      </c>
      <c r="Y119" s="27">
        <v>15.9994</v>
      </c>
      <c r="Z119" s="27">
        <v>1</v>
      </c>
    </row>
    <row r="120" spans="8:26" x14ac:dyDescent="0.25">
      <c r="H120" s="27"/>
      <c r="I120" s="30" t="s">
        <v>50</v>
      </c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spans="8:26" x14ac:dyDescent="0.25">
      <c r="H121" s="27">
        <f>G19</f>
        <v>2</v>
      </c>
      <c r="I121" s="31" t="s">
        <v>64</v>
      </c>
      <c r="J121" s="32">
        <v>2.4299999999999999E-2</v>
      </c>
      <c r="K121" s="32">
        <v>1.09E-2</v>
      </c>
      <c r="L121" s="32">
        <v>38</v>
      </c>
      <c r="M121" s="32">
        <v>73.23</v>
      </c>
      <c r="N121" s="32">
        <v>66.89</v>
      </c>
      <c r="O121" s="32">
        <v>-22.02</v>
      </c>
      <c r="P121" s="32">
        <v>14.07</v>
      </c>
      <c r="Q121" s="33">
        <v>26.9</v>
      </c>
      <c r="R121" s="33">
        <v>-4.1200000000000001E-2</v>
      </c>
      <c r="S121" s="33">
        <v>1.64E-4</v>
      </c>
      <c r="T121" s="33">
        <v>-9.76E-8</v>
      </c>
      <c r="U121" s="32">
        <v>3.5150000000000001</v>
      </c>
      <c r="V121" s="32">
        <v>10.788</v>
      </c>
      <c r="W121" s="32"/>
      <c r="X121" s="32"/>
      <c r="Y121" s="27">
        <v>16.022580000000001</v>
      </c>
      <c r="Z121" s="27">
        <v>3</v>
      </c>
    </row>
    <row r="122" spans="8:26" x14ac:dyDescent="0.25">
      <c r="H122" s="27">
        <f t="shared" ref="H122:H129" si="5">G20</f>
        <v>0</v>
      </c>
      <c r="I122" s="71" t="s">
        <v>51</v>
      </c>
      <c r="J122" s="32">
        <v>2.9499999999999998E-2</v>
      </c>
      <c r="K122" s="32">
        <v>7.7000000000000002E-3</v>
      </c>
      <c r="L122" s="32">
        <v>35</v>
      </c>
      <c r="M122" s="32">
        <v>50.17</v>
      </c>
      <c r="N122" s="32">
        <v>52.66</v>
      </c>
      <c r="O122" s="32">
        <v>53.47</v>
      </c>
      <c r="P122" s="32">
        <v>89.39</v>
      </c>
      <c r="Q122" s="32">
        <v>-1.21</v>
      </c>
      <c r="R122" s="33">
        <v>7.6200000000000004E-2</v>
      </c>
      <c r="S122" s="33">
        <v>-4.8600000000000002E-5</v>
      </c>
      <c r="T122" s="33">
        <v>1.05E-8</v>
      </c>
      <c r="U122" s="32">
        <v>5.0990000000000002</v>
      </c>
      <c r="V122" s="32">
        <v>6.4359999999999999</v>
      </c>
      <c r="W122" s="32"/>
      <c r="X122" s="32"/>
      <c r="Y122" s="27">
        <v>15.01464</v>
      </c>
      <c r="Z122" s="27">
        <v>2</v>
      </c>
    </row>
    <row r="123" spans="8:26" x14ac:dyDescent="0.25">
      <c r="H123" s="27">
        <f t="shared" si="5"/>
        <v>0</v>
      </c>
      <c r="I123" s="71" t="s">
        <v>52</v>
      </c>
      <c r="J123" s="32">
        <v>1.2999999999999999E-2</v>
      </c>
      <c r="K123" s="32">
        <v>1.14E-2</v>
      </c>
      <c r="L123" s="32">
        <v>29</v>
      </c>
      <c r="M123" s="32">
        <v>52.82</v>
      </c>
      <c r="N123" s="32">
        <v>101.51</v>
      </c>
      <c r="O123" s="32">
        <v>31.65</v>
      </c>
      <c r="P123" s="32">
        <v>75.61</v>
      </c>
      <c r="Q123" s="33">
        <v>11.8</v>
      </c>
      <c r="R123" s="33">
        <v>-2.3E-2</v>
      </c>
      <c r="S123" s="33">
        <v>1.07E-4</v>
      </c>
      <c r="T123" s="33">
        <v>-6.2800000000000006E-8</v>
      </c>
      <c r="U123" s="32">
        <v>7.49</v>
      </c>
      <c r="V123" s="32">
        <v>6.93</v>
      </c>
      <c r="W123" s="32"/>
      <c r="X123" s="32"/>
      <c r="Y123" s="27">
        <v>15.01464</v>
      </c>
      <c r="Z123" s="27">
        <v>2</v>
      </c>
    </row>
    <row r="124" spans="8:26" x14ac:dyDescent="0.25">
      <c r="H124" s="27">
        <f t="shared" si="5"/>
        <v>0</v>
      </c>
      <c r="I124" s="71" t="s">
        <v>53</v>
      </c>
      <c r="J124" s="32">
        <v>1.6899999999999998E-2</v>
      </c>
      <c r="K124" s="32">
        <v>7.4000000000000003E-3</v>
      </c>
      <c r="L124" s="32">
        <v>9</v>
      </c>
      <c r="M124" s="32">
        <v>11.74</v>
      </c>
      <c r="N124" s="32">
        <v>48.84</v>
      </c>
      <c r="O124" s="32">
        <v>123.34</v>
      </c>
      <c r="P124" s="32">
        <v>163.16</v>
      </c>
      <c r="Q124" s="33">
        <v>-31.1</v>
      </c>
      <c r="R124" s="33">
        <v>0.22700000000000001</v>
      </c>
      <c r="S124" s="33">
        <v>-3.2000000000000003E-4</v>
      </c>
      <c r="T124" s="33">
        <v>1.4600000000000001E-7</v>
      </c>
      <c r="U124" s="32">
        <v>4.7030000000000003</v>
      </c>
      <c r="V124" s="32">
        <v>1.8959999999999999</v>
      </c>
      <c r="W124" s="32"/>
      <c r="X124" s="32"/>
      <c r="Y124" s="27">
        <v>14.0067</v>
      </c>
      <c r="Z124" s="27">
        <v>1</v>
      </c>
    </row>
    <row r="125" spans="8:26" x14ac:dyDescent="0.25">
      <c r="H125" s="27">
        <f t="shared" si="5"/>
        <v>0</v>
      </c>
      <c r="I125" s="71" t="s">
        <v>54</v>
      </c>
      <c r="J125" s="32">
        <v>2.5499999999999998E-2</v>
      </c>
      <c r="K125" s="32">
        <v>-9.9000000000000008E-3</v>
      </c>
      <c r="L125" s="32"/>
      <c r="M125" s="32">
        <v>74.599999999999994</v>
      </c>
      <c r="N125" s="32"/>
      <c r="O125" s="32">
        <v>23.61</v>
      </c>
      <c r="P125" s="32"/>
      <c r="Q125" s="32"/>
      <c r="R125" s="32"/>
      <c r="S125" s="32"/>
      <c r="T125" s="32"/>
      <c r="U125" s="32"/>
      <c r="V125" s="32">
        <v>3.335</v>
      </c>
      <c r="W125" s="32"/>
      <c r="X125" s="32"/>
      <c r="Y125" s="27">
        <v>14.0067</v>
      </c>
      <c r="Z125" s="27">
        <v>1</v>
      </c>
    </row>
    <row r="126" spans="8:26" x14ac:dyDescent="0.25">
      <c r="H126" s="27">
        <f t="shared" si="5"/>
        <v>0</v>
      </c>
      <c r="I126" s="71" t="s">
        <v>55</v>
      </c>
      <c r="J126" s="32">
        <v>8.5000000000000006E-3</v>
      </c>
      <c r="K126" s="32">
        <v>7.6E-3</v>
      </c>
      <c r="L126" s="32">
        <v>34</v>
      </c>
      <c r="M126" s="32">
        <v>57.55</v>
      </c>
      <c r="N126" s="32">
        <v>68.400000000000006</v>
      </c>
      <c r="O126" s="32">
        <v>55.52</v>
      </c>
      <c r="P126" s="32">
        <v>79.930000000000007</v>
      </c>
      <c r="Q126" s="32">
        <v>8.83</v>
      </c>
      <c r="R126" s="33">
        <v>-3.8400000000000001E-3</v>
      </c>
      <c r="S126" s="33">
        <v>4.35E-5</v>
      </c>
      <c r="T126" s="33">
        <v>-2.6000000000000001E-8</v>
      </c>
      <c r="U126" s="32">
        <v>3.649</v>
      </c>
      <c r="V126" s="32">
        <v>6.5279999999999996</v>
      </c>
      <c r="W126" s="32"/>
      <c r="X126" s="32"/>
      <c r="Y126" s="27">
        <v>14.0067</v>
      </c>
      <c r="Z126" s="27">
        <v>1</v>
      </c>
    </row>
    <row r="127" spans="8:26" x14ac:dyDescent="0.25">
      <c r="H127" s="27">
        <f t="shared" si="5"/>
        <v>0</v>
      </c>
      <c r="I127" s="31" t="s">
        <v>62</v>
      </c>
      <c r="J127" s="32"/>
      <c r="K127" s="32"/>
      <c r="L127" s="32"/>
      <c r="M127" s="32">
        <v>83.08</v>
      </c>
      <c r="N127" s="32">
        <v>68.91</v>
      </c>
      <c r="O127" s="32">
        <v>93.7</v>
      </c>
      <c r="P127" s="32">
        <v>119.66</v>
      </c>
      <c r="Q127" s="32">
        <v>5.69</v>
      </c>
      <c r="R127" s="33">
        <v>-4.1200000000000004E-3</v>
      </c>
      <c r="S127" s="33">
        <v>1.2799999999999999E-4</v>
      </c>
      <c r="T127" s="33">
        <v>-8.8800000000000001E-8</v>
      </c>
      <c r="U127" s="32" t="s">
        <v>28</v>
      </c>
      <c r="V127" s="32">
        <v>12.169</v>
      </c>
      <c r="W127" s="32"/>
      <c r="X127" s="32"/>
      <c r="Y127" s="27">
        <v>15.01464</v>
      </c>
      <c r="Z127" s="27">
        <v>2</v>
      </c>
    </row>
    <row r="128" spans="8:26" x14ac:dyDescent="0.25">
      <c r="H128" s="27">
        <f t="shared" si="5"/>
        <v>0</v>
      </c>
      <c r="I128" s="71" t="s">
        <v>56</v>
      </c>
      <c r="J128" s="32">
        <v>4.9599999999999998E-2</v>
      </c>
      <c r="K128" s="32">
        <v>-1.01E-2</v>
      </c>
      <c r="L128" s="32">
        <v>91</v>
      </c>
      <c r="M128" s="32">
        <v>125.66</v>
      </c>
      <c r="N128" s="32">
        <v>59.89</v>
      </c>
      <c r="O128" s="32">
        <v>88.43</v>
      </c>
      <c r="P128" s="32">
        <v>89.22</v>
      </c>
      <c r="Q128" s="33">
        <v>36.5</v>
      </c>
      <c r="R128" s="33">
        <v>-7.3300000000000004E-2</v>
      </c>
      <c r="S128" s="33">
        <v>1.84E-4</v>
      </c>
      <c r="T128" s="33">
        <v>-1.03E-7</v>
      </c>
      <c r="U128" s="32">
        <v>2.4140000000000001</v>
      </c>
      <c r="V128" s="32">
        <v>12.851000000000001</v>
      </c>
      <c r="W128" s="32"/>
      <c r="X128" s="32"/>
      <c r="Y128" s="27">
        <v>26.017400000000002</v>
      </c>
      <c r="Z128" s="27">
        <v>2</v>
      </c>
    </row>
    <row r="129" spans="8:26" x14ac:dyDescent="0.25">
      <c r="H129" s="27">
        <f t="shared" si="5"/>
        <v>0</v>
      </c>
      <c r="I129" s="31" t="s">
        <v>65</v>
      </c>
      <c r="J129" s="32">
        <v>4.3700000000000003E-2</v>
      </c>
      <c r="K129" s="32">
        <v>6.4000000000000003E-3</v>
      </c>
      <c r="L129" s="32">
        <v>91</v>
      </c>
      <c r="M129" s="32">
        <v>152.54</v>
      </c>
      <c r="N129" s="32">
        <v>127.24</v>
      </c>
      <c r="O129" s="32">
        <v>-66.569999999999993</v>
      </c>
      <c r="P129" s="32">
        <v>-16.829999999999998</v>
      </c>
      <c r="Q129" s="33">
        <v>25.9</v>
      </c>
      <c r="R129" s="33">
        <v>-3.7399999999999998E-3</v>
      </c>
      <c r="S129" s="33">
        <v>1.2899999999999999E-4</v>
      </c>
      <c r="T129" s="33">
        <v>-8.8800000000000001E-8</v>
      </c>
      <c r="U129" s="32">
        <v>9.6790000000000003</v>
      </c>
      <c r="V129" s="32">
        <v>16.738</v>
      </c>
      <c r="W129" s="32"/>
      <c r="X129" s="32"/>
      <c r="Y129" s="27">
        <v>46.005499999999998</v>
      </c>
      <c r="Z129" s="27">
        <v>3</v>
      </c>
    </row>
    <row r="130" spans="8:26" x14ac:dyDescent="0.25">
      <c r="H130" s="27"/>
      <c r="I130" s="30" t="s">
        <v>57</v>
      </c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spans="8:26" x14ac:dyDescent="0.25">
      <c r="H131" s="27">
        <f>G29</f>
        <v>0</v>
      </c>
      <c r="I131" s="71" t="s">
        <v>58</v>
      </c>
      <c r="J131" s="32">
        <v>3.0999999999999999E-3</v>
      </c>
      <c r="K131" s="32">
        <v>8.3999999999999995E-3</v>
      </c>
      <c r="L131" s="32">
        <v>63</v>
      </c>
      <c r="M131" s="32">
        <v>63.56</v>
      </c>
      <c r="N131" s="32">
        <v>20.09</v>
      </c>
      <c r="O131" s="32">
        <v>-17.329999999999998</v>
      </c>
      <c r="P131" s="32">
        <v>-22.99</v>
      </c>
      <c r="Q131" s="33">
        <v>35.299999999999997</v>
      </c>
      <c r="R131" s="33">
        <v>-7.5800000000000006E-2</v>
      </c>
      <c r="S131" s="33">
        <v>1.85E-4</v>
      </c>
      <c r="T131" s="33">
        <v>-1.03E-7</v>
      </c>
      <c r="U131" s="32">
        <v>2.36</v>
      </c>
      <c r="V131" s="32">
        <v>6.8840000000000003</v>
      </c>
      <c r="W131" s="32"/>
      <c r="X131" s="32"/>
      <c r="Y131" s="27">
        <v>33.072939999999996</v>
      </c>
      <c r="Z131" s="27">
        <v>2</v>
      </c>
    </row>
    <row r="132" spans="8:26" x14ac:dyDescent="0.25">
      <c r="H132" s="27">
        <f t="shared" ref="H132:H133" si="6">G30</f>
        <v>0</v>
      </c>
      <c r="I132" s="71" t="s">
        <v>59</v>
      </c>
      <c r="J132" s="32">
        <v>1.1900000000000001E-2</v>
      </c>
      <c r="K132" s="32">
        <v>4.8999999999999998E-3</v>
      </c>
      <c r="L132" s="32">
        <v>54</v>
      </c>
      <c r="M132" s="32">
        <v>68.78</v>
      </c>
      <c r="N132" s="32">
        <v>34.4</v>
      </c>
      <c r="O132" s="32">
        <v>41.87</v>
      </c>
      <c r="P132" s="32">
        <v>33.119999999999997</v>
      </c>
      <c r="Q132" s="33">
        <v>19.600000000000001</v>
      </c>
      <c r="R132" s="33">
        <v>-5.6100000000000004E-3</v>
      </c>
      <c r="S132" s="33">
        <v>4.0200000000000001E-5</v>
      </c>
      <c r="T132" s="33">
        <v>-2.7599999999999999E-8</v>
      </c>
      <c r="U132" s="32">
        <v>4.13</v>
      </c>
      <c r="V132" s="32">
        <v>6.8170000000000002</v>
      </c>
      <c r="W132" s="32"/>
      <c r="X132" s="32"/>
      <c r="Y132" s="27">
        <v>32.064999999999998</v>
      </c>
      <c r="Z132" s="27">
        <v>1</v>
      </c>
    </row>
    <row r="133" spans="8:26" x14ac:dyDescent="0.25">
      <c r="H133" s="27">
        <f t="shared" si="6"/>
        <v>0</v>
      </c>
      <c r="I133" s="71" t="s">
        <v>60</v>
      </c>
      <c r="J133" s="32">
        <v>1.9E-3</v>
      </c>
      <c r="K133" s="32">
        <v>5.1000000000000004E-3</v>
      </c>
      <c r="L133" s="32">
        <v>38</v>
      </c>
      <c r="M133" s="32">
        <v>52.1</v>
      </c>
      <c r="N133" s="32">
        <v>79.930000000000007</v>
      </c>
      <c r="O133" s="32">
        <v>39.1</v>
      </c>
      <c r="P133" s="32">
        <v>27.76</v>
      </c>
      <c r="Q133" s="33">
        <v>16.7</v>
      </c>
      <c r="R133" s="33">
        <v>4.81E-3</v>
      </c>
      <c r="S133" s="33">
        <v>2.7699999999999999E-5</v>
      </c>
      <c r="T133" s="33">
        <v>-2.11E-8</v>
      </c>
      <c r="U133" s="32">
        <v>1.5569999999999999</v>
      </c>
      <c r="V133" s="32">
        <v>5.984</v>
      </c>
      <c r="W133" s="32"/>
      <c r="X133" s="32"/>
      <c r="Y133" s="27">
        <v>32.064999999999998</v>
      </c>
      <c r="Z133" s="27">
        <v>1</v>
      </c>
    </row>
    <row r="136" spans="8:26" x14ac:dyDescent="0.25">
      <c r="I136" s="10" t="s">
        <v>93</v>
      </c>
    </row>
    <row r="137" spans="8:26" x14ac:dyDescent="0.25">
      <c r="I137" t="s">
        <v>68</v>
      </c>
      <c r="J137">
        <f>G37*0.98692327</f>
        <v>53.046245194829751</v>
      </c>
      <c r="K137" t="s">
        <v>84</v>
      </c>
    </row>
    <row r="138" spans="8:26" x14ac:dyDescent="0.25">
      <c r="I138" t="s">
        <v>85</v>
      </c>
      <c r="J138">
        <f>G35/G36</f>
        <v>0.65253815999999987</v>
      </c>
    </row>
    <row r="139" spans="8:26" x14ac:dyDescent="0.25">
      <c r="I139" s="15" t="s">
        <v>86</v>
      </c>
      <c r="J139" s="16">
        <f>(-1*LN(J137)-5.92714+6.09648/J138 + 1.28862*LN(J138)-0.169347*(J138^6) )/(15.2518 - 15.6875/J138-13.4721*LN(J138)+0.43577*(J138^6) )</f>
        <v>0.37239026550480081</v>
      </c>
    </row>
    <row r="141" spans="8:26" x14ac:dyDescent="0.25">
      <c r="I141" s="6" t="s">
        <v>94</v>
      </c>
    </row>
    <row r="142" spans="8:26" x14ac:dyDescent="0.25">
      <c r="I142" t="s">
        <v>95</v>
      </c>
      <c r="J142" s="14">
        <f>Q83-37.93</f>
        <v>-9.1900000000000048</v>
      </c>
    </row>
    <row r="143" spans="8:26" x14ac:dyDescent="0.25">
      <c r="I143" t="s">
        <v>96</v>
      </c>
      <c r="J143" s="14">
        <f>R83+0.21</f>
        <v>0.55919999999999992</v>
      </c>
    </row>
    <row r="144" spans="8:26" x14ac:dyDescent="0.25">
      <c r="I144" t="s">
        <v>66</v>
      </c>
      <c r="J144" s="4">
        <f>S83-0.000391</f>
        <v>-3.5356000000000005E-4</v>
      </c>
    </row>
    <row r="145" spans="9:10" x14ac:dyDescent="0.25">
      <c r="I145" t="s">
        <v>97</v>
      </c>
      <c r="J145">
        <f>T83+0.000000206</f>
        <v>8.28E-8</v>
      </c>
    </row>
    <row r="147" spans="9:10" x14ac:dyDescent="0.25">
      <c r="I147" s="6" t="s">
        <v>103</v>
      </c>
    </row>
    <row r="148" spans="9:10" x14ac:dyDescent="0.25">
      <c r="I148" t="s">
        <v>95</v>
      </c>
      <c r="J148">
        <f>W83-597.82</f>
        <v>-50.700000000000159</v>
      </c>
    </row>
    <row r="149" spans="9:10" x14ac:dyDescent="0.25">
      <c r="I149" t="s">
        <v>96</v>
      </c>
      <c r="J149">
        <f>X83-11.202</f>
        <v>-12.186</v>
      </c>
    </row>
  </sheetData>
  <sheetProtection password="9B79" sheet="1" objects="1" scenarios="1"/>
  <mergeCells count="19">
    <mergeCell ref="O85:P85"/>
    <mergeCell ref="Q85:T86"/>
    <mergeCell ref="U85:V85"/>
    <mergeCell ref="W85:X86"/>
    <mergeCell ref="M86:N86"/>
    <mergeCell ref="O86:P86"/>
    <mergeCell ref="U86:V86"/>
    <mergeCell ref="M85:N85"/>
    <mergeCell ref="B24:C24"/>
    <mergeCell ref="E28:G28"/>
    <mergeCell ref="B33:G33"/>
    <mergeCell ref="I85:I86"/>
    <mergeCell ref="J85:L86"/>
    <mergeCell ref="B2:G2"/>
    <mergeCell ref="B5:C5"/>
    <mergeCell ref="B7:C7"/>
    <mergeCell ref="E7:G7"/>
    <mergeCell ref="B18:C18"/>
    <mergeCell ref="E18:G1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49"/>
  <sheetViews>
    <sheetView showGridLines="0" workbookViewId="0">
      <selection activeCell="I24" sqref="I24"/>
    </sheetView>
  </sheetViews>
  <sheetFormatPr defaultRowHeight="15" x14ac:dyDescent="0.25"/>
  <cols>
    <col min="1" max="1" width="4.7109375" style="7" customWidth="1"/>
    <col min="2" max="2" width="9.140625" customWidth="1"/>
    <col min="4" max="4" width="3.85546875" customWidth="1"/>
    <col min="5" max="5" width="10.42578125" customWidth="1"/>
    <col min="6" max="6" width="10" customWidth="1"/>
    <col min="7" max="7" width="18.140625" bestFit="1" customWidth="1"/>
    <col min="9" max="9" width="20.7109375" bestFit="1" customWidth="1"/>
    <col min="10" max="10" width="11" bestFit="1" customWidth="1"/>
    <col min="25" max="25" width="10.5703125" bestFit="1" customWidth="1"/>
  </cols>
  <sheetData>
    <row r="1" spans="2:18" ht="9" customHeight="1" thickBot="1" x14ac:dyDescent="0.3"/>
    <row r="2" spans="2:18" ht="18.75" x14ac:dyDescent="0.3">
      <c r="B2" s="195" t="s">
        <v>69</v>
      </c>
      <c r="C2" s="195"/>
      <c r="D2" s="195"/>
      <c r="E2" s="195"/>
      <c r="F2" s="195"/>
      <c r="G2" s="195"/>
      <c r="I2" s="43"/>
      <c r="J2" s="44"/>
      <c r="K2" s="44"/>
      <c r="L2" s="44"/>
      <c r="M2" s="44"/>
      <c r="N2" s="44"/>
      <c r="O2" s="44"/>
      <c r="P2" s="44"/>
      <c r="Q2" s="44"/>
      <c r="R2" s="45"/>
    </row>
    <row r="3" spans="2:18" ht="7.5" customHeight="1" x14ac:dyDescent="0.25">
      <c r="I3" s="46"/>
      <c r="J3" s="24"/>
      <c r="K3" s="24"/>
      <c r="L3" s="24"/>
      <c r="M3" s="24"/>
      <c r="N3" s="24"/>
      <c r="O3" s="24"/>
      <c r="P3" s="24"/>
      <c r="Q3" s="24"/>
      <c r="R3" s="47"/>
    </row>
    <row r="4" spans="2:18" ht="15.75" thickBot="1" x14ac:dyDescent="0.3">
      <c r="B4" s="17"/>
      <c r="F4" s="13" t="s">
        <v>77</v>
      </c>
      <c r="G4" s="20" t="s">
        <v>167</v>
      </c>
      <c r="I4" s="46"/>
      <c r="J4" s="24"/>
      <c r="K4" s="24"/>
      <c r="L4" s="24"/>
      <c r="M4" s="24"/>
      <c r="N4" s="24"/>
      <c r="O4" s="24"/>
      <c r="P4" s="24"/>
      <c r="Q4" s="24"/>
      <c r="R4" s="47"/>
    </row>
    <row r="5" spans="2:18" ht="15.75" thickBot="1" x14ac:dyDescent="0.3">
      <c r="B5" s="196"/>
      <c r="C5" s="197"/>
      <c r="D5" s="42"/>
      <c r="F5" s="13" t="s">
        <v>78</v>
      </c>
      <c r="G5" s="21" t="s">
        <v>112</v>
      </c>
      <c r="I5" s="46"/>
      <c r="J5" s="24"/>
      <c r="K5" s="24"/>
      <c r="L5" s="24"/>
      <c r="M5" s="24"/>
      <c r="N5" s="24"/>
      <c r="O5" s="24"/>
      <c r="P5" s="24"/>
      <c r="Q5" s="24"/>
      <c r="R5" s="47"/>
    </row>
    <row r="6" spans="2:18" ht="7.5" customHeight="1" x14ac:dyDescent="0.25">
      <c r="I6" s="46"/>
      <c r="J6" s="24"/>
      <c r="K6" s="24"/>
      <c r="L6" s="24"/>
      <c r="M6" s="24"/>
      <c r="N6" s="24"/>
      <c r="O6" s="24"/>
      <c r="P6" s="24"/>
      <c r="Q6" s="24"/>
      <c r="R6" s="47"/>
    </row>
    <row r="7" spans="2:18" x14ac:dyDescent="0.25">
      <c r="B7" s="198" t="s">
        <v>22</v>
      </c>
      <c r="C7" s="198"/>
      <c r="E7" s="198" t="s">
        <v>39</v>
      </c>
      <c r="F7" s="198"/>
      <c r="G7" s="198"/>
      <c r="I7" s="46"/>
      <c r="J7" s="24"/>
      <c r="K7" s="24"/>
      <c r="L7" s="24"/>
      <c r="M7" s="24"/>
      <c r="N7" s="24"/>
      <c r="O7" s="24"/>
      <c r="P7" s="24"/>
      <c r="Q7" s="24"/>
      <c r="R7" s="47"/>
    </row>
    <row r="8" spans="2:18" ht="18" x14ac:dyDescent="0.25">
      <c r="B8" s="1" t="s">
        <v>63</v>
      </c>
      <c r="C8" s="11"/>
      <c r="E8" s="8" t="s">
        <v>40</v>
      </c>
      <c r="G8" s="11"/>
      <c r="I8" s="46"/>
      <c r="J8" s="24"/>
      <c r="K8" s="24"/>
      <c r="L8" s="24"/>
      <c r="M8" s="24"/>
      <c r="N8" s="24"/>
      <c r="O8" s="24"/>
      <c r="P8" s="24"/>
      <c r="Q8" s="24"/>
      <c r="R8" s="47"/>
    </row>
    <row r="9" spans="2:18" ht="18" x14ac:dyDescent="0.25">
      <c r="B9" s="5" t="s">
        <v>23</v>
      </c>
      <c r="C9" s="11"/>
      <c r="E9" s="8" t="s">
        <v>41</v>
      </c>
      <c r="G9" s="11">
        <v>1</v>
      </c>
      <c r="I9" s="46"/>
      <c r="J9" s="24"/>
      <c r="K9" s="24"/>
      <c r="L9" s="24"/>
      <c r="M9" s="24"/>
      <c r="N9" s="24"/>
      <c r="O9" s="24"/>
      <c r="P9" s="24"/>
      <c r="Q9" s="24"/>
      <c r="R9" s="47"/>
    </row>
    <row r="10" spans="2:18" ht="15.75" customHeight="1" x14ac:dyDescent="0.25">
      <c r="B10" s="5" t="s">
        <v>24</v>
      </c>
      <c r="C10" s="11"/>
      <c r="E10" s="8" t="s">
        <v>42</v>
      </c>
      <c r="G10" s="11"/>
      <c r="I10" s="46"/>
      <c r="J10" s="24"/>
      <c r="K10" s="24"/>
      <c r="L10" s="24"/>
      <c r="M10" s="24"/>
      <c r="N10" s="24"/>
      <c r="O10" s="24"/>
      <c r="P10" s="24"/>
      <c r="Q10" s="24"/>
      <c r="R10" s="47"/>
    </row>
    <row r="11" spans="2:18" x14ac:dyDescent="0.25">
      <c r="B11" s="5" t="s">
        <v>25</v>
      </c>
      <c r="C11" s="11"/>
      <c r="E11" s="8" t="s">
        <v>43</v>
      </c>
      <c r="G11" s="11"/>
      <c r="I11" s="46"/>
      <c r="J11" s="24"/>
      <c r="K11" s="24"/>
      <c r="L11" s="24"/>
      <c r="M11" s="24"/>
      <c r="N11" s="24"/>
      <c r="O11" s="24"/>
      <c r="P11" s="24"/>
      <c r="Q11" s="24"/>
      <c r="R11" s="47"/>
    </row>
    <row r="12" spans="2:18" ht="18" x14ac:dyDescent="0.25">
      <c r="B12" s="1" t="s">
        <v>111</v>
      </c>
      <c r="C12" s="11"/>
      <c r="E12" s="8" t="s">
        <v>44</v>
      </c>
      <c r="G12" s="11"/>
      <c r="I12" s="46"/>
      <c r="J12" s="24"/>
      <c r="K12" s="24"/>
      <c r="L12" s="24"/>
      <c r="M12" s="24"/>
      <c r="N12" s="24"/>
      <c r="O12" s="24"/>
      <c r="P12" s="24"/>
      <c r="Q12" s="24"/>
      <c r="R12" s="47"/>
    </row>
    <row r="13" spans="2:18" x14ac:dyDescent="0.25">
      <c r="B13" s="5" t="s">
        <v>26</v>
      </c>
      <c r="C13" s="11"/>
      <c r="E13" s="8" t="s">
        <v>45</v>
      </c>
      <c r="G13" s="11"/>
      <c r="I13" s="46"/>
      <c r="J13" s="24"/>
      <c r="K13" s="24"/>
      <c r="L13" s="24"/>
      <c r="M13" s="24"/>
      <c r="N13" s="24"/>
      <c r="O13" s="24"/>
      <c r="P13" s="24"/>
      <c r="Q13" s="24"/>
      <c r="R13" s="47"/>
    </row>
    <row r="14" spans="2:18" x14ac:dyDescent="0.25">
      <c r="B14" s="5" t="s">
        <v>27</v>
      </c>
      <c r="C14" s="11">
        <v>2</v>
      </c>
      <c r="E14" s="8" t="s">
        <v>46</v>
      </c>
      <c r="G14" s="11"/>
      <c r="I14" s="46"/>
      <c r="J14" s="24"/>
      <c r="K14" s="24"/>
      <c r="L14" s="24"/>
      <c r="M14" s="24"/>
      <c r="N14" s="24"/>
      <c r="O14" s="24"/>
      <c r="P14" s="24"/>
      <c r="Q14" s="24"/>
      <c r="R14" s="47"/>
    </row>
    <row r="15" spans="2:18" x14ac:dyDescent="0.25">
      <c r="B15" s="5" t="s">
        <v>29</v>
      </c>
      <c r="C15" s="11"/>
      <c r="E15" s="8" t="s">
        <v>47</v>
      </c>
      <c r="G15" s="11"/>
      <c r="I15" s="46"/>
      <c r="J15" s="48"/>
      <c r="K15" s="48"/>
      <c r="L15" s="48"/>
      <c r="M15" s="48"/>
      <c r="N15" s="48"/>
      <c r="O15" s="48"/>
      <c r="P15" s="24"/>
      <c r="Q15" s="24"/>
      <c r="R15" s="47"/>
    </row>
    <row r="16" spans="2:18" x14ac:dyDescent="0.25">
      <c r="B16" s="5" t="s">
        <v>30</v>
      </c>
      <c r="C16" s="11"/>
      <c r="E16" s="8" t="s">
        <v>48</v>
      </c>
      <c r="G16" s="11"/>
      <c r="I16" s="46"/>
      <c r="J16" s="24"/>
      <c r="K16" s="24"/>
      <c r="L16" s="24"/>
      <c r="M16" s="24"/>
      <c r="N16" s="24"/>
      <c r="O16" s="24"/>
      <c r="P16" s="24"/>
      <c r="Q16" s="24"/>
      <c r="R16" s="47"/>
    </row>
    <row r="17" spans="2:18" x14ac:dyDescent="0.25">
      <c r="B17" s="5" t="s">
        <v>31</v>
      </c>
      <c r="C17" s="11"/>
      <c r="E17" s="9" t="s">
        <v>61</v>
      </c>
      <c r="G17" s="11"/>
      <c r="I17" s="46"/>
      <c r="J17" s="24"/>
      <c r="K17" s="24"/>
      <c r="L17" s="24"/>
      <c r="M17" s="24"/>
      <c r="N17" s="24"/>
      <c r="O17" s="24"/>
      <c r="P17" s="24"/>
      <c r="Q17" s="24"/>
      <c r="R17" s="47"/>
    </row>
    <row r="18" spans="2:18" ht="15.75" thickBot="1" x14ac:dyDescent="0.3">
      <c r="B18" s="198" t="s">
        <v>32</v>
      </c>
      <c r="C18" s="198"/>
      <c r="E18" s="198" t="s">
        <v>50</v>
      </c>
      <c r="F18" s="198"/>
      <c r="G18" s="198"/>
      <c r="I18" s="49"/>
      <c r="J18" s="50"/>
      <c r="K18" s="50"/>
      <c r="L18" s="50"/>
      <c r="M18" s="50"/>
      <c r="N18" s="50"/>
      <c r="O18" s="50"/>
      <c r="P18" s="50"/>
      <c r="Q18" s="50"/>
      <c r="R18" s="51"/>
    </row>
    <row r="19" spans="2:18" ht="18" x14ac:dyDescent="0.25">
      <c r="B19" s="5" t="s">
        <v>23</v>
      </c>
      <c r="C19" s="11"/>
      <c r="E19" s="9" t="s">
        <v>64</v>
      </c>
      <c r="G19" s="11"/>
    </row>
    <row r="20" spans="2:18" x14ac:dyDescent="0.25">
      <c r="B20" s="5" t="s">
        <v>24</v>
      </c>
      <c r="C20" s="11"/>
      <c r="E20" s="8" t="s">
        <v>51</v>
      </c>
      <c r="G20" s="11"/>
    </row>
    <row r="21" spans="2:18" x14ac:dyDescent="0.25">
      <c r="B21" s="5" t="s">
        <v>25</v>
      </c>
      <c r="C21" s="11"/>
      <c r="E21" s="8" t="s">
        <v>52</v>
      </c>
      <c r="G21" s="11"/>
    </row>
    <row r="22" spans="2:18" x14ac:dyDescent="0.25">
      <c r="B22" s="5" t="s">
        <v>26</v>
      </c>
      <c r="C22" s="11">
        <v>4</v>
      </c>
      <c r="E22" s="8" t="s">
        <v>53</v>
      </c>
      <c r="G22" s="11"/>
    </row>
    <row r="23" spans="2:18" x14ac:dyDescent="0.25">
      <c r="B23" s="5" t="s">
        <v>27</v>
      </c>
      <c r="C23" s="11"/>
      <c r="E23" s="8" t="s">
        <v>54</v>
      </c>
      <c r="G23" s="11"/>
    </row>
    <row r="24" spans="2:18" x14ac:dyDescent="0.25">
      <c r="B24" s="199" t="s">
        <v>34</v>
      </c>
      <c r="C24" s="199"/>
      <c r="E24" s="8" t="s">
        <v>55</v>
      </c>
      <c r="G24" s="11"/>
    </row>
    <row r="25" spans="2:18" x14ac:dyDescent="0.25">
      <c r="B25" s="8" t="s">
        <v>35</v>
      </c>
      <c r="C25" s="11"/>
      <c r="E25" s="9" t="s">
        <v>62</v>
      </c>
      <c r="G25" s="11"/>
    </row>
    <row r="26" spans="2:18" x14ac:dyDescent="0.25">
      <c r="B26" s="8" t="s">
        <v>36</v>
      </c>
      <c r="C26" s="11"/>
      <c r="E26" s="8" t="s">
        <v>56</v>
      </c>
      <c r="G26" s="11"/>
    </row>
    <row r="27" spans="2:18" x14ac:dyDescent="0.25">
      <c r="B27" s="8" t="s">
        <v>37</v>
      </c>
      <c r="C27" s="11"/>
      <c r="E27" s="9" t="s">
        <v>65</v>
      </c>
      <c r="G27" s="11">
        <v>1</v>
      </c>
    </row>
    <row r="28" spans="2:18" x14ac:dyDescent="0.25">
      <c r="B28" s="8" t="s">
        <v>38</v>
      </c>
      <c r="C28" s="11"/>
      <c r="E28" s="198" t="s">
        <v>57</v>
      </c>
      <c r="F28" s="198"/>
      <c r="G28" s="198"/>
    </row>
    <row r="29" spans="2:18" x14ac:dyDescent="0.25">
      <c r="E29" s="8" t="s">
        <v>58</v>
      </c>
      <c r="G29" s="11"/>
    </row>
    <row r="30" spans="2:18" x14ac:dyDescent="0.25">
      <c r="E30" s="8" t="s">
        <v>59</v>
      </c>
      <c r="G30" s="11"/>
    </row>
    <row r="31" spans="2:18" x14ac:dyDescent="0.25">
      <c r="E31" s="8" t="s">
        <v>60</v>
      </c>
      <c r="G31" s="11"/>
    </row>
    <row r="32" spans="2:18" ht="8.25" customHeight="1" x14ac:dyDescent="0.25"/>
    <row r="33" spans="2:7" x14ac:dyDescent="0.25">
      <c r="B33" s="200" t="s">
        <v>109</v>
      </c>
      <c r="C33" s="200"/>
      <c r="D33" s="200"/>
      <c r="E33" s="200"/>
      <c r="F33" s="200"/>
      <c r="G33" s="200"/>
    </row>
    <row r="34" spans="2:7" x14ac:dyDescent="0.25">
      <c r="B34" s="37" t="s">
        <v>74</v>
      </c>
      <c r="F34" s="12" t="s">
        <v>75</v>
      </c>
      <c r="G34">
        <f>Y83</f>
        <v>139.10879999999997</v>
      </c>
    </row>
    <row r="35" spans="2:7" x14ac:dyDescent="0.25">
      <c r="B35" s="37" t="s">
        <v>90</v>
      </c>
      <c r="F35" s="12" t="s">
        <v>101</v>
      </c>
      <c r="G35" s="2">
        <f>198+M83</f>
        <v>582.07999999999993</v>
      </c>
    </row>
    <row r="36" spans="2:7" x14ac:dyDescent="0.25">
      <c r="B36" s="37" t="s">
        <v>76</v>
      </c>
      <c r="F36" s="12" t="s">
        <v>101</v>
      </c>
      <c r="G36" s="2">
        <f>G35/(0.584+0.965*J83-J83^2)</f>
        <v>877.13866782063349</v>
      </c>
    </row>
    <row r="37" spans="2:7" x14ac:dyDescent="0.25">
      <c r="B37" s="37" t="s">
        <v>81</v>
      </c>
      <c r="F37" s="12" t="s">
        <v>79</v>
      </c>
      <c r="G37" s="2">
        <f>(0.113+0.0032*Z83-K83)^-2</f>
        <v>59.537418076512736</v>
      </c>
    </row>
    <row r="38" spans="2:7" x14ac:dyDescent="0.25">
      <c r="B38" s="37" t="s">
        <v>80</v>
      </c>
      <c r="F38" s="12" t="s">
        <v>82</v>
      </c>
      <c r="G38" s="2">
        <f>17.5+L83</f>
        <v>323.5</v>
      </c>
    </row>
    <row r="39" spans="2:7" x14ac:dyDescent="0.25">
      <c r="B39" s="37" t="s">
        <v>83</v>
      </c>
      <c r="G39" s="14">
        <f>G37*G38/(83.1447*G36)</f>
        <v>0.26409577559444691</v>
      </c>
    </row>
    <row r="40" spans="2:7" x14ac:dyDescent="0.25">
      <c r="B40" s="37" t="s">
        <v>110</v>
      </c>
      <c r="G40" s="14">
        <f>J139</f>
        <v>0.48002250932157081</v>
      </c>
    </row>
    <row r="41" spans="2:7" x14ac:dyDescent="0.25">
      <c r="B41" s="37" t="s">
        <v>87</v>
      </c>
      <c r="F41" s="12" t="s">
        <v>101</v>
      </c>
      <c r="G41">
        <f>122.5+N83</f>
        <v>387.37</v>
      </c>
    </row>
    <row r="42" spans="2:7" x14ac:dyDescent="0.25">
      <c r="B42" s="37" t="s">
        <v>88</v>
      </c>
      <c r="F42" s="12" t="s">
        <v>67</v>
      </c>
      <c r="G42">
        <f>68.29+O83</f>
        <v>-43.590000000000018</v>
      </c>
    </row>
    <row r="43" spans="2:7" x14ac:dyDescent="0.25">
      <c r="B43" s="37" t="s">
        <v>89</v>
      </c>
      <c r="F43" s="12" t="s">
        <v>67</v>
      </c>
      <c r="G43">
        <f>53.88+P83</f>
        <v>69.600000000000023</v>
      </c>
    </row>
    <row r="44" spans="2:7" x14ac:dyDescent="0.25">
      <c r="B44" s="37" t="s">
        <v>91</v>
      </c>
      <c r="F44" s="12" t="s">
        <v>67</v>
      </c>
      <c r="G44" s="2">
        <f>1.092*8.3144598*G35*(LN(G37)-1.013)/(0.93 - G35/G36)/1000</f>
        <v>60.978006432168634</v>
      </c>
    </row>
    <row r="45" spans="2:7" x14ac:dyDescent="0.25">
      <c r="B45" s="38" t="s">
        <v>92</v>
      </c>
      <c r="C45" s="24"/>
      <c r="D45" s="24"/>
      <c r="E45" s="24"/>
      <c r="F45" s="25" t="s">
        <v>67</v>
      </c>
      <c r="G45" s="26">
        <f>-0.88+U83</f>
        <v>23.819000000000003</v>
      </c>
    </row>
    <row r="46" spans="2:7" ht="6.75" customHeight="1" x14ac:dyDescent="0.25">
      <c r="B46" s="24"/>
      <c r="C46" s="24"/>
      <c r="D46" s="24"/>
      <c r="E46" s="24"/>
      <c r="F46" s="25"/>
      <c r="G46" s="26"/>
    </row>
    <row r="47" spans="2:7" x14ac:dyDescent="0.25">
      <c r="B47" s="23" t="s">
        <v>98</v>
      </c>
      <c r="C47" s="23"/>
      <c r="D47" s="23"/>
      <c r="E47" s="23"/>
      <c r="F47" s="22" t="s">
        <v>101</v>
      </c>
      <c r="G47" s="39">
        <v>300</v>
      </c>
    </row>
    <row r="48" spans="2:7" x14ac:dyDescent="0.25">
      <c r="B48" s="37" t="s">
        <v>108</v>
      </c>
      <c r="F48" s="12"/>
      <c r="G48" s="19">
        <f>G47/G36</f>
        <v>0.34202117750137445</v>
      </c>
    </row>
    <row r="49" spans="2:7" x14ac:dyDescent="0.25">
      <c r="B49" s="37" t="s">
        <v>99</v>
      </c>
      <c r="F49" s="12" t="s">
        <v>100</v>
      </c>
      <c r="G49" s="2">
        <f>J142+J143*G47+J144*G47^2+J145*G47^3</f>
        <v>130.23259999999996</v>
      </c>
    </row>
    <row r="50" spans="2:7" x14ac:dyDescent="0.25">
      <c r="B50" s="37" t="s">
        <v>102</v>
      </c>
      <c r="F50" s="12" t="s">
        <v>67</v>
      </c>
      <c r="G50" s="2">
        <f>G44*( ((G36-G47)/(G36-G35))^0.38)</f>
        <v>78.6854628900074</v>
      </c>
    </row>
    <row r="51" spans="2:7" x14ac:dyDescent="0.25">
      <c r="B51" s="37" t="s">
        <v>103</v>
      </c>
      <c r="F51" s="12" t="s">
        <v>104</v>
      </c>
      <c r="G51" s="18">
        <f>G34*EXP(J148/G47+J149)</f>
        <v>7.758934150972817E-3</v>
      </c>
    </row>
    <row r="52" spans="2:7" x14ac:dyDescent="0.25">
      <c r="B52" s="37" t="s">
        <v>105</v>
      </c>
      <c r="F52" s="12" t="s">
        <v>106</v>
      </c>
      <c r="G52" s="3">
        <f>G34/( (83.1447*G36/G37)*(G39^(1 + ((1-G47/G36)^(2/7)))  ) )</f>
        <v>1.4013274999747636</v>
      </c>
    </row>
    <row r="53" spans="2:7" x14ac:dyDescent="0.25">
      <c r="B53" s="37" t="s">
        <v>107</v>
      </c>
      <c r="F53" s="12" t="s">
        <v>79</v>
      </c>
      <c r="G53" s="3">
        <f>G37*EXP( (5.92714-6.09648/G48-1.28862*LN(G48)+0.169347*(G48^6) )+G40*(15.2518-15.6875/G48-13.4721*LN(G48)+0.43577*(G48^6)) )</f>
        <v>6.905750095858518E-7</v>
      </c>
    </row>
    <row r="83" spans="8:26" x14ac:dyDescent="0.25">
      <c r="H83" s="27"/>
      <c r="I83" s="27"/>
      <c r="J83" s="27">
        <f>SUMPRODUCT($H$88:$H$133,J88:J133)</f>
        <v>9.11E-2</v>
      </c>
      <c r="K83" s="27">
        <f t="shared" ref="K83:Z83" si="0">SUMPRODUCT($H$88:$H$133,K88:K133)</f>
        <v>3.1400000000000004E-2</v>
      </c>
      <c r="L83" s="27">
        <f t="shared" si="0"/>
        <v>306</v>
      </c>
      <c r="M83" s="27">
        <f t="shared" si="0"/>
        <v>384.08</v>
      </c>
      <c r="N83" s="27">
        <f t="shared" si="0"/>
        <v>264.87</v>
      </c>
      <c r="O83" s="27">
        <f t="shared" si="0"/>
        <v>-111.88000000000002</v>
      </c>
      <c r="P83" s="27">
        <f t="shared" si="0"/>
        <v>15.720000000000013</v>
      </c>
      <c r="Q83" s="27">
        <f t="shared" si="0"/>
        <v>-41.670000000000009</v>
      </c>
      <c r="R83" s="27">
        <f t="shared" si="0"/>
        <v>0.75285999999999997</v>
      </c>
      <c r="S83" s="27">
        <f t="shared" si="0"/>
        <v>-6.0556E-4</v>
      </c>
      <c r="T83" s="27">
        <f t="shared" si="0"/>
        <v>1.8900000000000001E-7</v>
      </c>
      <c r="U83" s="27">
        <f>SUMPRODUCT($H$88:$H$133,U88:U133)</f>
        <v>24.699000000000002</v>
      </c>
      <c r="V83" s="27">
        <f t="shared" si="0"/>
        <v>43.689</v>
      </c>
      <c r="W83" s="27">
        <f t="shared" si="0"/>
        <v>4056.77</v>
      </c>
      <c r="X83" s="27">
        <f t="shared" si="0"/>
        <v>-10.122</v>
      </c>
      <c r="Y83" s="27">
        <f t="shared" si="0"/>
        <v>139.10879999999997</v>
      </c>
      <c r="Z83" s="27">
        <f t="shared" si="0"/>
        <v>15</v>
      </c>
    </row>
    <row r="84" spans="8:26" ht="18" x14ac:dyDescent="0.25">
      <c r="H84" s="27"/>
      <c r="I84" s="28" t="s">
        <v>0</v>
      </c>
      <c r="J84" s="29" t="s">
        <v>1</v>
      </c>
      <c r="K84" s="29" t="s">
        <v>2</v>
      </c>
      <c r="L84" s="29" t="s">
        <v>3</v>
      </c>
      <c r="M84" s="29" t="s">
        <v>4</v>
      </c>
      <c r="N84" s="29" t="s">
        <v>5</v>
      </c>
      <c r="O84" s="29" t="s">
        <v>6</v>
      </c>
      <c r="P84" s="29" t="s">
        <v>7</v>
      </c>
      <c r="Q84" s="29" t="s">
        <v>8</v>
      </c>
      <c r="R84" s="29" t="s">
        <v>9</v>
      </c>
      <c r="S84" s="29" t="s">
        <v>10</v>
      </c>
      <c r="T84" s="29" t="s">
        <v>11</v>
      </c>
      <c r="U84" s="29" t="s">
        <v>12</v>
      </c>
      <c r="V84" s="29" t="s">
        <v>13</v>
      </c>
      <c r="W84" s="29" t="s">
        <v>8</v>
      </c>
      <c r="X84" s="29" t="s">
        <v>9</v>
      </c>
      <c r="Y84" s="29" t="s">
        <v>72</v>
      </c>
      <c r="Z84" s="29" t="s">
        <v>70</v>
      </c>
    </row>
    <row r="85" spans="8:26" x14ac:dyDescent="0.25">
      <c r="H85" s="27"/>
      <c r="I85" s="201"/>
      <c r="J85" s="202" t="s">
        <v>14</v>
      </c>
      <c r="K85" s="202"/>
      <c r="L85" s="202"/>
      <c r="M85" s="202" t="s">
        <v>15</v>
      </c>
      <c r="N85" s="202"/>
      <c r="O85" s="202" t="s">
        <v>17</v>
      </c>
      <c r="P85" s="202"/>
      <c r="Q85" s="202" t="s">
        <v>19</v>
      </c>
      <c r="R85" s="202"/>
      <c r="S85" s="202"/>
      <c r="T85" s="202"/>
      <c r="U85" s="202" t="s">
        <v>20</v>
      </c>
      <c r="V85" s="202"/>
      <c r="W85" s="202" t="s">
        <v>21</v>
      </c>
      <c r="X85" s="202"/>
      <c r="Y85" s="29" t="s">
        <v>73</v>
      </c>
      <c r="Z85" s="29" t="s">
        <v>71</v>
      </c>
    </row>
    <row r="86" spans="8:26" x14ac:dyDescent="0.25">
      <c r="H86" s="27"/>
      <c r="I86" s="201"/>
      <c r="J86" s="202"/>
      <c r="K86" s="202"/>
      <c r="L86" s="202"/>
      <c r="M86" s="202" t="s">
        <v>16</v>
      </c>
      <c r="N86" s="202"/>
      <c r="O86" s="202" t="s">
        <v>18</v>
      </c>
      <c r="P86" s="202"/>
      <c r="Q86" s="202"/>
      <c r="R86" s="202"/>
      <c r="S86" s="202"/>
      <c r="T86" s="202"/>
      <c r="U86" s="202" t="s">
        <v>16</v>
      </c>
      <c r="V86" s="202"/>
      <c r="W86" s="202"/>
      <c r="X86" s="202"/>
      <c r="Y86" s="27"/>
      <c r="Z86" s="27"/>
    </row>
    <row r="87" spans="8:26" x14ac:dyDescent="0.25">
      <c r="H87" s="27"/>
      <c r="I87" s="30" t="s">
        <v>22</v>
      </c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8:26" ht="18" x14ac:dyDescent="0.25">
      <c r="H88" s="27">
        <f>C8</f>
        <v>0</v>
      </c>
      <c r="I88" s="31" t="s">
        <v>63</v>
      </c>
      <c r="J88" s="32">
        <v>1.41E-2</v>
      </c>
      <c r="K88" s="32">
        <v>-1.1999999999999999E-3</v>
      </c>
      <c r="L88" s="32">
        <v>65</v>
      </c>
      <c r="M88" s="32">
        <v>23.58</v>
      </c>
      <c r="N88" s="32">
        <v>-5.0999999999999996</v>
      </c>
      <c r="O88" s="32">
        <v>-76.45</v>
      </c>
      <c r="P88" s="32">
        <v>-43.96</v>
      </c>
      <c r="Q88" s="33">
        <v>19.5</v>
      </c>
      <c r="R88" s="33">
        <v>-8.0800000000000004E-3</v>
      </c>
      <c r="S88" s="33">
        <v>1.5300000000000001E-4</v>
      </c>
      <c r="T88" s="33">
        <v>-9.6699999999999999E-8</v>
      </c>
      <c r="U88" s="32">
        <v>0.90800000000000003</v>
      </c>
      <c r="V88" s="32">
        <v>2.3730000000000002</v>
      </c>
      <c r="W88" s="32">
        <v>548.29</v>
      </c>
      <c r="X88" s="32">
        <v>-1.7190000000000001</v>
      </c>
      <c r="Y88" s="34">
        <v>15.034520000000001</v>
      </c>
      <c r="Z88" s="27">
        <v>4</v>
      </c>
    </row>
    <row r="89" spans="8:26" ht="18" x14ac:dyDescent="0.25">
      <c r="H89" s="27">
        <f t="shared" ref="H89:H97" si="1">C9</f>
        <v>0</v>
      </c>
      <c r="I89" s="59" t="s">
        <v>23</v>
      </c>
      <c r="J89" s="32">
        <v>1.89E-2</v>
      </c>
      <c r="K89" s="32">
        <v>0</v>
      </c>
      <c r="L89" s="32">
        <v>56</v>
      </c>
      <c r="M89" s="32">
        <v>22.88</v>
      </c>
      <c r="N89" s="32">
        <v>11.27</v>
      </c>
      <c r="O89" s="32">
        <v>-20.64</v>
      </c>
      <c r="P89" s="32">
        <v>8.42</v>
      </c>
      <c r="Q89" s="33">
        <v>-0.90900000000000003</v>
      </c>
      <c r="R89" s="33">
        <v>9.5000000000000001E-2</v>
      </c>
      <c r="S89" s="33">
        <v>-5.4400000000000001E-5</v>
      </c>
      <c r="T89" s="33">
        <v>1.1900000000000001E-8</v>
      </c>
      <c r="U89" s="32">
        <v>2.59</v>
      </c>
      <c r="V89" s="32">
        <v>2.226</v>
      </c>
      <c r="W89" s="32">
        <v>94.16</v>
      </c>
      <c r="X89" s="32">
        <v>-0.19900000000000001</v>
      </c>
      <c r="Y89" s="27">
        <v>14.026579999999999</v>
      </c>
      <c r="Z89" s="27">
        <v>3</v>
      </c>
    </row>
    <row r="90" spans="8:26" x14ac:dyDescent="0.25">
      <c r="H90" s="27">
        <f t="shared" si="1"/>
        <v>0</v>
      </c>
      <c r="I90" s="59" t="s">
        <v>24</v>
      </c>
      <c r="J90" s="32">
        <v>1.6400000000000001E-2</v>
      </c>
      <c r="K90" s="32">
        <v>2E-3</v>
      </c>
      <c r="L90" s="32">
        <v>41</v>
      </c>
      <c r="M90" s="32">
        <v>21.74</v>
      </c>
      <c r="N90" s="32">
        <v>12.64</v>
      </c>
      <c r="O90" s="32">
        <v>29.89</v>
      </c>
      <c r="P90" s="32">
        <v>58.36</v>
      </c>
      <c r="Q90" s="33">
        <v>-23</v>
      </c>
      <c r="R90" s="33">
        <v>0.20399999999999999</v>
      </c>
      <c r="S90" s="33">
        <v>-2.6499999999999999E-4</v>
      </c>
      <c r="T90" s="33">
        <v>1.1999999999999999E-7</v>
      </c>
      <c r="U90" s="32">
        <v>0.749</v>
      </c>
      <c r="V90" s="32">
        <v>1.6910000000000001</v>
      </c>
      <c r="W90" s="32">
        <v>-322.14999999999998</v>
      </c>
      <c r="X90" s="32">
        <v>1.1870000000000001</v>
      </c>
      <c r="Y90" s="27">
        <v>13.01864</v>
      </c>
      <c r="Z90" s="27">
        <v>2</v>
      </c>
    </row>
    <row r="91" spans="8:26" x14ac:dyDescent="0.25">
      <c r="H91" s="27">
        <f t="shared" si="1"/>
        <v>0</v>
      </c>
      <c r="I91" s="59" t="s">
        <v>25</v>
      </c>
      <c r="J91" s="32">
        <v>6.7000000000000002E-3</v>
      </c>
      <c r="K91" s="32">
        <v>4.3E-3</v>
      </c>
      <c r="L91" s="32">
        <v>27</v>
      </c>
      <c r="M91" s="32">
        <v>18.25</v>
      </c>
      <c r="N91" s="32">
        <v>46.43</v>
      </c>
      <c r="O91" s="32">
        <v>82.23</v>
      </c>
      <c r="P91" s="32">
        <v>116.02</v>
      </c>
      <c r="Q91" s="33">
        <v>-66.2</v>
      </c>
      <c r="R91" s="33">
        <v>0.42699999999999999</v>
      </c>
      <c r="S91" s="33">
        <v>-6.4099999999999997E-4</v>
      </c>
      <c r="T91" s="33">
        <v>3.0100000000000001E-7</v>
      </c>
      <c r="U91" s="32">
        <v>-1.46</v>
      </c>
      <c r="V91" s="32">
        <v>0.63600000000000001</v>
      </c>
      <c r="W91" s="32">
        <v>-573.55999999999995</v>
      </c>
      <c r="X91" s="32">
        <v>2.3069999999999999</v>
      </c>
      <c r="Y91" s="27">
        <v>12.0107</v>
      </c>
      <c r="Z91" s="27">
        <v>1</v>
      </c>
    </row>
    <row r="92" spans="8:26" ht="18" x14ac:dyDescent="0.25">
      <c r="H92" s="27">
        <f t="shared" si="1"/>
        <v>0</v>
      </c>
      <c r="I92" s="31" t="s">
        <v>111</v>
      </c>
      <c r="J92" s="32">
        <v>1.1299999999999999E-2</v>
      </c>
      <c r="K92" s="32">
        <v>-2.8E-3</v>
      </c>
      <c r="L92" s="32">
        <v>56</v>
      </c>
      <c r="M92" s="32">
        <v>18.18</v>
      </c>
      <c r="N92" s="32">
        <v>-4.32</v>
      </c>
      <c r="O92" s="32">
        <v>-9.6300000000000008</v>
      </c>
      <c r="P92" s="32">
        <v>3.77</v>
      </c>
      <c r="Q92" s="33">
        <v>23.6</v>
      </c>
      <c r="R92" s="33">
        <v>-3.8100000000000002E-2</v>
      </c>
      <c r="S92" s="33">
        <v>1.7200000000000001E-4</v>
      </c>
      <c r="T92" s="33">
        <v>-1.03E-7</v>
      </c>
      <c r="U92" s="32">
        <v>-0.47299999999999998</v>
      </c>
      <c r="V92" s="32">
        <v>1.724</v>
      </c>
      <c r="W92" s="32">
        <v>495.01</v>
      </c>
      <c r="X92" s="32">
        <v>-1.5389999999999999</v>
      </c>
      <c r="Y92" s="27">
        <v>14.026579999999999</v>
      </c>
      <c r="Z92" s="27">
        <v>3</v>
      </c>
    </row>
    <row r="93" spans="8:26" x14ac:dyDescent="0.25">
      <c r="H93" s="27">
        <f t="shared" si="1"/>
        <v>0</v>
      </c>
      <c r="I93" s="59" t="s">
        <v>26</v>
      </c>
      <c r="J93" s="40">
        <v>1.29E-2</v>
      </c>
      <c r="K93" s="32">
        <v>-5.9999999999999995E-4</v>
      </c>
      <c r="L93" s="32">
        <v>46</v>
      </c>
      <c r="M93" s="32">
        <v>24.96</v>
      </c>
      <c r="N93" s="32">
        <v>8.73</v>
      </c>
      <c r="O93" s="32">
        <v>37.97</v>
      </c>
      <c r="P93" s="32">
        <v>48.53</v>
      </c>
      <c r="Q93" s="32">
        <v>-8</v>
      </c>
      <c r="R93" s="33">
        <v>0.105</v>
      </c>
      <c r="S93" s="33">
        <v>-9.6299999999999996E-5</v>
      </c>
      <c r="T93" s="33">
        <v>3.5600000000000001E-8</v>
      </c>
      <c r="U93" s="32">
        <v>2.6909999999999998</v>
      </c>
      <c r="V93" s="32">
        <v>2.2050000000000001</v>
      </c>
      <c r="W93" s="32">
        <v>82.28</v>
      </c>
      <c r="X93" s="32">
        <v>-0.24199999999999999</v>
      </c>
      <c r="Y93" s="27">
        <v>13.01864</v>
      </c>
      <c r="Z93" s="27">
        <v>2</v>
      </c>
    </row>
    <row r="94" spans="8:26" x14ac:dyDescent="0.25">
      <c r="H94" s="27">
        <f t="shared" si="1"/>
        <v>2</v>
      </c>
      <c r="I94" s="59" t="s">
        <v>27</v>
      </c>
      <c r="J94" s="32">
        <v>1.17E-2</v>
      </c>
      <c r="K94" s="32">
        <v>1.1000000000000001E-3</v>
      </c>
      <c r="L94" s="32">
        <v>38</v>
      </c>
      <c r="M94" s="32">
        <v>24.14</v>
      </c>
      <c r="N94" s="32">
        <v>11.14</v>
      </c>
      <c r="O94" s="32">
        <v>83.99</v>
      </c>
      <c r="P94" s="32">
        <v>92.36</v>
      </c>
      <c r="Q94" s="33">
        <v>-28.1</v>
      </c>
      <c r="R94" s="33">
        <v>0.20799999999999999</v>
      </c>
      <c r="S94" s="33">
        <v>-3.0600000000000001E-4</v>
      </c>
      <c r="T94" s="33">
        <v>1.4600000000000001E-7</v>
      </c>
      <c r="U94" s="32">
        <v>3.0630000000000002</v>
      </c>
      <c r="V94" s="32">
        <v>2.1379999999999999</v>
      </c>
      <c r="W94" s="32" t="s">
        <v>28</v>
      </c>
      <c r="X94" s="32" t="s">
        <v>28</v>
      </c>
      <c r="Y94" s="27">
        <v>12.0107</v>
      </c>
      <c r="Z94" s="27">
        <v>1</v>
      </c>
    </row>
    <row r="95" spans="8:26" x14ac:dyDescent="0.25">
      <c r="H95" s="27">
        <f t="shared" si="1"/>
        <v>0</v>
      </c>
      <c r="I95" s="59" t="s">
        <v>29</v>
      </c>
      <c r="J95" s="32">
        <v>2.5999999999999999E-3</v>
      </c>
      <c r="K95" s="32">
        <v>2.8E-3</v>
      </c>
      <c r="L95" s="32">
        <v>36</v>
      </c>
      <c r="M95" s="32">
        <v>26.15</v>
      </c>
      <c r="N95" s="32">
        <v>17.78</v>
      </c>
      <c r="O95" s="32">
        <v>142.13999999999999</v>
      </c>
      <c r="P95" s="32">
        <v>136.69999999999999</v>
      </c>
      <c r="Q95" s="33">
        <v>27.4</v>
      </c>
      <c r="R95" s="33">
        <v>-5.57E-2</v>
      </c>
      <c r="S95" s="33">
        <v>1.01E-4</v>
      </c>
      <c r="T95" s="33">
        <v>-5.02E-8</v>
      </c>
      <c r="U95" s="32">
        <v>4.72</v>
      </c>
      <c r="V95" s="32">
        <v>2.661</v>
      </c>
      <c r="W95" s="32" t="s">
        <v>28</v>
      </c>
      <c r="X95" s="32" t="s">
        <v>28</v>
      </c>
      <c r="Y95" s="27">
        <v>12.0107</v>
      </c>
      <c r="Z95" s="27">
        <v>1</v>
      </c>
    </row>
    <row r="96" spans="8:26" x14ac:dyDescent="0.25">
      <c r="H96" s="27">
        <f t="shared" si="1"/>
        <v>0</v>
      </c>
      <c r="I96" s="59" t="s">
        <v>30</v>
      </c>
      <c r="J96" s="32">
        <v>2.7000000000000001E-3</v>
      </c>
      <c r="K96" s="32">
        <v>-8.0000000000000004E-4</v>
      </c>
      <c r="L96" s="32">
        <v>46</v>
      </c>
      <c r="M96" s="32">
        <v>9.1999999999999993</v>
      </c>
      <c r="N96" s="32">
        <v>-11.18</v>
      </c>
      <c r="O96" s="32">
        <v>79.3</v>
      </c>
      <c r="P96" s="32">
        <v>77.709999999999994</v>
      </c>
      <c r="Q96" s="33">
        <v>24.5</v>
      </c>
      <c r="R96" s="33">
        <v>-2.7099999999999999E-2</v>
      </c>
      <c r="S96" s="33">
        <v>1.11E-4</v>
      </c>
      <c r="T96" s="33">
        <v>-6.7799999999999998E-8</v>
      </c>
      <c r="U96" s="32">
        <v>2.3220000000000001</v>
      </c>
      <c r="V96" s="32">
        <v>1.155</v>
      </c>
      <c r="W96" s="32" t="s">
        <v>28</v>
      </c>
      <c r="X96" s="32" t="s">
        <v>28</v>
      </c>
      <c r="Y96" s="27">
        <v>13.01864</v>
      </c>
      <c r="Z96" s="27">
        <v>2</v>
      </c>
    </row>
    <row r="97" spans="8:26" x14ac:dyDescent="0.25">
      <c r="H97" s="27">
        <f t="shared" si="1"/>
        <v>0</v>
      </c>
      <c r="I97" s="59" t="s">
        <v>31</v>
      </c>
      <c r="J97" s="32">
        <v>2E-3</v>
      </c>
      <c r="K97" s="32">
        <v>1.6000000000000001E-3</v>
      </c>
      <c r="L97" s="32">
        <v>37</v>
      </c>
      <c r="M97" s="32">
        <v>27.38</v>
      </c>
      <c r="N97" s="32">
        <v>64.319999999999993</v>
      </c>
      <c r="O97" s="32">
        <v>115.51</v>
      </c>
      <c r="P97" s="32">
        <v>109.82</v>
      </c>
      <c r="Q97" s="32">
        <v>7.87</v>
      </c>
      <c r="R97" s="33">
        <v>2.01E-2</v>
      </c>
      <c r="S97" s="33">
        <v>-8.3299999999999999E-6</v>
      </c>
      <c r="T97" s="33">
        <v>1.39E-9</v>
      </c>
      <c r="U97" s="32">
        <v>4.1509999999999998</v>
      </c>
      <c r="V97" s="32">
        <v>3.302</v>
      </c>
      <c r="W97" s="32" t="s">
        <v>28</v>
      </c>
      <c r="X97" s="32" t="s">
        <v>28</v>
      </c>
      <c r="Y97" s="27">
        <v>12.0107</v>
      </c>
      <c r="Z97" s="27">
        <v>1</v>
      </c>
    </row>
    <row r="98" spans="8:26" x14ac:dyDescent="0.25">
      <c r="H98" s="27"/>
      <c r="I98" s="30" t="s">
        <v>32</v>
      </c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spans="8:26" ht="18" x14ac:dyDescent="0.25">
      <c r="H99" s="27">
        <f>C19</f>
        <v>0</v>
      </c>
      <c r="I99" s="59" t="s">
        <v>23</v>
      </c>
      <c r="J99" s="32">
        <v>0.01</v>
      </c>
      <c r="K99" s="32">
        <v>2.5000000000000001E-3</v>
      </c>
      <c r="L99" s="32">
        <v>48</v>
      </c>
      <c r="M99" s="32">
        <v>27.15</v>
      </c>
      <c r="N99" s="32">
        <v>7.75</v>
      </c>
      <c r="O99" s="32">
        <v>-26.8</v>
      </c>
      <c r="P99" s="32">
        <v>-3.68</v>
      </c>
      <c r="Q99" s="32">
        <v>-6.03</v>
      </c>
      <c r="R99" s="33">
        <v>8.5400000000000004E-2</v>
      </c>
      <c r="S99" s="33">
        <v>-7.9999999999999996E-6</v>
      </c>
      <c r="T99" s="33">
        <v>-1.7999999999999999E-8</v>
      </c>
      <c r="U99" s="32">
        <v>0.49</v>
      </c>
      <c r="V99" s="32">
        <v>2.3980000000000001</v>
      </c>
      <c r="W99" s="32">
        <v>307.52999999999997</v>
      </c>
      <c r="X99" s="32">
        <v>-0.79800000000000004</v>
      </c>
      <c r="Y99" s="27">
        <v>14.026579999999999</v>
      </c>
      <c r="Z99" s="27">
        <v>3</v>
      </c>
    </row>
    <row r="100" spans="8:26" x14ac:dyDescent="0.25">
      <c r="H100" s="27">
        <f t="shared" ref="H100:H103" si="2">C20</f>
        <v>0</v>
      </c>
      <c r="I100" s="59" t="s">
        <v>24</v>
      </c>
      <c r="J100" s="32">
        <v>1.2200000000000001E-2</v>
      </c>
      <c r="K100" s="32">
        <v>4.0000000000000002E-4</v>
      </c>
      <c r="L100" s="32">
        <v>38</v>
      </c>
      <c r="M100" s="32">
        <v>21.78</v>
      </c>
      <c r="N100" s="32">
        <v>19.88</v>
      </c>
      <c r="O100" s="32">
        <v>8.67</v>
      </c>
      <c r="P100" s="32">
        <v>40.99</v>
      </c>
      <c r="Q100" s="33">
        <v>-20.5</v>
      </c>
      <c r="R100" s="33">
        <v>0.16200000000000001</v>
      </c>
      <c r="S100" s="33">
        <v>-1.6000000000000001E-4</v>
      </c>
      <c r="T100" s="33">
        <v>6.2400000000000003E-8</v>
      </c>
      <c r="U100" s="32">
        <v>3.2429999999999999</v>
      </c>
      <c r="V100" s="32">
        <v>1.9419999999999999</v>
      </c>
      <c r="W100" s="32">
        <v>-394.29</v>
      </c>
      <c r="X100" s="32">
        <v>1.2509999999999999</v>
      </c>
      <c r="Y100" s="27">
        <v>13.01864</v>
      </c>
      <c r="Z100" s="27">
        <v>2</v>
      </c>
    </row>
    <row r="101" spans="8:26" x14ac:dyDescent="0.25">
      <c r="H101" s="27">
        <f t="shared" si="2"/>
        <v>0</v>
      </c>
      <c r="I101" s="59" t="s">
        <v>25</v>
      </c>
      <c r="J101" s="32">
        <v>4.1999999999999997E-3</v>
      </c>
      <c r="K101" s="32">
        <v>6.1000000000000004E-3</v>
      </c>
      <c r="L101" s="32">
        <v>27</v>
      </c>
      <c r="M101" s="32">
        <v>21.32</v>
      </c>
      <c r="N101" s="32">
        <v>60.15</v>
      </c>
      <c r="O101" s="32">
        <v>79.72</v>
      </c>
      <c r="P101" s="32">
        <v>87.88</v>
      </c>
      <c r="Q101" s="33">
        <v>-90.9</v>
      </c>
      <c r="R101" s="33">
        <v>0.55700000000000005</v>
      </c>
      <c r="S101" s="33">
        <v>-8.9999999999999998E-4</v>
      </c>
      <c r="T101" s="33">
        <v>4.6899999999999998E-7</v>
      </c>
      <c r="U101" s="32">
        <v>-1.373</v>
      </c>
      <c r="V101" s="32">
        <v>0.64400000000000002</v>
      </c>
      <c r="W101" s="32" t="s">
        <v>28</v>
      </c>
      <c r="X101" s="32" t="s">
        <v>28</v>
      </c>
      <c r="Y101" s="27">
        <v>12.0107</v>
      </c>
      <c r="Z101" s="27">
        <v>1</v>
      </c>
    </row>
    <row r="102" spans="8:26" x14ac:dyDescent="0.25">
      <c r="H102" s="27">
        <f t="shared" si="2"/>
        <v>4</v>
      </c>
      <c r="I102" s="59" t="s">
        <v>26</v>
      </c>
      <c r="J102" s="32" t="s">
        <v>33</v>
      </c>
      <c r="K102" s="32">
        <v>1.1000000000000001E-3</v>
      </c>
      <c r="L102" s="32">
        <v>41</v>
      </c>
      <c r="M102" s="32">
        <v>26.73</v>
      </c>
      <c r="N102" s="32">
        <v>8.1300000000000008</v>
      </c>
      <c r="O102" s="32">
        <v>2.09</v>
      </c>
      <c r="P102" s="32">
        <v>11.3</v>
      </c>
      <c r="Q102" s="32">
        <v>-2.14</v>
      </c>
      <c r="R102" s="33">
        <v>5.74E-2</v>
      </c>
      <c r="S102" s="33">
        <v>-1.64E-6</v>
      </c>
      <c r="T102" s="33">
        <v>-1.59E-8</v>
      </c>
      <c r="U102" s="32">
        <v>1.101</v>
      </c>
      <c r="V102" s="32">
        <v>2.544</v>
      </c>
      <c r="W102" s="32">
        <v>259.64999999999998</v>
      </c>
      <c r="X102" s="32">
        <v>-0.70199999999999996</v>
      </c>
      <c r="Y102" s="27">
        <v>13.01864</v>
      </c>
      <c r="Z102" s="27">
        <v>2</v>
      </c>
    </row>
    <row r="103" spans="8:26" x14ac:dyDescent="0.25">
      <c r="H103" s="27">
        <f t="shared" si="2"/>
        <v>0</v>
      </c>
      <c r="I103" s="59" t="s">
        <v>27</v>
      </c>
      <c r="J103" s="32">
        <v>1.43E-2</v>
      </c>
      <c r="K103" s="32">
        <v>8.0000000000000004E-4</v>
      </c>
      <c r="L103" s="32">
        <v>32</v>
      </c>
      <c r="M103" s="32">
        <v>31.01</v>
      </c>
      <c r="N103" s="32">
        <v>37.020000000000003</v>
      </c>
      <c r="O103" s="32">
        <v>46.43</v>
      </c>
      <c r="P103" s="32">
        <v>54.05</v>
      </c>
      <c r="Q103" s="32">
        <v>-8.25</v>
      </c>
      <c r="R103" s="33">
        <v>0.10100000000000001</v>
      </c>
      <c r="S103" s="33">
        <v>-1.4200000000000001E-4</v>
      </c>
      <c r="T103" s="33">
        <v>6.7799999999999998E-8</v>
      </c>
      <c r="U103" s="32">
        <v>2.3940000000000001</v>
      </c>
      <c r="V103" s="32">
        <v>3.0590000000000002</v>
      </c>
      <c r="W103" s="32">
        <v>-245.74</v>
      </c>
      <c r="X103" s="32">
        <v>0.91200000000000003</v>
      </c>
      <c r="Y103" s="27">
        <v>12.0107</v>
      </c>
      <c r="Z103" s="27">
        <v>1</v>
      </c>
    </row>
    <row r="104" spans="8:26" x14ac:dyDescent="0.25">
      <c r="H104" s="27"/>
      <c r="I104" s="30" t="s">
        <v>34</v>
      </c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spans="8:26" x14ac:dyDescent="0.25">
      <c r="H105" s="27">
        <f>C25</f>
        <v>0</v>
      </c>
      <c r="I105" s="59" t="s">
        <v>35</v>
      </c>
      <c r="J105" s="32">
        <v>1.11E-2</v>
      </c>
      <c r="K105" s="32">
        <v>-5.7000000000000002E-3</v>
      </c>
      <c r="L105" s="32">
        <v>27</v>
      </c>
      <c r="M105" s="32">
        <v>-0.03</v>
      </c>
      <c r="N105" s="32">
        <v>-15.78</v>
      </c>
      <c r="O105" s="32">
        <v>-251.92</v>
      </c>
      <c r="P105" s="32">
        <v>-247.19</v>
      </c>
      <c r="Q105" s="33">
        <v>26.5</v>
      </c>
      <c r="R105" s="33">
        <v>-9.1300000000000006E-2</v>
      </c>
      <c r="S105" s="33">
        <v>1.9100000000000001E-4</v>
      </c>
      <c r="T105" s="33">
        <v>-1.03E-7</v>
      </c>
      <c r="U105" s="32">
        <v>1.3979999999999999</v>
      </c>
      <c r="V105" s="32">
        <v>-0.67</v>
      </c>
      <c r="W105" s="32" t="s">
        <v>28</v>
      </c>
      <c r="X105" s="32" t="s">
        <v>28</v>
      </c>
      <c r="Y105" s="36">
        <v>18.998403199999998</v>
      </c>
      <c r="Z105" s="27">
        <v>1</v>
      </c>
    </row>
    <row r="106" spans="8:26" x14ac:dyDescent="0.25">
      <c r="H106" s="27">
        <f t="shared" ref="H106:H108" si="3">C26</f>
        <v>0</v>
      </c>
      <c r="I106" s="59" t="s">
        <v>36</v>
      </c>
      <c r="J106" s="32">
        <v>1.0500000000000001E-2</v>
      </c>
      <c r="K106" s="32">
        <v>-4.8999999999999998E-3</v>
      </c>
      <c r="L106" s="32">
        <v>58</v>
      </c>
      <c r="M106" s="32">
        <v>38.130000000000003</v>
      </c>
      <c r="N106" s="32">
        <v>13.55</v>
      </c>
      <c r="O106" s="32">
        <v>-71.55</v>
      </c>
      <c r="P106" s="32">
        <v>-64.31</v>
      </c>
      <c r="Q106" s="33">
        <v>33.299999999999997</v>
      </c>
      <c r="R106" s="33">
        <v>-9.6299999999999997E-2</v>
      </c>
      <c r="S106" s="33">
        <v>1.8699999999999999E-4</v>
      </c>
      <c r="T106" s="33">
        <v>-9.9600000000000005E-8</v>
      </c>
      <c r="U106" s="32">
        <v>2.5150000000000001</v>
      </c>
      <c r="V106" s="32">
        <v>4.532</v>
      </c>
      <c r="W106" s="32">
        <v>625.45000000000005</v>
      </c>
      <c r="X106" s="32">
        <v>-1.8140000000000001</v>
      </c>
      <c r="Y106" s="27">
        <v>35.453000000000003</v>
      </c>
      <c r="Z106" s="27">
        <v>1</v>
      </c>
    </row>
    <row r="107" spans="8:26" x14ac:dyDescent="0.25">
      <c r="H107" s="27">
        <f t="shared" si="3"/>
        <v>0</v>
      </c>
      <c r="I107" s="59" t="s">
        <v>37</v>
      </c>
      <c r="J107" s="32">
        <v>1.3299999999999999E-2</v>
      </c>
      <c r="K107" s="32">
        <v>5.7000000000000002E-3</v>
      </c>
      <c r="L107" s="32">
        <v>71</v>
      </c>
      <c r="M107" s="32">
        <v>66.86</v>
      </c>
      <c r="N107" s="32">
        <v>43.43</v>
      </c>
      <c r="O107" s="32">
        <v>-29.48</v>
      </c>
      <c r="P107" s="32">
        <v>-38.06</v>
      </c>
      <c r="Q107" s="33">
        <v>28.6</v>
      </c>
      <c r="R107" s="33">
        <v>-6.4899999999999999E-2</v>
      </c>
      <c r="S107" s="33">
        <v>1.36E-4</v>
      </c>
      <c r="T107" s="33">
        <v>-7.4499999999999999E-8</v>
      </c>
      <c r="U107" s="32">
        <v>3.6030000000000002</v>
      </c>
      <c r="V107" s="32">
        <v>6.5819999999999999</v>
      </c>
      <c r="W107" s="32">
        <v>738.91</v>
      </c>
      <c r="X107" s="32">
        <v>-2.0379999999999998</v>
      </c>
      <c r="Y107" s="27">
        <v>79.903999999999996</v>
      </c>
      <c r="Z107" s="27">
        <v>1</v>
      </c>
    </row>
    <row r="108" spans="8:26" x14ac:dyDescent="0.25">
      <c r="H108" s="27">
        <f t="shared" si="3"/>
        <v>0</v>
      </c>
      <c r="I108" s="59" t="s">
        <v>38</v>
      </c>
      <c r="J108" s="32">
        <v>6.7999999999999996E-3</v>
      </c>
      <c r="K108" s="32">
        <v>-3.3999999999999998E-3</v>
      </c>
      <c r="L108" s="32">
        <v>97</v>
      </c>
      <c r="M108" s="32">
        <v>93.84</v>
      </c>
      <c r="N108" s="32">
        <v>41.69</v>
      </c>
      <c r="O108" s="32">
        <v>21.06</v>
      </c>
      <c r="P108" s="32">
        <v>5.74</v>
      </c>
      <c r="Q108" s="33">
        <v>32.1</v>
      </c>
      <c r="R108" s="33">
        <v>-6.4100000000000004E-2</v>
      </c>
      <c r="S108" s="33">
        <v>1.26E-4</v>
      </c>
      <c r="T108" s="33">
        <v>-6.87E-8</v>
      </c>
      <c r="U108" s="32">
        <v>2.7240000000000002</v>
      </c>
      <c r="V108" s="32">
        <v>9.52</v>
      </c>
      <c r="W108" s="32">
        <v>809.55</v>
      </c>
      <c r="X108" s="32">
        <v>-2.2240000000000002</v>
      </c>
      <c r="Y108" s="27">
        <v>126.90447</v>
      </c>
      <c r="Z108" s="27">
        <v>1</v>
      </c>
    </row>
    <row r="109" spans="8:26" x14ac:dyDescent="0.25">
      <c r="H109" s="27"/>
      <c r="I109" s="30" t="s">
        <v>39</v>
      </c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spans="8:26" x14ac:dyDescent="0.25">
      <c r="H110" s="27">
        <f>G8</f>
        <v>0</v>
      </c>
      <c r="I110" s="59" t="s">
        <v>40</v>
      </c>
      <c r="J110" s="32">
        <v>7.4099999999999999E-2</v>
      </c>
      <c r="K110" s="32">
        <v>1.12E-2</v>
      </c>
      <c r="L110" s="32">
        <v>28</v>
      </c>
      <c r="M110" s="32">
        <v>92.88</v>
      </c>
      <c r="N110" s="32">
        <v>44.45</v>
      </c>
      <c r="O110" s="32">
        <v>-208.04</v>
      </c>
      <c r="P110" s="32">
        <v>-189.2</v>
      </c>
      <c r="Q110" s="33">
        <v>25.7</v>
      </c>
      <c r="R110" s="33">
        <v>-6.9099999999999995E-2</v>
      </c>
      <c r="S110" s="33">
        <v>1.7699999999999999E-4</v>
      </c>
      <c r="T110" s="33">
        <v>-9.8799999999999998E-8</v>
      </c>
      <c r="U110" s="32">
        <v>2.4060000000000001</v>
      </c>
      <c r="V110" s="32">
        <v>16.826000000000001</v>
      </c>
      <c r="W110" s="32">
        <v>2173.7199999999998</v>
      </c>
      <c r="X110" s="32">
        <v>-5.0570000000000004</v>
      </c>
      <c r="Y110" s="27">
        <v>17.007339999999999</v>
      </c>
      <c r="Z110" s="27">
        <v>2</v>
      </c>
    </row>
    <row r="111" spans="8:26" x14ac:dyDescent="0.25">
      <c r="H111" s="27">
        <f t="shared" ref="H111:H119" si="4">G9</f>
        <v>1</v>
      </c>
      <c r="I111" s="59" t="s">
        <v>41</v>
      </c>
      <c r="J111" s="32">
        <v>2.4E-2</v>
      </c>
      <c r="K111" s="32">
        <v>1.84E-2</v>
      </c>
      <c r="L111" s="32">
        <v>-25</v>
      </c>
      <c r="M111" s="32">
        <v>76.34</v>
      </c>
      <c r="N111" s="32">
        <v>82.83</v>
      </c>
      <c r="O111" s="32">
        <v>-221.65</v>
      </c>
      <c r="P111" s="32">
        <v>-197.37</v>
      </c>
      <c r="Q111" s="32">
        <v>-2.81</v>
      </c>
      <c r="R111" s="33">
        <v>0.111</v>
      </c>
      <c r="S111" s="33">
        <v>-1.16E-4</v>
      </c>
      <c r="T111" s="33">
        <v>4.9399999999999999E-8</v>
      </c>
      <c r="U111" s="32">
        <v>4.49</v>
      </c>
      <c r="V111" s="32">
        <v>12.499000000000001</v>
      </c>
      <c r="W111" s="32">
        <v>3018.17</v>
      </c>
      <c r="X111" s="32">
        <v>-7.3140000000000001</v>
      </c>
      <c r="Y111" s="27">
        <v>17.007339999999999</v>
      </c>
      <c r="Z111" s="27">
        <v>2</v>
      </c>
    </row>
    <row r="112" spans="8:26" x14ac:dyDescent="0.25">
      <c r="H112" s="27">
        <f t="shared" si="4"/>
        <v>0</v>
      </c>
      <c r="I112" s="59" t="s">
        <v>42</v>
      </c>
      <c r="J112" s="32">
        <v>1.6799999999999999E-2</v>
      </c>
      <c r="K112" s="32">
        <v>1.5E-3</v>
      </c>
      <c r="L112" s="32">
        <v>18</v>
      </c>
      <c r="M112" s="32">
        <v>22.42</v>
      </c>
      <c r="N112" s="32">
        <v>22.23</v>
      </c>
      <c r="O112" s="32">
        <v>-132.22</v>
      </c>
      <c r="P112" s="32">
        <v>-105</v>
      </c>
      <c r="Q112" s="33">
        <v>25.5</v>
      </c>
      <c r="R112" s="33">
        <v>-6.3200000000000006E-2</v>
      </c>
      <c r="S112" s="33">
        <v>1.11E-4</v>
      </c>
      <c r="T112" s="33">
        <v>-5.4800000000000001E-8</v>
      </c>
      <c r="U112" s="32">
        <v>1.1879999999999999</v>
      </c>
      <c r="V112" s="32">
        <v>2.41</v>
      </c>
      <c r="W112" s="32">
        <v>122.09</v>
      </c>
      <c r="X112" s="32">
        <v>-0.38600000000000001</v>
      </c>
      <c r="Y112" s="27">
        <v>15.9994</v>
      </c>
      <c r="Z112" s="27">
        <v>1</v>
      </c>
    </row>
    <row r="113" spans="8:26" x14ac:dyDescent="0.25">
      <c r="H113" s="27">
        <f t="shared" si="4"/>
        <v>0</v>
      </c>
      <c r="I113" s="59" t="s">
        <v>43</v>
      </c>
      <c r="J113" s="32">
        <v>9.7999999999999997E-3</v>
      </c>
      <c r="K113" s="32">
        <v>4.7999999999999996E-3</v>
      </c>
      <c r="L113" s="32">
        <v>13</v>
      </c>
      <c r="M113" s="32">
        <v>31.22</v>
      </c>
      <c r="N113" s="32">
        <v>23.05</v>
      </c>
      <c r="O113" s="32">
        <v>-138.16</v>
      </c>
      <c r="P113" s="32">
        <v>-98.22</v>
      </c>
      <c r="Q113" s="33">
        <v>12.2</v>
      </c>
      <c r="R113" s="33">
        <v>-1.26E-2</v>
      </c>
      <c r="S113" s="33">
        <v>6.0300000000000002E-5</v>
      </c>
      <c r="T113" s="33">
        <v>-3.8600000000000002E-8</v>
      </c>
      <c r="U113" s="32">
        <v>5.8789999999999996</v>
      </c>
      <c r="V113" s="32">
        <v>4.6820000000000004</v>
      </c>
      <c r="W113" s="32">
        <v>440.24</v>
      </c>
      <c r="X113" s="32">
        <v>-0.95299999999999996</v>
      </c>
      <c r="Y113" s="27">
        <v>15.9994</v>
      </c>
      <c r="Z113" s="27">
        <v>1</v>
      </c>
    </row>
    <row r="114" spans="8:26" x14ac:dyDescent="0.25">
      <c r="H114" s="27">
        <f t="shared" si="4"/>
        <v>0</v>
      </c>
      <c r="I114" s="59" t="s">
        <v>44</v>
      </c>
      <c r="J114" s="32">
        <v>3.7999999999999999E-2</v>
      </c>
      <c r="K114" s="32">
        <v>3.0999999999999999E-3</v>
      </c>
      <c r="L114" s="32">
        <v>62</v>
      </c>
      <c r="M114" s="32">
        <v>76.75</v>
      </c>
      <c r="N114" s="32">
        <v>61.2</v>
      </c>
      <c r="O114" s="32">
        <v>-133.22</v>
      </c>
      <c r="P114" s="32">
        <v>-120.5</v>
      </c>
      <c r="Q114" s="32">
        <v>6.45</v>
      </c>
      <c r="R114" s="33">
        <v>6.7000000000000004E-2</v>
      </c>
      <c r="S114" s="33">
        <v>-3.57E-5</v>
      </c>
      <c r="T114" s="33">
        <v>2.86E-9</v>
      </c>
      <c r="U114" s="32">
        <v>4.1890000000000001</v>
      </c>
      <c r="V114" s="32">
        <v>8.9719999999999995</v>
      </c>
      <c r="W114" s="32">
        <v>340.35</v>
      </c>
      <c r="X114" s="32">
        <v>-0.35</v>
      </c>
      <c r="Y114" s="27">
        <v>28.010100000000001</v>
      </c>
      <c r="Z114" s="27">
        <v>2</v>
      </c>
    </row>
    <row r="115" spans="8:26" x14ac:dyDescent="0.25">
      <c r="H115" s="27">
        <f t="shared" si="4"/>
        <v>0</v>
      </c>
      <c r="I115" s="59" t="s">
        <v>45</v>
      </c>
      <c r="J115" s="32">
        <v>2.8400000000000002E-2</v>
      </c>
      <c r="K115" s="32">
        <v>2.8E-3</v>
      </c>
      <c r="L115" s="32">
        <v>55</v>
      </c>
      <c r="M115" s="32">
        <v>94.97</v>
      </c>
      <c r="N115" s="32">
        <v>75.97</v>
      </c>
      <c r="O115" s="32">
        <v>-164.5</v>
      </c>
      <c r="P115" s="32">
        <v>-126.27</v>
      </c>
      <c r="Q115" s="33">
        <v>30.4</v>
      </c>
      <c r="R115" s="33">
        <v>-8.2900000000000001E-2</v>
      </c>
      <c r="S115" s="33">
        <v>2.3599999999999999E-4</v>
      </c>
      <c r="T115" s="33">
        <v>-1.31E-7</v>
      </c>
      <c r="U115" s="32">
        <v>0</v>
      </c>
      <c r="V115" s="32">
        <v>6.6449999999999996</v>
      </c>
      <c r="W115" s="32" t="s">
        <v>28</v>
      </c>
      <c r="X115" s="32" t="s">
        <v>28</v>
      </c>
      <c r="Y115" s="27">
        <v>28.010100000000001</v>
      </c>
      <c r="Z115" s="27">
        <v>2</v>
      </c>
    </row>
    <row r="116" spans="8:26" x14ac:dyDescent="0.25">
      <c r="H116" s="27">
        <f t="shared" si="4"/>
        <v>0</v>
      </c>
      <c r="I116" s="59" t="s">
        <v>46</v>
      </c>
      <c r="J116" s="32">
        <v>3.7900000000000003E-2</v>
      </c>
      <c r="K116" s="32">
        <v>3.0000000000000001E-3</v>
      </c>
      <c r="L116" s="32">
        <v>82</v>
      </c>
      <c r="M116" s="32">
        <v>72.239999999999995</v>
      </c>
      <c r="N116" s="32">
        <v>36.9</v>
      </c>
      <c r="O116" s="32">
        <v>-162.03</v>
      </c>
      <c r="P116" s="32">
        <v>-143.47999999999999</v>
      </c>
      <c r="Q116" s="33">
        <v>30.9</v>
      </c>
      <c r="R116" s="33">
        <v>-3.3599999999999998E-2</v>
      </c>
      <c r="S116" s="33">
        <v>1.6000000000000001E-4</v>
      </c>
      <c r="T116" s="33">
        <v>-9.8799999999999998E-8</v>
      </c>
      <c r="U116" s="32">
        <v>3.1970000000000001</v>
      </c>
      <c r="V116" s="32">
        <v>9.093</v>
      </c>
      <c r="W116" s="32">
        <v>740.92</v>
      </c>
      <c r="X116" s="32">
        <v>-1.7130000000000001</v>
      </c>
      <c r="Y116" s="27">
        <v>29.018040000000003</v>
      </c>
      <c r="Z116" s="27">
        <v>3</v>
      </c>
    </row>
    <row r="117" spans="8:26" x14ac:dyDescent="0.25">
      <c r="H117" s="27">
        <f t="shared" si="4"/>
        <v>0</v>
      </c>
      <c r="I117" s="59" t="s">
        <v>47</v>
      </c>
      <c r="J117" s="32">
        <v>7.9100000000000004E-2</v>
      </c>
      <c r="K117" s="32">
        <v>7.7000000000000002E-3</v>
      </c>
      <c r="L117" s="32">
        <v>89</v>
      </c>
      <c r="M117" s="32">
        <v>169.09</v>
      </c>
      <c r="N117" s="32">
        <v>155.5</v>
      </c>
      <c r="O117" s="32">
        <v>-426.72</v>
      </c>
      <c r="P117" s="32">
        <v>-387.87</v>
      </c>
      <c r="Q117" s="33">
        <v>24.1</v>
      </c>
      <c r="R117" s="33">
        <v>4.2700000000000002E-2</v>
      </c>
      <c r="S117" s="33">
        <v>8.0400000000000003E-5</v>
      </c>
      <c r="T117" s="33">
        <v>-6.87E-8</v>
      </c>
      <c r="U117" s="32">
        <v>11.051</v>
      </c>
      <c r="V117" s="32">
        <v>19.536999999999999</v>
      </c>
      <c r="W117" s="32">
        <v>1317.23</v>
      </c>
      <c r="X117" s="32">
        <v>-2.5779999999999998</v>
      </c>
      <c r="Y117" s="27">
        <v>45.017440000000001</v>
      </c>
      <c r="Z117" s="27">
        <v>4</v>
      </c>
    </row>
    <row r="118" spans="8:26" x14ac:dyDescent="0.25">
      <c r="H118" s="27">
        <f t="shared" si="4"/>
        <v>0</v>
      </c>
      <c r="I118" s="59" t="s">
        <v>48</v>
      </c>
      <c r="J118" s="32">
        <v>4.8099999999999997E-2</v>
      </c>
      <c r="K118" s="32">
        <v>5.0000000000000001E-4</v>
      </c>
      <c r="L118" s="32">
        <v>82</v>
      </c>
      <c r="M118" s="32">
        <v>81.099999999999994</v>
      </c>
      <c r="N118" s="32">
        <v>53.6</v>
      </c>
      <c r="O118" s="32">
        <v>-337.92</v>
      </c>
      <c r="P118" s="32">
        <v>-301.95</v>
      </c>
      <c r="Q118" s="33">
        <v>24.5</v>
      </c>
      <c r="R118" s="33">
        <v>4.02E-2</v>
      </c>
      <c r="S118" s="33">
        <v>4.0200000000000001E-5</v>
      </c>
      <c r="T118" s="33">
        <v>-4.5200000000000001E-8</v>
      </c>
      <c r="U118" s="32">
        <v>6.9589999999999996</v>
      </c>
      <c r="V118" s="32">
        <v>9.6329999999999991</v>
      </c>
      <c r="W118" s="32">
        <v>483.88</v>
      </c>
      <c r="X118" s="32">
        <v>-0.96599999999999997</v>
      </c>
      <c r="Y118" s="27">
        <v>44.009500000000003</v>
      </c>
      <c r="Z118" s="27">
        <v>3</v>
      </c>
    </row>
    <row r="119" spans="8:26" x14ac:dyDescent="0.25">
      <c r="H119" s="27">
        <f t="shared" si="4"/>
        <v>0</v>
      </c>
      <c r="I119" s="31" t="s">
        <v>61</v>
      </c>
      <c r="J119" s="32" t="s">
        <v>49</v>
      </c>
      <c r="K119" s="32">
        <v>1.01E-2</v>
      </c>
      <c r="L119" s="32">
        <v>36</v>
      </c>
      <c r="M119" s="32">
        <v>-10.5</v>
      </c>
      <c r="N119" s="32">
        <v>2.08</v>
      </c>
      <c r="O119" s="32">
        <v>-247.61</v>
      </c>
      <c r="P119" s="32">
        <v>-250.83</v>
      </c>
      <c r="Q119" s="32">
        <v>6.82</v>
      </c>
      <c r="R119" s="33">
        <v>1.9599999999999999E-2</v>
      </c>
      <c r="S119" s="33">
        <v>1.27E-5</v>
      </c>
      <c r="T119" s="33">
        <v>-1.7800000000000001E-8</v>
      </c>
      <c r="U119" s="32">
        <v>3.6240000000000001</v>
      </c>
      <c r="V119" s="32">
        <v>5.9089999999999998</v>
      </c>
      <c r="W119" s="32">
        <v>675.24</v>
      </c>
      <c r="X119" s="32">
        <v>-1.34</v>
      </c>
      <c r="Y119" s="27">
        <v>15.9994</v>
      </c>
      <c r="Z119" s="27">
        <v>1</v>
      </c>
    </row>
    <row r="120" spans="8:26" x14ac:dyDescent="0.25">
      <c r="H120" s="27"/>
      <c r="I120" s="30" t="s">
        <v>50</v>
      </c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spans="8:26" x14ac:dyDescent="0.25">
      <c r="H121" s="27">
        <f>G19</f>
        <v>0</v>
      </c>
      <c r="I121" s="31" t="s">
        <v>64</v>
      </c>
      <c r="J121" s="32">
        <v>2.4299999999999999E-2</v>
      </c>
      <c r="K121" s="32">
        <v>1.09E-2</v>
      </c>
      <c r="L121" s="32">
        <v>38</v>
      </c>
      <c r="M121" s="32">
        <v>73.23</v>
      </c>
      <c r="N121" s="32">
        <v>66.89</v>
      </c>
      <c r="O121" s="32">
        <v>-22.02</v>
      </c>
      <c r="P121" s="32">
        <v>14.07</v>
      </c>
      <c r="Q121" s="33">
        <v>26.9</v>
      </c>
      <c r="R121" s="33">
        <v>-4.1200000000000001E-2</v>
      </c>
      <c r="S121" s="33">
        <v>1.64E-4</v>
      </c>
      <c r="T121" s="33">
        <v>-9.76E-8</v>
      </c>
      <c r="U121" s="32">
        <v>3.5150000000000001</v>
      </c>
      <c r="V121" s="32">
        <v>10.788</v>
      </c>
      <c r="W121" s="32"/>
      <c r="X121" s="32"/>
      <c r="Y121" s="27">
        <v>16.022580000000001</v>
      </c>
      <c r="Z121" s="27">
        <v>3</v>
      </c>
    </row>
    <row r="122" spans="8:26" x14ac:dyDescent="0.25">
      <c r="H122" s="27">
        <f t="shared" ref="H122:H129" si="5">G20</f>
        <v>0</v>
      </c>
      <c r="I122" s="59" t="s">
        <v>51</v>
      </c>
      <c r="J122" s="32">
        <v>2.9499999999999998E-2</v>
      </c>
      <c r="K122" s="32">
        <v>7.7000000000000002E-3</v>
      </c>
      <c r="L122" s="32">
        <v>35</v>
      </c>
      <c r="M122" s="32">
        <v>50.17</v>
      </c>
      <c r="N122" s="32">
        <v>52.66</v>
      </c>
      <c r="O122" s="32">
        <v>53.47</v>
      </c>
      <c r="P122" s="32">
        <v>89.39</v>
      </c>
      <c r="Q122" s="32">
        <v>-1.21</v>
      </c>
      <c r="R122" s="33">
        <v>7.6200000000000004E-2</v>
      </c>
      <c r="S122" s="33">
        <v>-4.8600000000000002E-5</v>
      </c>
      <c r="T122" s="33">
        <v>1.05E-8</v>
      </c>
      <c r="U122" s="32">
        <v>5.0990000000000002</v>
      </c>
      <c r="V122" s="32">
        <v>6.4359999999999999</v>
      </c>
      <c r="W122" s="32"/>
      <c r="X122" s="32"/>
      <c r="Y122" s="27">
        <v>15.01464</v>
      </c>
      <c r="Z122" s="27">
        <v>2</v>
      </c>
    </row>
    <row r="123" spans="8:26" x14ac:dyDescent="0.25">
      <c r="H123" s="27">
        <f t="shared" si="5"/>
        <v>0</v>
      </c>
      <c r="I123" s="59" t="s">
        <v>52</v>
      </c>
      <c r="J123" s="32">
        <v>1.2999999999999999E-2</v>
      </c>
      <c r="K123" s="32">
        <v>1.14E-2</v>
      </c>
      <c r="L123" s="32">
        <v>29</v>
      </c>
      <c r="M123" s="32">
        <v>52.82</v>
      </c>
      <c r="N123" s="32">
        <v>101.51</v>
      </c>
      <c r="O123" s="32">
        <v>31.65</v>
      </c>
      <c r="P123" s="32">
        <v>75.61</v>
      </c>
      <c r="Q123" s="33">
        <v>11.8</v>
      </c>
      <c r="R123" s="33">
        <v>-2.3E-2</v>
      </c>
      <c r="S123" s="33">
        <v>1.07E-4</v>
      </c>
      <c r="T123" s="33">
        <v>-6.2800000000000006E-8</v>
      </c>
      <c r="U123" s="32">
        <v>7.49</v>
      </c>
      <c r="V123" s="32">
        <v>6.93</v>
      </c>
      <c r="W123" s="32"/>
      <c r="X123" s="32"/>
      <c r="Y123" s="27">
        <v>15.01464</v>
      </c>
      <c r="Z123" s="27">
        <v>2</v>
      </c>
    </row>
    <row r="124" spans="8:26" x14ac:dyDescent="0.25">
      <c r="H124" s="27">
        <f t="shared" si="5"/>
        <v>0</v>
      </c>
      <c r="I124" s="59" t="s">
        <v>53</v>
      </c>
      <c r="J124" s="32">
        <v>1.6899999999999998E-2</v>
      </c>
      <c r="K124" s="32">
        <v>7.4000000000000003E-3</v>
      </c>
      <c r="L124" s="32">
        <v>9</v>
      </c>
      <c r="M124" s="32">
        <v>11.74</v>
      </c>
      <c r="N124" s="32">
        <v>48.84</v>
      </c>
      <c r="O124" s="32">
        <v>123.34</v>
      </c>
      <c r="P124" s="32">
        <v>163.16</v>
      </c>
      <c r="Q124" s="33">
        <v>-31.1</v>
      </c>
      <c r="R124" s="33">
        <v>0.22700000000000001</v>
      </c>
      <c r="S124" s="33">
        <v>-3.2000000000000003E-4</v>
      </c>
      <c r="T124" s="33">
        <v>1.4600000000000001E-7</v>
      </c>
      <c r="U124" s="32">
        <v>4.7030000000000003</v>
      </c>
      <c r="V124" s="32">
        <v>1.8959999999999999</v>
      </c>
      <c r="W124" s="32"/>
      <c r="X124" s="32"/>
      <c r="Y124" s="27">
        <v>14.0067</v>
      </c>
      <c r="Z124" s="27">
        <v>1</v>
      </c>
    </row>
    <row r="125" spans="8:26" x14ac:dyDescent="0.25">
      <c r="H125" s="27">
        <f t="shared" si="5"/>
        <v>0</v>
      </c>
      <c r="I125" s="59" t="s">
        <v>54</v>
      </c>
      <c r="J125" s="32">
        <v>2.5499999999999998E-2</v>
      </c>
      <c r="K125" s="32">
        <v>-9.9000000000000008E-3</v>
      </c>
      <c r="L125" s="32"/>
      <c r="M125" s="32">
        <v>74.599999999999994</v>
      </c>
      <c r="N125" s="32"/>
      <c r="O125" s="32">
        <v>23.61</v>
      </c>
      <c r="P125" s="32"/>
      <c r="Q125" s="32"/>
      <c r="R125" s="32"/>
      <c r="S125" s="32"/>
      <c r="T125" s="32"/>
      <c r="U125" s="32"/>
      <c r="V125" s="32">
        <v>3.335</v>
      </c>
      <c r="W125" s="32"/>
      <c r="X125" s="32"/>
      <c r="Y125" s="27">
        <v>14.0067</v>
      </c>
      <c r="Z125" s="27">
        <v>1</v>
      </c>
    </row>
    <row r="126" spans="8:26" x14ac:dyDescent="0.25">
      <c r="H126" s="27">
        <f t="shared" si="5"/>
        <v>0</v>
      </c>
      <c r="I126" s="59" t="s">
        <v>55</v>
      </c>
      <c r="J126" s="32">
        <v>8.5000000000000006E-3</v>
      </c>
      <c r="K126" s="32">
        <v>7.6E-3</v>
      </c>
      <c r="L126" s="32">
        <v>34</v>
      </c>
      <c r="M126" s="32">
        <v>57.55</v>
      </c>
      <c r="N126" s="32">
        <v>68.400000000000006</v>
      </c>
      <c r="O126" s="32">
        <v>55.52</v>
      </c>
      <c r="P126" s="32">
        <v>79.930000000000007</v>
      </c>
      <c r="Q126" s="32">
        <v>8.83</v>
      </c>
      <c r="R126" s="33">
        <v>-3.8400000000000001E-3</v>
      </c>
      <c r="S126" s="33">
        <v>4.35E-5</v>
      </c>
      <c r="T126" s="33">
        <v>-2.6000000000000001E-8</v>
      </c>
      <c r="U126" s="32">
        <v>3.649</v>
      </c>
      <c r="V126" s="32">
        <v>6.5279999999999996</v>
      </c>
      <c r="W126" s="32"/>
      <c r="X126" s="32"/>
      <c r="Y126" s="27">
        <v>14.0067</v>
      </c>
      <c r="Z126" s="27">
        <v>1</v>
      </c>
    </row>
    <row r="127" spans="8:26" x14ac:dyDescent="0.25">
      <c r="H127" s="27">
        <f t="shared" si="5"/>
        <v>0</v>
      </c>
      <c r="I127" s="31" t="s">
        <v>62</v>
      </c>
      <c r="J127" s="32"/>
      <c r="K127" s="32"/>
      <c r="L127" s="32"/>
      <c r="M127" s="32">
        <v>83.08</v>
      </c>
      <c r="N127" s="32">
        <v>68.91</v>
      </c>
      <c r="O127" s="32">
        <v>93.7</v>
      </c>
      <c r="P127" s="32">
        <v>119.66</v>
      </c>
      <c r="Q127" s="32">
        <v>5.69</v>
      </c>
      <c r="R127" s="33">
        <v>-4.1200000000000004E-3</v>
      </c>
      <c r="S127" s="33">
        <v>1.2799999999999999E-4</v>
      </c>
      <c r="T127" s="33">
        <v>-8.8800000000000001E-8</v>
      </c>
      <c r="U127" s="32" t="s">
        <v>28</v>
      </c>
      <c r="V127" s="32">
        <v>12.169</v>
      </c>
      <c r="W127" s="32"/>
      <c r="X127" s="32"/>
      <c r="Y127" s="27">
        <v>15.01464</v>
      </c>
      <c r="Z127" s="27">
        <v>2</v>
      </c>
    </row>
    <row r="128" spans="8:26" x14ac:dyDescent="0.25">
      <c r="H128" s="27">
        <f t="shared" si="5"/>
        <v>0</v>
      </c>
      <c r="I128" s="59" t="s">
        <v>56</v>
      </c>
      <c r="J128" s="32">
        <v>4.9599999999999998E-2</v>
      </c>
      <c r="K128" s="32">
        <v>-1.01E-2</v>
      </c>
      <c r="L128" s="32">
        <v>91</v>
      </c>
      <c r="M128" s="32">
        <v>125.66</v>
      </c>
      <c r="N128" s="32">
        <v>59.89</v>
      </c>
      <c r="O128" s="32">
        <v>88.43</v>
      </c>
      <c r="P128" s="32">
        <v>89.22</v>
      </c>
      <c r="Q128" s="33">
        <v>36.5</v>
      </c>
      <c r="R128" s="33">
        <v>-7.3300000000000004E-2</v>
      </c>
      <c r="S128" s="33">
        <v>1.84E-4</v>
      </c>
      <c r="T128" s="33">
        <v>-1.03E-7</v>
      </c>
      <c r="U128" s="32">
        <v>2.4140000000000001</v>
      </c>
      <c r="V128" s="32">
        <v>12.851000000000001</v>
      </c>
      <c r="W128" s="32"/>
      <c r="X128" s="32"/>
      <c r="Y128" s="27">
        <v>26.017400000000002</v>
      </c>
      <c r="Z128" s="27">
        <v>2</v>
      </c>
    </row>
    <row r="129" spans="8:26" x14ac:dyDescent="0.25">
      <c r="H129" s="27">
        <f t="shared" si="5"/>
        <v>1</v>
      </c>
      <c r="I129" s="31" t="s">
        <v>65</v>
      </c>
      <c r="J129" s="32">
        <v>4.3700000000000003E-2</v>
      </c>
      <c r="K129" s="32">
        <v>6.4000000000000003E-3</v>
      </c>
      <c r="L129" s="32">
        <v>91</v>
      </c>
      <c r="M129" s="32">
        <v>152.54</v>
      </c>
      <c r="N129" s="32">
        <v>127.24</v>
      </c>
      <c r="O129" s="32">
        <v>-66.569999999999993</v>
      </c>
      <c r="P129" s="32">
        <v>-16.829999999999998</v>
      </c>
      <c r="Q129" s="33">
        <v>25.9</v>
      </c>
      <c r="R129" s="33">
        <v>-3.7399999999999998E-3</v>
      </c>
      <c r="S129" s="33">
        <v>1.2899999999999999E-4</v>
      </c>
      <c r="T129" s="33">
        <v>-8.8800000000000001E-8</v>
      </c>
      <c r="U129" s="32">
        <v>9.6790000000000003</v>
      </c>
      <c r="V129" s="32">
        <v>16.738</v>
      </c>
      <c r="W129" s="32"/>
      <c r="X129" s="32"/>
      <c r="Y129" s="27">
        <v>46.005499999999998</v>
      </c>
      <c r="Z129" s="27">
        <v>3</v>
      </c>
    </row>
    <row r="130" spans="8:26" x14ac:dyDescent="0.25">
      <c r="H130" s="27"/>
      <c r="I130" s="30" t="s">
        <v>57</v>
      </c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spans="8:26" x14ac:dyDescent="0.25">
      <c r="H131" s="27">
        <f>G29</f>
        <v>0</v>
      </c>
      <c r="I131" s="59" t="s">
        <v>58</v>
      </c>
      <c r="J131" s="32">
        <v>3.0999999999999999E-3</v>
      </c>
      <c r="K131" s="32">
        <v>8.3999999999999995E-3</v>
      </c>
      <c r="L131" s="32">
        <v>63</v>
      </c>
      <c r="M131" s="32">
        <v>63.56</v>
      </c>
      <c r="N131" s="32">
        <v>20.09</v>
      </c>
      <c r="O131" s="32">
        <v>-17.329999999999998</v>
      </c>
      <c r="P131" s="32">
        <v>-22.99</v>
      </c>
      <c r="Q131" s="33">
        <v>35.299999999999997</v>
      </c>
      <c r="R131" s="33">
        <v>-7.5800000000000006E-2</v>
      </c>
      <c r="S131" s="33">
        <v>1.85E-4</v>
      </c>
      <c r="T131" s="33">
        <v>-1.03E-7</v>
      </c>
      <c r="U131" s="32">
        <v>2.36</v>
      </c>
      <c r="V131" s="32">
        <v>6.8840000000000003</v>
      </c>
      <c r="W131" s="32"/>
      <c r="X131" s="32"/>
      <c r="Y131" s="27">
        <v>33.072939999999996</v>
      </c>
      <c r="Z131" s="27">
        <v>2</v>
      </c>
    </row>
    <row r="132" spans="8:26" x14ac:dyDescent="0.25">
      <c r="H132" s="27">
        <f t="shared" ref="H132:H133" si="6">G30</f>
        <v>0</v>
      </c>
      <c r="I132" s="59" t="s">
        <v>59</v>
      </c>
      <c r="J132" s="32">
        <v>1.1900000000000001E-2</v>
      </c>
      <c r="K132" s="32">
        <v>4.8999999999999998E-3</v>
      </c>
      <c r="L132" s="32">
        <v>54</v>
      </c>
      <c r="M132" s="32">
        <v>68.78</v>
      </c>
      <c r="N132" s="32">
        <v>34.4</v>
      </c>
      <c r="O132" s="32">
        <v>41.87</v>
      </c>
      <c r="P132" s="32">
        <v>33.119999999999997</v>
      </c>
      <c r="Q132" s="33">
        <v>19.600000000000001</v>
      </c>
      <c r="R132" s="33">
        <v>-5.6100000000000004E-3</v>
      </c>
      <c r="S132" s="33">
        <v>4.0200000000000001E-5</v>
      </c>
      <c r="T132" s="33">
        <v>-2.7599999999999999E-8</v>
      </c>
      <c r="U132" s="32">
        <v>4.13</v>
      </c>
      <c r="V132" s="32">
        <v>6.8170000000000002</v>
      </c>
      <c r="W132" s="32"/>
      <c r="X132" s="32"/>
      <c r="Y132" s="27">
        <v>32.064999999999998</v>
      </c>
      <c r="Z132" s="27">
        <v>1</v>
      </c>
    </row>
    <row r="133" spans="8:26" x14ac:dyDescent="0.25">
      <c r="H133" s="27">
        <f t="shared" si="6"/>
        <v>0</v>
      </c>
      <c r="I133" s="59" t="s">
        <v>60</v>
      </c>
      <c r="J133" s="32">
        <v>1.9E-3</v>
      </c>
      <c r="K133" s="32">
        <v>5.1000000000000004E-3</v>
      </c>
      <c r="L133" s="32">
        <v>38</v>
      </c>
      <c r="M133" s="32">
        <v>52.1</v>
      </c>
      <c r="N133" s="32">
        <v>79.930000000000007</v>
      </c>
      <c r="O133" s="32">
        <v>39.1</v>
      </c>
      <c r="P133" s="32">
        <v>27.76</v>
      </c>
      <c r="Q133" s="33">
        <v>16.7</v>
      </c>
      <c r="R133" s="33">
        <v>4.81E-3</v>
      </c>
      <c r="S133" s="33">
        <v>2.7699999999999999E-5</v>
      </c>
      <c r="T133" s="33">
        <v>-2.11E-8</v>
      </c>
      <c r="U133" s="32">
        <v>1.5569999999999999</v>
      </c>
      <c r="V133" s="32">
        <v>5.984</v>
      </c>
      <c r="W133" s="32"/>
      <c r="X133" s="32"/>
      <c r="Y133" s="27">
        <v>32.064999999999998</v>
      </c>
      <c r="Z133" s="27">
        <v>1</v>
      </c>
    </row>
    <row r="136" spans="8:26" x14ac:dyDescent="0.25">
      <c r="I136" s="10" t="s">
        <v>93</v>
      </c>
    </row>
    <row r="137" spans="8:26" x14ac:dyDescent="0.25">
      <c r="I137" t="s">
        <v>68</v>
      </c>
      <c r="J137">
        <f>G37*0.98692327</f>
        <v>58.758863335429062</v>
      </c>
      <c r="K137" t="s">
        <v>84</v>
      </c>
    </row>
    <row r="138" spans="8:26" x14ac:dyDescent="0.25">
      <c r="I138" t="s">
        <v>85</v>
      </c>
      <c r="J138">
        <f>G35/G36</f>
        <v>0.66361228999999999</v>
      </c>
    </row>
    <row r="139" spans="8:26" x14ac:dyDescent="0.25">
      <c r="I139" s="15" t="s">
        <v>86</v>
      </c>
      <c r="J139" s="16">
        <f>(-1*LN(J137)-5.92714+6.09648/J138 + 1.28862*LN(J138)-0.169347*(J138^6) )/(15.2518 - 15.6875/J138-13.4721*LN(J138)+0.43577*(J138^6) )</f>
        <v>0.48002250932157081</v>
      </c>
    </row>
    <row r="141" spans="8:26" x14ac:dyDescent="0.25">
      <c r="I141" s="6" t="s">
        <v>94</v>
      </c>
    </row>
    <row r="142" spans="8:26" x14ac:dyDescent="0.25">
      <c r="I142" t="s">
        <v>95</v>
      </c>
      <c r="J142" s="14">
        <f>Q83-37.93</f>
        <v>-79.600000000000009</v>
      </c>
    </row>
    <row r="143" spans="8:26" x14ac:dyDescent="0.25">
      <c r="I143" t="s">
        <v>96</v>
      </c>
      <c r="J143" s="14">
        <f>R83+0.21</f>
        <v>0.96285999999999994</v>
      </c>
    </row>
    <row r="144" spans="8:26" x14ac:dyDescent="0.25">
      <c r="I144" t="s">
        <v>66</v>
      </c>
      <c r="J144" s="4">
        <f>S83-0.000391</f>
        <v>-9.9656000000000007E-4</v>
      </c>
    </row>
    <row r="145" spans="9:10" x14ac:dyDescent="0.25">
      <c r="I145" t="s">
        <v>97</v>
      </c>
      <c r="J145">
        <f>T83+0.000000206</f>
        <v>3.9500000000000003E-7</v>
      </c>
    </row>
    <row r="147" spans="9:10" x14ac:dyDescent="0.25">
      <c r="I147" s="6" t="s">
        <v>103</v>
      </c>
    </row>
    <row r="148" spans="9:10" x14ac:dyDescent="0.25">
      <c r="I148" t="s">
        <v>95</v>
      </c>
      <c r="J148">
        <f>W83-597.82</f>
        <v>3458.95</v>
      </c>
    </row>
    <row r="149" spans="9:10" x14ac:dyDescent="0.25">
      <c r="I149" t="s">
        <v>96</v>
      </c>
      <c r="J149">
        <f>X83-11.202</f>
        <v>-21.323999999999998</v>
      </c>
    </row>
  </sheetData>
  <mergeCells count="19">
    <mergeCell ref="B2:G2"/>
    <mergeCell ref="B5:C5"/>
    <mergeCell ref="B7:C7"/>
    <mergeCell ref="E7:G7"/>
    <mergeCell ref="B18:C18"/>
    <mergeCell ref="E18:G18"/>
    <mergeCell ref="B24:C24"/>
    <mergeCell ref="E28:G28"/>
    <mergeCell ref="B33:G33"/>
    <mergeCell ref="I85:I86"/>
    <mergeCell ref="J85:L86"/>
    <mergeCell ref="O85:P85"/>
    <mergeCell ref="Q85:T86"/>
    <mergeCell ref="U85:V85"/>
    <mergeCell ref="W85:X86"/>
    <mergeCell ref="M86:N86"/>
    <mergeCell ref="O86:P86"/>
    <mergeCell ref="U86:V86"/>
    <mergeCell ref="M85:N85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71"/>
  <sheetViews>
    <sheetView showGridLines="0" workbookViewId="0">
      <selection activeCell="B8" sqref="B8"/>
    </sheetView>
  </sheetViews>
  <sheetFormatPr defaultRowHeight="15" x14ac:dyDescent="0.25"/>
  <cols>
    <col min="1" max="1" width="30.7109375" customWidth="1"/>
  </cols>
  <sheetData>
    <row r="1" spans="1:12" x14ac:dyDescent="0.25">
      <c r="A1" t="s">
        <v>115</v>
      </c>
      <c r="B1" t="s">
        <v>116</v>
      </c>
      <c r="H1" s="61"/>
      <c r="I1" s="62"/>
      <c r="J1" s="62"/>
      <c r="K1" s="62"/>
      <c r="L1" s="63"/>
    </row>
    <row r="2" spans="1:12" x14ac:dyDescent="0.25">
      <c r="A2" t="s">
        <v>117</v>
      </c>
      <c r="B2" t="s">
        <v>168</v>
      </c>
      <c r="H2" s="64"/>
      <c r="I2" s="65"/>
      <c r="J2" s="65"/>
      <c r="K2" s="65"/>
      <c r="L2" s="66"/>
    </row>
    <row r="3" spans="1:12" x14ac:dyDescent="0.25">
      <c r="A3" t="s">
        <v>119</v>
      </c>
      <c r="B3" t="s">
        <v>169</v>
      </c>
      <c r="H3" s="64"/>
      <c r="I3" s="65"/>
      <c r="J3" s="65"/>
      <c r="K3" s="65"/>
      <c r="L3" s="66"/>
    </row>
    <row r="4" spans="1:12" x14ac:dyDescent="0.25">
      <c r="A4" t="s">
        <v>121</v>
      </c>
      <c r="B4" t="s">
        <v>170</v>
      </c>
      <c r="H4" s="64"/>
      <c r="I4" s="65"/>
      <c r="J4" s="65"/>
      <c r="K4" s="65"/>
      <c r="L4" s="66"/>
    </row>
    <row r="5" spans="1:12" x14ac:dyDescent="0.25">
      <c r="A5" t="s">
        <v>123</v>
      </c>
      <c r="B5" t="s">
        <v>171</v>
      </c>
      <c r="H5" s="64"/>
      <c r="I5" s="65"/>
      <c r="J5" s="65"/>
      <c r="K5" s="65"/>
      <c r="L5" s="66"/>
    </row>
    <row r="6" spans="1:12" x14ac:dyDescent="0.25">
      <c r="A6" t="s">
        <v>125</v>
      </c>
      <c r="B6" t="s">
        <v>172</v>
      </c>
      <c r="H6" s="64"/>
      <c r="I6" s="65"/>
      <c r="J6" s="65"/>
      <c r="K6" s="65"/>
      <c r="L6" s="66"/>
    </row>
    <row r="7" spans="1:12" x14ac:dyDescent="0.25">
      <c r="A7" t="s">
        <v>126</v>
      </c>
      <c r="B7" t="s">
        <v>173</v>
      </c>
      <c r="H7" s="64"/>
      <c r="I7" s="65"/>
      <c r="J7" s="65"/>
      <c r="K7" s="65"/>
      <c r="L7" s="66"/>
    </row>
    <row r="8" spans="1:12" x14ac:dyDescent="0.25">
      <c r="A8" t="s">
        <v>128</v>
      </c>
      <c r="B8">
        <v>104.10939788818401</v>
      </c>
      <c r="H8" s="64"/>
      <c r="I8" s="65"/>
      <c r="J8" s="65"/>
      <c r="K8" s="65"/>
      <c r="L8" s="66"/>
    </row>
    <row r="9" spans="1:12" x14ac:dyDescent="0.25">
      <c r="A9" t="s">
        <v>129</v>
      </c>
      <c r="B9" t="s">
        <v>174</v>
      </c>
      <c r="H9" s="64"/>
      <c r="I9" s="65"/>
      <c r="J9" s="65"/>
      <c r="K9" s="65"/>
      <c r="L9" s="66"/>
    </row>
    <row r="10" spans="1:12" x14ac:dyDescent="0.25">
      <c r="A10" t="s">
        <v>129</v>
      </c>
      <c r="B10" t="s">
        <v>175</v>
      </c>
      <c r="H10" s="64"/>
      <c r="I10" s="65"/>
      <c r="J10" s="65"/>
      <c r="K10" s="65"/>
      <c r="L10" s="66"/>
    </row>
    <row r="11" spans="1:12" x14ac:dyDescent="0.25">
      <c r="A11" t="s">
        <v>129</v>
      </c>
      <c r="B11" t="s">
        <v>176</v>
      </c>
      <c r="H11" s="64"/>
      <c r="I11" s="65"/>
      <c r="J11" s="65"/>
      <c r="K11" s="65"/>
      <c r="L11" s="66"/>
    </row>
    <row r="12" spans="1:12" x14ac:dyDescent="0.25">
      <c r="A12" t="s">
        <v>129</v>
      </c>
      <c r="B12" t="s">
        <v>177</v>
      </c>
      <c r="H12" s="64"/>
      <c r="I12" s="65"/>
      <c r="J12" s="65"/>
      <c r="K12" s="65"/>
      <c r="L12" s="66"/>
    </row>
    <row r="13" spans="1:12" x14ac:dyDescent="0.25">
      <c r="A13" t="s">
        <v>129</v>
      </c>
      <c r="B13" t="s">
        <v>178</v>
      </c>
      <c r="H13" s="64"/>
      <c r="I13" s="65"/>
      <c r="J13" s="65"/>
      <c r="K13" s="65"/>
      <c r="L13" s="66"/>
    </row>
    <row r="14" spans="1:12" x14ac:dyDescent="0.25">
      <c r="A14" t="s">
        <v>129</v>
      </c>
      <c r="B14" t="s">
        <v>179</v>
      </c>
      <c r="H14" s="64"/>
      <c r="I14" s="65"/>
      <c r="J14" s="65"/>
      <c r="K14" s="65"/>
      <c r="L14" s="66"/>
    </row>
    <row r="15" spans="1:12" x14ac:dyDescent="0.25">
      <c r="A15" t="s">
        <v>129</v>
      </c>
      <c r="B15" t="s">
        <v>180</v>
      </c>
      <c r="H15" s="64"/>
      <c r="I15" s="65"/>
      <c r="J15" s="65"/>
      <c r="K15" s="65"/>
      <c r="L15" s="66"/>
    </row>
    <row r="16" spans="1:12" ht="15.75" thickBot="1" x14ac:dyDescent="0.3">
      <c r="A16" t="s">
        <v>129</v>
      </c>
      <c r="B16" t="s">
        <v>181</v>
      </c>
      <c r="H16" s="67"/>
      <c r="I16" s="68"/>
      <c r="J16" s="68"/>
      <c r="K16" s="68"/>
      <c r="L16" s="69"/>
    </row>
    <row r="17" spans="1:4" x14ac:dyDescent="0.25">
      <c r="A17" t="s">
        <v>129</v>
      </c>
      <c r="B17" t="s">
        <v>182</v>
      </c>
    </row>
    <row r="18" spans="1:4" x14ac:dyDescent="0.25">
      <c r="A18" t="s">
        <v>129</v>
      </c>
      <c r="B18" t="s">
        <v>183</v>
      </c>
    </row>
    <row r="19" spans="1:4" x14ac:dyDescent="0.25">
      <c r="A19" t="s">
        <v>129</v>
      </c>
      <c r="B19" t="s">
        <v>184</v>
      </c>
    </row>
    <row r="21" spans="1:4" x14ac:dyDescent="0.25">
      <c r="A21" t="s">
        <v>115</v>
      </c>
      <c r="B21" t="s">
        <v>116</v>
      </c>
      <c r="C21" t="s">
        <v>134</v>
      </c>
      <c r="D21" t="s">
        <v>135</v>
      </c>
    </row>
    <row r="22" spans="1:4" x14ac:dyDescent="0.25">
      <c r="A22" t="s">
        <v>185</v>
      </c>
      <c r="B22">
        <v>877</v>
      </c>
      <c r="D22" t="s">
        <v>67</v>
      </c>
    </row>
    <row r="23" spans="1:4" x14ac:dyDescent="0.25">
      <c r="A23" t="s">
        <v>186</v>
      </c>
      <c r="B23">
        <v>845.1</v>
      </c>
      <c r="D23" t="s">
        <v>67</v>
      </c>
    </row>
    <row r="24" spans="1:4" x14ac:dyDescent="0.25">
      <c r="A24" t="s">
        <v>187</v>
      </c>
      <c r="B24">
        <v>-3138.5</v>
      </c>
      <c r="C24">
        <v>0.5</v>
      </c>
      <c r="D24" t="s">
        <v>67</v>
      </c>
    </row>
    <row r="25" spans="1:4" x14ac:dyDescent="0.25">
      <c r="A25" t="s">
        <v>187</v>
      </c>
      <c r="B25">
        <v>-3126</v>
      </c>
      <c r="D25" t="s">
        <v>67</v>
      </c>
    </row>
    <row r="26" spans="1:4" x14ac:dyDescent="0.25">
      <c r="A26" t="s">
        <v>137</v>
      </c>
      <c r="B26">
        <v>277.89999999999998</v>
      </c>
      <c r="C26">
        <v>2</v>
      </c>
      <c r="D26" t="s">
        <v>67</v>
      </c>
    </row>
    <row r="27" spans="1:4" x14ac:dyDescent="0.25">
      <c r="A27" t="s">
        <v>137</v>
      </c>
      <c r="B27">
        <v>265.39999999999998</v>
      </c>
      <c r="D27" t="s">
        <v>67</v>
      </c>
    </row>
    <row r="28" spans="1:4" x14ac:dyDescent="0.25">
      <c r="A28" t="s">
        <v>188</v>
      </c>
      <c r="B28">
        <v>205.8</v>
      </c>
      <c r="C28">
        <v>0.9</v>
      </c>
      <c r="D28" t="s">
        <v>67</v>
      </c>
    </row>
    <row r="29" spans="1:4" x14ac:dyDescent="0.25">
      <c r="A29" t="s">
        <v>188</v>
      </c>
      <c r="B29">
        <v>193.3</v>
      </c>
      <c r="D29" t="s">
        <v>67</v>
      </c>
    </row>
    <row r="30" spans="1:4" x14ac:dyDescent="0.25">
      <c r="A30" t="s">
        <v>189</v>
      </c>
      <c r="B30">
        <v>72.099999999999994</v>
      </c>
      <c r="C30">
        <v>1.8</v>
      </c>
      <c r="D30" t="s">
        <v>67</v>
      </c>
    </row>
    <row r="31" spans="1:4" x14ac:dyDescent="0.25">
      <c r="A31" t="s">
        <v>189</v>
      </c>
      <c r="B31">
        <v>72.099999999999994</v>
      </c>
      <c r="D31" t="s">
        <v>67</v>
      </c>
    </row>
    <row r="32" spans="1:4" x14ac:dyDescent="0.25">
      <c r="A32" t="s">
        <v>189</v>
      </c>
      <c r="B32">
        <v>72.099999999999994</v>
      </c>
      <c r="C32">
        <v>1.8</v>
      </c>
      <c r="D32" t="s">
        <v>67</v>
      </c>
    </row>
    <row r="33" spans="1:5" x14ac:dyDescent="0.25">
      <c r="A33" t="s">
        <v>190</v>
      </c>
      <c r="B33">
        <v>10.4</v>
      </c>
      <c r="C33">
        <v>0.1</v>
      </c>
      <c r="D33" t="s">
        <v>191</v>
      </c>
    </row>
    <row r="34" spans="1:5" x14ac:dyDescent="0.25">
      <c r="A34" t="s">
        <v>190</v>
      </c>
      <c r="B34">
        <v>10.37</v>
      </c>
      <c r="D34" t="s">
        <v>191</v>
      </c>
    </row>
    <row r="35" spans="1:5" x14ac:dyDescent="0.25">
      <c r="A35" t="s">
        <v>190</v>
      </c>
      <c r="B35">
        <v>10.1</v>
      </c>
      <c r="D35" t="s">
        <v>191</v>
      </c>
    </row>
    <row r="36" spans="1:5" x14ac:dyDescent="0.25">
      <c r="A36" t="s">
        <v>140</v>
      </c>
      <c r="B36">
        <v>0.95328000000000002</v>
      </c>
    </row>
    <row r="37" spans="1:5" x14ac:dyDescent="0.25">
      <c r="A37" t="s">
        <v>142</v>
      </c>
      <c r="B37">
        <v>474.2</v>
      </c>
      <c r="D37" t="s">
        <v>101</v>
      </c>
    </row>
    <row r="38" spans="1:5" x14ac:dyDescent="0.25">
      <c r="A38" t="s">
        <v>142</v>
      </c>
      <c r="B38">
        <v>515.70000000000005</v>
      </c>
      <c r="D38" t="s">
        <v>101</v>
      </c>
    </row>
    <row r="39" spans="1:5" x14ac:dyDescent="0.25">
      <c r="A39" t="s">
        <v>142</v>
      </c>
      <c r="B39">
        <v>474</v>
      </c>
      <c r="C39">
        <v>1</v>
      </c>
      <c r="D39" t="s">
        <v>101</v>
      </c>
    </row>
    <row r="40" spans="1:5" x14ac:dyDescent="0.25">
      <c r="A40" t="s">
        <v>142</v>
      </c>
      <c r="B40">
        <v>479.85</v>
      </c>
      <c r="C40">
        <v>0.6</v>
      </c>
      <c r="D40" t="s">
        <v>101</v>
      </c>
    </row>
    <row r="41" spans="1:5" x14ac:dyDescent="0.25">
      <c r="A41" t="s">
        <v>144</v>
      </c>
      <c r="B41">
        <v>323.14999999999998</v>
      </c>
      <c r="C41">
        <v>1</v>
      </c>
      <c r="D41" t="s">
        <v>101</v>
      </c>
    </row>
    <row r="42" spans="1:5" x14ac:dyDescent="0.25">
      <c r="A42" t="s">
        <v>144</v>
      </c>
      <c r="B42">
        <v>323.64999999999998</v>
      </c>
      <c r="C42">
        <v>1</v>
      </c>
      <c r="D42" t="s">
        <v>101</v>
      </c>
    </row>
    <row r="44" spans="1:5" x14ac:dyDescent="0.25">
      <c r="A44" t="s">
        <v>115</v>
      </c>
      <c r="B44" t="s">
        <v>116</v>
      </c>
      <c r="C44" t="s">
        <v>134</v>
      </c>
      <c r="D44" t="s">
        <v>135</v>
      </c>
      <c r="E44" t="s">
        <v>147</v>
      </c>
    </row>
    <row r="45" spans="1:5" x14ac:dyDescent="0.25">
      <c r="A45" t="s">
        <v>192</v>
      </c>
      <c r="B45">
        <v>45</v>
      </c>
      <c r="D45" t="s">
        <v>67</v>
      </c>
      <c r="E45">
        <v>466</v>
      </c>
    </row>
    <row r="47" spans="1:5" x14ac:dyDescent="0.25">
      <c r="A47" t="s">
        <v>152</v>
      </c>
    </row>
    <row r="48" spans="1:5" x14ac:dyDescent="0.25">
      <c r="A48" t="s">
        <v>185</v>
      </c>
      <c r="B48" t="s">
        <v>193</v>
      </c>
    </row>
    <row r="49" spans="1:2" x14ac:dyDescent="0.25">
      <c r="A49" t="s">
        <v>186</v>
      </c>
      <c r="B49" t="s">
        <v>194</v>
      </c>
    </row>
    <row r="50" spans="1:2" x14ac:dyDescent="0.25">
      <c r="A50" t="s">
        <v>187</v>
      </c>
      <c r="B50" t="s">
        <v>195</v>
      </c>
    </row>
    <row r="51" spans="1:2" x14ac:dyDescent="0.25">
      <c r="A51" t="s">
        <v>137</v>
      </c>
      <c r="B51" t="s">
        <v>156</v>
      </c>
    </row>
    <row r="52" spans="1:2" x14ac:dyDescent="0.25">
      <c r="A52" t="s">
        <v>188</v>
      </c>
      <c r="B52" t="s">
        <v>196</v>
      </c>
    </row>
    <row r="53" spans="1:2" x14ac:dyDescent="0.25">
      <c r="A53" t="s">
        <v>189</v>
      </c>
      <c r="B53" t="s">
        <v>197</v>
      </c>
    </row>
    <row r="54" spans="1:2" x14ac:dyDescent="0.25">
      <c r="A54" t="s">
        <v>192</v>
      </c>
      <c r="B54" t="s">
        <v>198</v>
      </c>
    </row>
    <row r="55" spans="1:2" x14ac:dyDescent="0.25">
      <c r="A55" t="s">
        <v>190</v>
      </c>
      <c r="B55" t="s">
        <v>199</v>
      </c>
    </row>
    <row r="56" spans="1:2" x14ac:dyDescent="0.25">
      <c r="A56" t="s">
        <v>140</v>
      </c>
      <c r="B56" t="s">
        <v>159</v>
      </c>
    </row>
    <row r="57" spans="1:2" x14ac:dyDescent="0.25">
      <c r="A57" t="s">
        <v>142</v>
      </c>
      <c r="B57" t="s">
        <v>161</v>
      </c>
    </row>
    <row r="58" spans="1:2" x14ac:dyDescent="0.25">
      <c r="A58" t="s">
        <v>144</v>
      </c>
      <c r="B58" t="s">
        <v>163</v>
      </c>
    </row>
    <row r="60" spans="1:2" x14ac:dyDescent="0.25">
      <c r="A60" t="s">
        <v>200</v>
      </c>
    </row>
    <row r="61" spans="1:2" x14ac:dyDescent="0.25">
      <c r="A61" t="s">
        <v>201</v>
      </c>
      <c r="B61" s="60" t="s">
        <v>202</v>
      </c>
    </row>
    <row r="62" spans="1:2" x14ac:dyDescent="0.25">
      <c r="A62" t="s">
        <v>203</v>
      </c>
      <c r="B62" s="60" t="s">
        <v>204</v>
      </c>
    </row>
    <row r="63" spans="1:2" x14ac:dyDescent="0.25">
      <c r="A63" t="s">
        <v>203</v>
      </c>
      <c r="B63" s="60" t="s">
        <v>205</v>
      </c>
    </row>
    <row r="64" spans="1:2" x14ac:dyDescent="0.25">
      <c r="A64" t="s">
        <v>203</v>
      </c>
      <c r="B64" s="60" t="s">
        <v>206</v>
      </c>
    </row>
    <row r="65" spans="1:2" x14ac:dyDescent="0.25">
      <c r="A65" t="s">
        <v>203</v>
      </c>
      <c r="B65" s="60" t="s">
        <v>207</v>
      </c>
    </row>
    <row r="66" spans="1:2" x14ac:dyDescent="0.25">
      <c r="A66" t="s">
        <v>203</v>
      </c>
      <c r="B66" s="60" t="s">
        <v>208</v>
      </c>
    </row>
    <row r="67" spans="1:2" x14ac:dyDescent="0.25">
      <c r="A67" t="s">
        <v>203</v>
      </c>
      <c r="B67" s="60" t="s">
        <v>209</v>
      </c>
    </row>
    <row r="68" spans="1:2" x14ac:dyDescent="0.25">
      <c r="A68" t="s">
        <v>203</v>
      </c>
      <c r="B68" s="60" t="s">
        <v>210</v>
      </c>
    </row>
    <row r="70" spans="1:2" x14ac:dyDescent="0.25">
      <c r="A70" t="s">
        <v>211</v>
      </c>
      <c r="B70" s="60" t="s">
        <v>212</v>
      </c>
    </row>
    <row r="71" spans="1:2" x14ac:dyDescent="0.25">
      <c r="A71" t="s">
        <v>213</v>
      </c>
      <c r="B71" s="60" t="s">
        <v>214</v>
      </c>
    </row>
  </sheetData>
  <hyperlinks>
    <hyperlink ref="B61" r:id="rId1" xr:uid="{00000000-0004-0000-0500-000000000000}"/>
    <hyperlink ref="B62" r:id="rId2" xr:uid="{00000000-0004-0000-0500-000001000000}"/>
    <hyperlink ref="B63" r:id="rId3" xr:uid="{00000000-0004-0000-0500-000002000000}"/>
    <hyperlink ref="B64" r:id="rId4" xr:uid="{00000000-0004-0000-0500-000003000000}"/>
    <hyperlink ref="B65" r:id="rId5" xr:uid="{00000000-0004-0000-0500-000004000000}"/>
    <hyperlink ref="B66" r:id="rId6" xr:uid="{00000000-0004-0000-0500-000005000000}"/>
    <hyperlink ref="B67" r:id="rId7" xr:uid="{00000000-0004-0000-0500-000006000000}"/>
    <hyperlink ref="B68" r:id="rId8" xr:uid="{00000000-0004-0000-0500-000007000000}"/>
    <hyperlink ref="B70" r:id="rId9" xr:uid="{00000000-0004-0000-0500-000008000000}"/>
    <hyperlink ref="B71" r:id="rId10" xr:uid="{00000000-0004-0000-0500-000009000000}"/>
  </hyperlinks>
  <pageMargins left="0.7" right="0.7" top="0.75" bottom="0.75" header="0.3" footer="0.3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Heat Of Reaction MDNB</vt:lpstr>
      <vt:lpstr>Heat Of Reaction A-151</vt:lpstr>
      <vt:lpstr>4PA</vt:lpstr>
      <vt:lpstr>4POP</vt:lpstr>
      <vt:lpstr>X1</vt:lpstr>
      <vt:lpstr>MDNB</vt:lpstr>
      <vt:lpstr>MPDA</vt:lpstr>
      <vt:lpstr>ONP</vt:lpstr>
      <vt:lpstr>104</vt:lpstr>
      <vt:lpstr>181</vt:lpstr>
      <vt:lpstr>151</vt:lpstr>
      <vt:lpstr>'4POP'!Print_Area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Aarav</dc:creator>
  <cp:lastModifiedBy>Keyur Atodariya</cp:lastModifiedBy>
  <cp:lastPrinted>2017-04-24T15:57:20Z</cp:lastPrinted>
  <dcterms:created xsi:type="dcterms:W3CDTF">2017-03-28T17:09:26Z</dcterms:created>
  <dcterms:modified xsi:type="dcterms:W3CDTF">2022-10-04T08:51:16Z</dcterms:modified>
</cp:coreProperties>
</file>