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الايرادات" sheetId="1" r:id="rId1"/>
    <sheet name="المرتباب" sheetId="2" r:id="rId2"/>
    <sheet name="المصروفات العمومية" sheetId="3" r:id="rId3"/>
    <sheet name="تكاليف الايرادات" sheetId="4" r:id="rId4"/>
    <sheet name="التكاليف الاستثمارية" sheetId="5" r:id="rId5"/>
    <sheet name="رأس المال العامل" sheetId="6" r:id="rId6"/>
    <sheet name="قائمة الدخل المتوقعة" sheetId="7" r:id="rId7"/>
    <sheet name="Sheet1" sheetId="8" r:id="rId8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7" l="1"/>
  <c r="G51" i="7" l="1"/>
  <c r="G54" i="7" s="1"/>
  <c r="FI11" i="7" l="1"/>
  <c r="FI12" i="7" s="1"/>
  <c r="B7" i="3"/>
  <c r="FK14" i="7" l="1"/>
  <c r="C4" i="3"/>
  <c r="D4" i="3" s="1"/>
  <c r="E4" i="3" s="1"/>
  <c r="F4" i="3" s="1"/>
  <c r="G4" i="3" s="1"/>
  <c r="H4" i="3" s="1"/>
  <c r="I4" i="3" s="1"/>
  <c r="J4" i="3" s="1"/>
  <c r="K4" i="3" s="1"/>
  <c r="B4" i="6" l="1"/>
  <c r="B10" i="5"/>
  <c r="I40" i="7" s="1"/>
  <c r="C13" i="5"/>
  <c r="D13" i="5" s="1"/>
  <c r="S32" i="4"/>
  <c r="T32" i="4"/>
  <c r="U32" i="4"/>
  <c r="V32" i="4"/>
  <c r="AB21" i="4"/>
  <c r="B5" i="3"/>
  <c r="B6" i="3"/>
  <c r="E9" i="3"/>
  <c r="F9" i="3"/>
  <c r="G9" i="3"/>
  <c r="H9" i="3"/>
  <c r="I9" i="3"/>
  <c r="J9" i="3"/>
  <c r="K9" i="3"/>
  <c r="D9" i="3"/>
  <c r="C9" i="3"/>
  <c r="B9" i="3"/>
  <c r="J69" i="2"/>
  <c r="K69" i="2" s="1"/>
  <c r="L69" i="2" s="1"/>
  <c r="I69" i="2"/>
  <c r="H69" i="2"/>
  <c r="G69" i="2"/>
  <c r="F69" i="2"/>
  <c r="F77" i="2"/>
  <c r="Z9" i="1" l="1"/>
  <c r="Y9" i="1"/>
  <c r="AA8" i="1"/>
  <c r="AA7" i="1"/>
  <c r="AA6" i="1"/>
  <c r="AA5" i="1"/>
  <c r="AA9" i="1" s="1"/>
  <c r="AK7" i="1" l="1"/>
  <c r="AG7" i="1"/>
  <c r="AC7" i="1"/>
  <c r="N27" i="1" s="1"/>
  <c r="AE7" i="1"/>
  <c r="AJ7" i="1"/>
  <c r="AB7" i="1"/>
  <c r="AH7" i="1"/>
  <c r="AD7" i="1"/>
  <c r="AI7" i="1"/>
  <c r="AF7" i="1"/>
  <c r="AJ6" i="1"/>
  <c r="AJ9" i="1" s="1"/>
  <c r="AF6" i="1"/>
  <c r="AB6" i="1"/>
  <c r="M19" i="1" s="1"/>
  <c r="AH6" i="1"/>
  <c r="AE6" i="1"/>
  <c r="AK6" i="1"/>
  <c r="AG6" i="1"/>
  <c r="AC6" i="1"/>
  <c r="AD6" i="1"/>
  <c r="AI6" i="1"/>
  <c r="AH8" i="1"/>
  <c r="AD8" i="1"/>
  <c r="AJ8" i="1"/>
  <c r="AB8" i="1"/>
  <c r="AG8" i="1"/>
  <c r="AI8" i="1"/>
  <c r="AE8" i="1"/>
  <c r="AF8" i="1"/>
  <c r="AK8" i="1"/>
  <c r="AC8" i="1"/>
  <c r="AK5" i="1"/>
  <c r="AJ5" i="1"/>
  <c r="AI5" i="1"/>
  <c r="AI9" i="1" s="1"/>
  <c r="AH5" i="1"/>
  <c r="AG5" i="1"/>
  <c r="AF5" i="1"/>
  <c r="AE5" i="1"/>
  <c r="AD5" i="1"/>
  <c r="AC5" i="1"/>
  <c r="AB5" i="1"/>
  <c r="AK9" i="1"/>
  <c r="AG9" i="1"/>
  <c r="AF9" i="1"/>
  <c r="AE9" i="1"/>
  <c r="C19" i="5"/>
  <c r="D19" i="5" s="1"/>
  <c r="E19" i="5" s="1"/>
  <c r="F19" i="5" s="1"/>
  <c r="G19" i="5" s="1"/>
  <c r="D18" i="5"/>
  <c r="E18" i="5" s="1"/>
  <c r="F18" i="5" s="1"/>
  <c r="G18" i="5" s="1"/>
  <c r="C18" i="5"/>
  <c r="E17" i="5"/>
  <c r="F17" i="5" s="1"/>
  <c r="G17" i="5" s="1"/>
  <c r="C17" i="5"/>
  <c r="D17" i="5" s="1"/>
  <c r="B17" i="5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C14" i="5"/>
  <c r="D24" i="4"/>
  <c r="E24" i="4" s="1"/>
  <c r="F24" i="4" s="1"/>
  <c r="G24" i="4" s="1"/>
  <c r="H24" i="4" s="1"/>
  <c r="I24" i="4" s="1"/>
  <c r="J24" i="4" s="1"/>
  <c r="K24" i="4" s="1"/>
  <c r="C24" i="4"/>
  <c r="C23" i="4"/>
  <c r="D23" i="4" s="1"/>
  <c r="E23" i="4" s="1"/>
  <c r="F23" i="4" s="1"/>
  <c r="G23" i="4" s="1"/>
  <c r="H23" i="4" s="1"/>
  <c r="I23" i="4" s="1"/>
  <c r="J23" i="4" s="1"/>
  <c r="K23" i="4" s="1"/>
  <c r="C22" i="4"/>
  <c r="D22" i="4" s="1"/>
  <c r="E22" i="4" s="1"/>
  <c r="F22" i="4" s="1"/>
  <c r="G22" i="4" s="1"/>
  <c r="H22" i="4" s="1"/>
  <c r="I22" i="4" s="1"/>
  <c r="J22" i="4" s="1"/>
  <c r="K22" i="4" s="1"/>
  <c r="M21" i="4"/>
  <c r="C21" i="4"/>
  <c r="D21" i="4" s="1"/>
  <c r="E21" i="4" s="1"/>
  <c r="F21" i="4" s="1"/>
  <c r="G21" i="4" s="1"/>
  <c r="C18" i="4"/>
  <c r="D17" i="4"/>
  <c r="E17" i="4" s="1"/>
  <c r="C17" i="4"/>
  <c r="C16" i="4"/>
  <c r="C15" i="4"/>
  <c r="C12" i="4"/>
  <c r="D12" i="4" s="1"/>
  <c r="E12" i="4" s="1"/>
  <c r="C11" i="4"/>
  <c r="C10" i="4"/>
  <c r="C9" i="4"/>
  <c r="AA8" i="4"/>
  <c r="Z8" i="4"/>
  <c r="Y8" i="4"/>
  <c r="Z7" i="4"/>
  <c r="Y7" i="4"/>
  <c r="Z6" i="4"/>
  <c r="Y6" i="4"/>
  <c r="C6" i="4"/>
  <c r="D6" i="4" s="1"/>
  <c r="Z5" i="4"/>
  <c r="Y5" i="4"/>
  <c r="AA5" i="4" s="1"/>
  <c r="C5" i="4"/>
  <c r="Z4" i="4"/>
  <c r="Y4" i="4"/>
  <c r="B4" i="4"/>
  <c r="C3" i="4"/>
  <c r="B11" i="3"/>
  <c r="D10" i="3"/>
  <c r="E10" i="3" s="1"/>
  <c r="F10" i="3" s="1"/>
  <c r="G10" i="3" s="1"/>
  <c r="H10" i="3" s="1"/>
  <c r="I10" i="3" s="1"/>
  <c r="J10" i="3" s="1"/>
  <c r="K10" i="3" s="1"/>
  <c r="C10" i="3"/>
  <c r="C8" i="3"/>
  <c r="D8" i="3" s="1"/>
  <c r="E8" i="3" s="1"/>
  <c r="F8" i="3" s="1"/>
  <c r="G8" i="3" s="1"/>
  <c r="H8" i="3" s="1"/>
  <c r="I8" i="3" s="1"/>
  <c r="J8" i="3" s="1"/>
  <c r="K8" i="3" s="1"/>
  <c r="C7" i="3"/>
  <c r="D7" i="3" s="1"/>
  <c r="E7" i="3" s="1"/>
  <c r="F7" i="3" s="1"/>
  <c r="G7" i="3" s="1"/>
  <c r="H7" i="3" s="1"/>
  <c r="I7" i="3" s="1"/>
  <c r="J7" i="3" s="1"/>
  <c r="K7" i="3" s="1"/>
  <c r="C6" i="3"/>
  <c r="D6" i="3" s="1"/>
  <c r="E6" i="3" s="1"/>
  <c r="F6" i="3" s="1"/>
  <c r="G6" i="3" s="1"/>
  <c r="H6" i="3" s="1"/>
  <c r="I6" i="3" s="1"/>
  <c r="J6" i="3" s="1"/>
  <c r="K6" i="3" s="1"/>
  <c r="C5" i="3"/>
  <c r="D5" i="3" s="1"/>
  <c r="E5" i="3" s="1"/>
  <c r="F5" i="3" s="1"/>
  <c r="G5" i="3" s="1"/>
  <c r="H5" i="3" s="1"/>
  <c r="I5" i="3" s="1"/>
  <c r="J5" i="3" s="1"/>
  <c r="K5" i="3" s="1"/>
  <c r="C3" i="3"/>
  <c r="C11" i="3" s="1"/>
  <c r="D11" i="7" s="1"/>
  <c r="M65" i="2"/>
  <c r="E63" i="2"/>
  <c r="D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63" i="2" s="1"/>
  <c r="C69" i="2" s="1"/>
  <c r="D69" i="2" s="1"/>
  <c r="E69" i="2" s="1"/>
  <c r="M69" i="2" s="1"/>
  <c r="N69" i="2" s="1"/>
  <c r="F4" i="2"/>
  <c r="F63" i="2" s="1"/>
  <c r="C68" i="2" s="1"/>
  <c r="D68" i="2" s="1"/>
  <c r="E68" i="2" s="1"/>
  <c r="M35" i="1"/>
  <c r="M34" i="1"/>
  <c r="M32" i="1"/>
  <c r="C31" i="1"/>
  <c r="D31" i="1" s="1"/>
  <c r="AE30" i="1"/>
  <c r="AD30" i="1"/>
  <c r="AC30" i="1"/>
  <c r="AB30" i="1"/>
  <c r="AA30" i="1"/>
  <c r="Z30" i="1"/>
  <c r="D30" i="1"/>
  <c r="E30" i="1" s="1"/>
  <c r="C30" i="1"/>
  <c r="C29" i="1"/>
  <c r="D29" i="1" s="1"/>
  <c r="N28" i="1"/>
  <c r="M28" i="1"/>
  <c r="C28" i="1"/>
  <c r="D28" i="1" s="1"/>
  <c r="O27" i="1"/>
  <c r="M27" i="1"/>
  <c r="AE26" i="1"/>
  <c r="AD26" i="1"/>
  <c r="AC26" i="1"/>
  <c r="AB26" i="1"/>
  <c r="AA26" i="1"/>
  <c r="Z26" i="1"/>
  <c r="N26" i="1"/>
  <c r="M26" i="1"/>
  <c r="M25" i="1"/>
  <c r="D25" i="1"/>
  <c r="E25" i="1" s="1"/>
  <c r="C25" i="1"/>
  <c r="N35" i="1" s="1"/>
  <c r="E24" i="1"/>
  <c r="P34" i="1" s="1"/>
  <c r="D24" i="1"/>
  <c r="O34" i="1" s="1"/>
  <c r="C24" i="1"/>
  <c r="N34" i="1" s="1"/>
  <c r="C23" i="1"/>
  <c r="N33" i="1" s="1"/>
  <c r="AE22" i="1"/>
  <c r="AD22" i="1"/>
  <c r="AC22" i="1"/>
  <c r="AB22" i="1"/>
  <c r="AA22" i="1"/>
  <c r="Z22" i="1"/>
  <c r="C22" i="1"/>
  <c r="D22" i="1" s="1"/>
  <c r="M21" i="1"/>
  <c r="M20" i="1"/>
  <c r="E19" i="1"/>
  <c r="P21" i="1" s="1"/>
  <c r="D19" i="1"/>
  <c r="O21" i="1" s="1"/>
  <c r="C19" i="1"/>
  <c r="N21" i="1" s="1"/>
  <c r="M18" i="1"/>
  <c r="D18" i="1"/>
  <c r="E18" i="1" s="1"/>
  <c r="C18" i="1"/>
  <c r="E17" i="1"/>
  <c r="P19" i="1" s="1"/>
  <c r="D17" i="1"/>
  <c r="C17" i="1"/>
  <c r="N19" i="1" s="1"/>
  <c r="C16" i="1"/>
  <c r="D16" i="1" s="1"/>
  <c r="AE15" i="1"/>
  <c r="AD15" i="1"/>
  <c r="AC15" i="1"/>
  <c r="AB15" i="1"/>
  <c r="AA15" i="1"/>
  <c r="Z15" i="1"/>
  <c r="M14" i="1"/>
  <c r="M13" i="1"/>
  <c r="D13" i="1"/>
  <c r="E13" i="1" s="1"/>
  <c r="C13" i="1"/>
  <c r="N14" i="1" s="1"/>
  <c r="M12" i="1"/>
  <c r="C12" i="1"/>
  <c r="M11" i="1"/>
  <c r="C11" i="1"/>
  <c r="N12" i="1" s="1"/>
  <c r="C10" i="1"/>
  <c r="D10" i="1" s="1"/>
  <c r="M7" i="1"/>
  <c r="D7" i="1"/>
  <c r="E7" i="1" s="1"/>
  <c r="C7" i="1"/>
  <c r="N7" i="1" s="1"/>
  <c r="M6" i="1"/>
  <c r="C6" i="1"/>
  <c r="D6" i="1" s="1"/>
  <c r="M5" i="1"/>
  <c r="C5" i="1"/>
  <c r="N5" i="1" s="1"/>
  <c r="M4" i="1"/>
  <c r="C4" i="1"/>
  <c r="N13" i="1" l="1"/>
  <c r="N20" i="1"/>
  <c r="M33" i="1"/>
  <c r="AB9" i="1"/>
  <c r="O19" i="1"/>
  <c r="AA7" i="4"/>
  <c r="AK7" i="4" s="1"/>
  <c r="AH9" i="1"/>
  <c r="C11" i="7"/>
  <c r="C106" i="7" s="1"/>
  <c r="B5" i="6"/>
  <c r="AA6" i="4"/>
  <c r="AH7" i="4"/>
  <c r="AB7" i="4"/>
  <c r="M13" i="4" s="1"/>
  <c r="AI5" i="4"/>
  <c r="AC5" i="4"/>
  <c r="N11" i="4" s="1"/>
  <c r="AJ5" i="4"/>
  <c r="AH5" i="4"/>
  <c r="AF5" i="4"/>
  <c r="AD5" i="4"/>
  <c r="AG5" i="4"/>
  <c r="AK5" i="4"/>
  <c r="AB5" i="4"/>
  <c r="M11" i="4" s="1"/>
  <c r="AA4" i="4"/>
  <c r="M15" i="1"/>
  <c r="D14" i="5"/>
  <c r="E14" i="5" s="1"/>
  <c r="F14" i="5" s="1"/>
  <c r="G14" i="5" s="1"/>
  <c r="H14" i="5" s="1"/>
  <c r="I14" i="5" s="1"/>
  <c r="J14" i="5" s="1"/>
  <c r="K14" i="5" s="1"/>
  <c r="L14" i="5" s="1"/>
  <c r="M14" i="5" s="1"/>
  <c r="C20" i="5"/>
  <c r="M22" i="1"/>
  <c r="M36" i="1"/>
  <c r="M8" i="1"/>
  <c r="M29" i="1"/>
  <c r="E29" i="1"/>
  <c r="O26" i="1"/>
  <c r="P7" i="1"/>
  <c r="F7" i="1"/>
  <c r="P14" i="1"/>
  <c r="F13" i="1"/>
  <c r="E28" i="1"/>
  <c r="E31" i="1"/>
  <c r="O28" i="1"/>
  <c r="F30" i="1"/>
  <c r="P27" i="1"/>
  <c r="M32" i="4"/>
  <c r="C10" i="7"/>
  <c r="F68" i="2"/>
  <c r="O6" i="1"/>
  <c r="E6" i="1"/>
  <c r="E16" i="1"/>
  <c r="E10" i="1"/>
  <c r="F18" i="1"/>
  <c r="P20" i="1"/>
  <c r="E22" i="1"/>
  <c r="P35" i="1"/>
  <c r="F25" i="1"/>
  <c r="D5" i="1"/>
  <c r="N6" i="1"/>
  <c r="O7" i="1"/>
  <c r="D11" i="1"/>
  <c r="O20" i="1"/>
  <c r="D23" i="1"/>
  <c r="O35" i="1"/>
  <c r="D3" i="3"/>
  <c r="C26" i="7"/>
  <c r="E6" i="4"/>
  <c r="D4" i="1"/>
  <c r="F12" i="4"/>
  <c r="F17" i="4"/>
  <c r="O14" i="1"/>
  <c r="F17" i="1"/>
  <c r="F19" i="1"/>
  <c r="D12" i="1"/>
  <c r="F24" i="1"/>
  <c r="D106" i="7"/>
  <c r="D26" i="7"/>
  <c r="D122" i="7" s="1"/>
  <c r="D71" i="7"/>
  <c r="D87" i="7" s="1"/>
  <c r="H21" i="4"/>
  <c r="C4" i="4"/>
  <c r="D3" i="4"/>
  <c r="D5" i="4"/>
  <c r="D9" i="4"/>
  <c r="D11" i="4"/>
  <c r="D15" i="4"/>
  <c r="D18" i="4"/>
  <c r="D10" i="4"/>
  <c r="D16" i="4"/>
  <c r="N25" i="4" l="1"/>
  <c r="AE7" i="4"/>
  <c r="P13" i="4" s="1"/>
  <c r="M4" i="4"/>
  <c r="AI7" i="4"/>
  <c r="AD7" i="4"/>
  <c r="O6" i="4" s="1"/>
  <c r="AG7" i="4"/>
  <c r="AC7" i="4"/>
  <c r="AJ7" i="4"/>
  <c r="AF7" i="4"/>
  <c r="Q13" i="4" s="1"/>
  <c r="C71" i="7"/>
  <c r="C87" i="7" s="1"/>
  <c r="AH4" i="4"/>
  <c r="AF4" i="4"/>
  <c r="AK4" i="4"/>
  <c r="AD4" i="4"/>
  <c r="AD8" i="4" s="1"/>
  <c r="AD17" i="4" s="1"/>
  <c r="AD18" i="4" s="1"/>
  <c r="AC4" i="4"/>
  <c r="AB4" i="4"/>
  <c r="AG4" i="4"/>
  <c r="AJ4" i="4"/>
  <c r="AE4" i="4"/>
  <c r="AI4" i="4"/>
  <c r="AE5" i="4"/>
  <c r="M25" i="4"/>
  <c r="M6" i="4"/>
  <c r="M27" i="4"/>
  <c r="AK6" i="4"/>
  <c r="AJ6" i="4"/>
  <c r="AE6" i="4"/>
  <c r="P26" i="4" s="1"/>
  <c r="AG6" i="4"/>
  <c r="AH6" i="4"/>
  <c r="AF6" i="4"/>
  <c r="Q26" i="4" s="1"/>
  <c r="AD6" i="4"/>
  <c r="O26" i="4" s="1"/>
  <c r="AC6" i="4"/>
  <c r="AB6" i="4"/>
  <c r="AI6" i="4"/>
  <c r="M39" i="1"/>
  <c r="C5" i="7" s="1"/>
  <c r="C22" i="7" s="1"/>
  <c r="O25" i="4"/>
  <c r="E16" i="4"/>
  <c r="E3" i="4"/>
  <c r="E4" i="1"/>
  <c r="Q20" i="1"/>
  <c r="G18" i="1"/>
  <c r="C105" i="7"/>
  <c r="C70" i="7"/>
  <c r="G30" i="1"/>
  <c r="Q27" i="1"/>
  <c r="Q7" i="1"/>
  <c r="G7" i="1"/>
  <c r="O11" i="4"/>
  <c r="E10" i="4"/>
  <c r="E18" i="4"/>
  <c r="O12" i="4"/>
  <c r="E11" i="4"/>
  <c r="I21" i="4"/>
  <c r="G19" i="1"/>
  <c r="Q21" i="1"/>
  <c r="G17" i="4"/>
  <c r="F6" i="4"/>
  <c r="E23" i="1"/>
  <c r="O33" i="1"/>
  <c r="P32" i="1"/>
  <c r="F22" i="1"/>
  <c r="P11" i="1"/>
  <c r="F10" i="1"/>
  <c r="P6" i="1"/>
  <c r="F6" i="1"/>
  <c r="F28" i="1"/>
  <c r="P25" i="1"/>
  <c r="E15" i="4"/>
  <c r="O24" i="4"/>
  <c r="E9" i="4"/>
  <c r="O10" i="4"/>
  <c r="Q34" i="1"/>
  <c r="G24" i="1"/>
  <c r="O5" i="1"/>
  <c r="E5" i="1"/>
  <c r="G13" i="1"/>
  <c r="Q14" i="1"/>
  <c r="E13" i="5"/>
  <c r="D20" i="5"/>
  <c r="C12" i="7" s="1"/>
  <c r="O5" i="4"/>
  <c r="E5" i="4"/>
  <c r="N4" i="4"/>
  <c r="D4" i="4"/>
  <c r="O13" i="1"/>
  <c r="E12" i="1"/>
  <c r="G17" i="1"/>
  <c r="Q19" i="1"/>
  <c r="G12" i="4"/>
  <c r="C122" i="7"/>
  <c r="D11" i="3"/>
  <c r="E11" i="7" s="1"/>
  <c r="E3" i="3"/>
  <c r="O12" i="1"/>
  <c r="E11" i="1"/>
  <c r="Q35" i="1"/>
  <c r="G25" i="1"/>
  <c r="F16" i="1"/>
  <c r="P18" i="1"/>
  <c r="P22" i="1" s="1"/>
  <c r="D10" i="7"/>
  <c r="N32" i="4"/>
  <c r="G68" i="2"/>
  <c r="F31" i="1"/>
  <c r="P28" i="1"/>
  <c r="P26" i="1"/>
  <c r="F29" i="1"/>
  <c r="P6" i="4" l="1"/>
  <c r="O27" i="4"/>
  <c r="O13" i="4"/>
  <c r="N6" i="4"/>
  <c r="N13" i="4"/>
  <c r="N27" i="4"/>
  <c r="AJ8" i="4"/>
  <c r="AJ17" i="4" s="1"/>
  <c r="AJ18" i="4" s="1"/>
  <c r="AJ21" i="4" s="1"/>
  <c r="O21" i="4"/>
  <c r="AD21" i="4"/>
  <c r="M12" i="4"/>
  <c r="M5" i="4"/>
  <c r="M26" i="4"/>
  <c r="AG8" i="4"/>
  <c r="AG17" i="4" s="1"/>
  <c r="AG18" i="4" s="1"/>
  <c r="AK8" i="4"/>
  <c r="AK17" i="4" s="1"/>
  <c r="AK18" i="4" s="1"/>
  <c r="AK21" i="4" s="1"/>
  <c r="N26" i="4"/>
  <c r="N12" i="4"/>
  <c r="N5" i="4"/>
  <c r="AI8" i="4"/>
  <c r="AI17" i="4" s="1"/>
  <c r="AI18" i="4" s="1"/>
  <c r="AI21" i="4" s="1"/>
  <c r="AB8" i="4"/>
  <c r="AB17" i="4" s="1"/>
  <c r="M24" i="4"/>
  <c r="M3" i="4"/>
  <c r="M10" i="4"/>
  <c r="M14" i="4" s="1"/>
  <c r="AF8" i="4"/>
  <c r="AF17" i="4" s="1"/>
  <c r="AF18" i="4" s="1"/>
  <c r="O3" i="4"/>
  <c r="AE8" i="4"/>
  <c r="AE17" i="4" s="1"/>
  <c r="AE18" i="4" s="1"/>
  <c r="AC8" i="4"/>
  <c r="AC17" i="4" s="1"/>
  <c r="AC18" i="4" s="1"/>
  <c r="N10" i="4"/>
  <c r="N14" i="4" s="1"/>
  <c r="N3" i="4"/>
  <c r="N24" i="4"/>
  <c r="AH8" i="4"/>
  <c r="AH17" i="4" s="1"/>
  <c r="AH18" i="4" s="1"/>
  <c r="C100" i="7"/>
  <c r="C65" i="7"/>
  <c r="E106" i="7"/>
  <c r="E71" i="7"/>
  <c r="E26" i="7"/>
  <c r="H12" i="4"/>
  <c r="R13" i="4"/>
  <c r="O4" i="4"/>
  <c r="E4" i="4"/>
  <c r="P24" i="4"/>
  <c r="F15" i="4"/>
  <c r="R26" i="4"/>
  <c r="H17" i="4"/>
  <c r="P27" i="4"/>
  <c r="F18" i="4"/>
  <c r="G29" i="1"/>
  <c r="Q26" i="1"/>
  <c r="E10" i="7"/>
  <c r="O32" i="4"/>
  <c r="H68" i="2"/>
  <c r="G16" i="1"/>
  <c r="Q18" i="1"/>
  <c r="Q22" i="1" s="1"/>
  <c r="R19" i="1"/>
  <c r="H17" i="1"/>
  <c r="E20" i="5"/>
  <c r="D12" i="7" s="1"/>
  <c r="F13" i="5"/>
  <c r="C118" i="7"/>
  <c r="C83" i="7"/>
  <c r="O14" i="4"/>
  <c r="P29" i="1"/>
  <c r="G10" i="1"/>
  <c r="Q11" i="1"/>
  <c r="F11" i="4"/>
  <c r="P12" i="4"/>
  <c r="P11" i="4"/>
  <c r="F10" i="4"/>
  <c r="F4" i="1"/>
  <c r="P4" i="1"/>
  <c r="P25" i="4"/>
  <c r="F16" i="4"/>
  <c r="R35" i="1"/>
  <c r="H25" i="1"/>
  <c r="P13" i="1"/>
  <c r="F12" i="1"/>
  <c r="H13" i="1"/>
  <c r="R14" i="1"/>
  <c r="F9" i="4"/>
  <c r="P10" i="4"/>
  <c r="G28" i="1"/>
  <c r="Q25" i="1"/>
  <c r="F23" i="1"/>
  <c r="P33" i="1"/>
  <c r="P36" i="1" s="1"/>
  <c r="Q6" i="4"/>
  <c r="G6" i="4"/>
  <c r="R21" i="1"/>
  <c r="H19" i="1"/>
  <c r="H30" i="1"/>
  <c r="R27" i="1"/>
  <c r="P5" i="1"/>
  <c r="F5" i="1"/>
  <c r="R34" i="1"/>
  <c r="H24" i="1"/>
  <c r="O28" i="4"/>
  <c r="Q6" i="1"/>
  <c r="G6" i="1"/>
  <c r="G22" i="1"/>
  <c r="Q32" i="1"/>
  <c r="T21" i="4"/>
  <c r="J21" i="4"/>
  <c r="R7" i="1"/>
  <c r="H7" i="1"/>
  <c r="R20" i="1"/>
  <c r="H18" i="1"/>
  <c r="F3" i="4"/>
  <c r="P3" i="4"/>
  <c r="E11" i="3"/>
  <c r="F11" i="7" s="1"/>
  <c r="F3" i="3"/>
  <c r="F5" i="4"/>
  <c r="P5" i="4"/>
  <c r="D105" i="7"/>
  <c r="D70" i="7"/>
  <c r="G31" i="1"/>
  <c r="Q28" i="1"/>
  <c r="P12" i="1"/>
  <c r="F11" i="1"/>
  <c r="C107" i="7"/>
  <c r="C72" i="7"/>
  <c r="O7" i="4"/>
  <c r="N28" i="4" l="1"/>
  <c r="M7" i="4"/>
  <c r="P15" i="1"/>
  <c r="N7" i="4"/>
  <c r="AE21" i="4"/>
  <c r="P21" i="4"/>
  <c r="AG21" i="4"/>
  <c r="R21" i="4"/>
  <c r="M28" i="4"/>
  <c r="M31" i="4" s="1"/>
  <c r="Q21" i="4"/>
  <c r="AF21" i="4"/>
  <c r="AH21" i="4"/>
  <c r="S21" i="4"/>
  <c r="N21" i="4"/>
  <c r="AC21" i="4"/>
  <c r="P8" i="1"/>
  <c r="H31" i="1"/>
  <c r="R28" i="1"/>
  <c r="Q5" i="4"/>
  <c r="G5" i="4"/>
  <c r="Q3" i="4"/>
  <c r="G3" i="4"/>
  <c r="H22" i="1"/>
  <c r="R32" i="1"/>
  <c r="S34" i="1"/>
  <c r="I24" i="1"/>
  <c r="R6" i="4"/>
  <c r="H6" i="4"/>
  <c r="Q10" i="4"/>
  <c r="G9" i="4"/>
  <c r="Q13" i="1"/>
  <c r="G12" i="1"/>
  <c r="Q25" i="4"/>
  <c r="G16" i="4"/>
  <c r="Q12" i="4"/>
  <c r="G11" i="4"/>
  <c r="P32" i="4"/>
  <c r="F10" i="7"/>
  <c r="I68" i="2"/>
  <c r="Q12" i="1"/>
  <c r="G11" i="1"/>
  <c r="F11" i="3"/>
  <c r="G11" i="7" s="1"/>
  <c r="G3" i="3"/>
  <c r="I18" i="1"/>
  <c r="S20" i="1"/>
  <c r="U21" i="4"/>
  <c r="K21" i="4"/>
  <c r="V21" i="4" s="1"/>
  <c r="H6" i="1"/>
  <c r="R6" i="1"/>
  <c r="I30" i="1"/>
  <c r="S27" i="1"/>
  <c r="Q29" i="1"/>
  <c r="Q11" i="4"/>
  <c r="G10" i="4"/>
  <c r="Q15" i="1"/>
  <c r="F20" i="5"/>
  <c r="E12" i="7" s="1"/>
  <c r="G13" i="5"/>
  <c r="G18" i="4"/>
  <c r="Q27" i="4"/>
  <c r="E122" i="7"/>
  <c r="G5" i="1"/>
  <c r="Q5" i="1"/>
  <c r="I25" i="1"/>
  <c r="S35" i="1"/>
  <c r="Q24" i="4"/>
  <c r="G15" i="4"/>
  <c r="E87" i="7"/>
  <c r="F71" i="7"/>
  <c r="F87" i="7" s="1"/>
  <c r="F26" i="7"/>
  <c r="F122" i="7" s="1"/>
  <c r="F106" i="7"/>
  <c r="S21" i="1"/>
  <c r="I19" i="1"/>
  <c r="H28" i="1"/>
  <c r="R25" i="1"/>
  <c r="H10" i="1"/>
  <c r="R11" i="1"/>
  <c r="D107" i="7"/>
  <c r="D72" i="7"/>
  <c r="E105" i="7"/>
  <c r="E70" i="7"/>
  <c r="I7" i="1"/>
  <c r="S7" i="1"/>
  <c r="O31" i="4"/>
  <c r="G23" i="1"/>
  <c r="Q33" i="1"/>
  <c r="Q36" i="1" s="1"/>
  <c r="P14" i="4"/>
  <c r="I13" i="1"/>
  <c r="S14" i="1"/>
  <c r="Q4" i="1"/>
  <c r="G4" i="1"/>
  <c r="S19" i="1"/>
  <c r="I17" i="1"/>
  <c r="H16" i="1"/>
  <c r="R18" i="1"/>
  <c r="R22" i="1" s="1"/>
  <c r="S26" i="4"/>
  <c r="I17" i="4"/>
  <c r="P28" i="4"/>
  <c r="S13" i="4"/>
  <c r="I12" i="4"/>
  <c r="H29" i="1"/>
  <c r="R26" i="1"/>
  <c r="F4" i="4"/>
  <c r="P4" i="4"/>
  <c r="P7" i="4" s="1"/>
  <c r="P39" i="1" l="1"/>
  <c r="F5" i="7" s="1"/>
  <c r="F65" i="7" s="1"/>
  <c r="N31" i="4"/>
  <c r="N34" i="4"/>
  <c r="D7" i="7"/>
  <c r="C7" i="7"/>
  <c r="B3" i="6"/>
  <c r="B6" i="6" s="1"/>
  <c r="M34" i="4"/>
  <c r="Q28" i="4"/>
  <c r="D24" i="7"/>
  <c r="D85" i="7" s="1"/>
  <c r="Q8" i="1"/>
  <c r="Q39" i="1" s="1"/>
  <c r="G5" i="7" s="1"/>
  <c r="F100" i="7"/>
  <c r="D67" i="7"/>
  <c r="D102" i="7"/>
  <c r="T14" i="1"/>
  <c r="J13" i="1"/>
  <c r="T7" i="1"/>
  <c r="J7" i="1"/>
  <c r="P31" i="4"/>
  <c r="S18" i="1"/>
  <c r="S22" i="1" s="1"/>
  <c r="I16" i="1"/>
  <c r="R4" i="1"/>
  <c r="H4" i="1"/>
  <c r="E7" i="7"/>
  <c r="O34" i="4"/>
  <c r="S11" i="1"/>
  <c r="I10" i="1"/>
  <c r="R5" i="1"/>
  <c r="H5" i="1"/>
  <c r="S6" i="1"/>
  <c r="I6" i="1"/>
  <c r="J18" i="1"/>
  <c r="T20" i="1"/>
  <c r="F105" i="7"/>
  <c r="F70" i="7"/>
  <c r="R25" i="4"/>
  <c r="H16" i="4"/>
  <c r="I31" i="1"/>
  <c r="S28" i="1"/>
  <c r="T26" i="4"/>
  <c r="J17" i="4"/>
  <c r="G11" i="3"/>
  <c r="H11" i="7" s="1"/>
  <c r="H3" i="3"/>
  <c r="R10" i="4"/>
  <c r="H9" i="4"/>
  <c r="R5" i="4"/>
  <c r="H5" i="4"/>
  <c r="T19" i="1"/>
  <c r="J17" i="1"/>
  <c r="R29" i="1"/>
  <c r="R27" i="4"/>
  <c r="H18" i="4"/>
  <c r="I29" i="1"/>
  <c r="S26" i="1"/>
  <c r="T13" i="4"/>
  <c r="J12" i="4"/>
  <c r="I28" i="1"/>
  <c r="S25" i="1"/>
  <c r="R24" i="4"/>
  <c r="H15" i="4"/>
  <c r="G20" i="5"/>
  <c r="F12" i="7" s="1"/>
  <c r="H13" i="5"/>
  <c r="R11" i="4"/>
  <c r="H10" i="4"/>
  <c r="J30" i="1"/>
  <c r="T27" i="1"/>
  <c r="G106" i="7"/>
  <c r="G71" i="7"/>
  <c r="G26" i="7"/>
  <c r="G122" i="7" s="1"/>
  <c r="R12" i="4"/>
  <c r="H11" i="4"/>
  <c r="R13" i="1"/>
  <c r="H12" i="1"/>
  <c r="Q14" i="4"/>
  <c r="S32" i="1"/>
  <c r="I22" i="1"/>
  <c r="Q4" i="4"/>
  <c r="Q7" i="4" s="1"/>
  <c r="G4" i="4"/>
  <c r="R33" i="1"/>
  <c r="R36" i="1" s="1"/>
  <c r="H23" i="1"/>
  <c r="T21" i="1"/>
  <c r="J19" i="1"/>
  <c r="T35" i="1"/>
  <c r="J25" i="1"/>
  <c r="E107" i="7"/>
  <c r="E72" i="7"/>
  <c r="R12" i="1"/>
  <c r="R15" i="1" s="1"/>
  <c r="H11" i="1"/>
  <c r="Q32" i="4"/>
  <c r="G10" i="7"/>
  <c r="J68" i="2"/>
  <c r="S6" i="4"/>
  <c r="I6" i="4"/>
  <c r="T34" i="1"/>
  <c r="J24" i="1"/>
  <c r="R3" i="4"/>
  <c r="H3" i="4"/>
  <c r="F22" i="7" l="1"/>
  <c r="C56" i="7"/>
  <c r="I39" i="7"/>
  <c r="I41" i="7" s="1"/>
  <c r="C35" i="7" s="1"/>
  <c r="I37" i="7"/>
  <c r="R28" i="4"/>
  <c r="C24" i="7"/>
  <c r="C8" i="7"/>
  <c r="C13" i="7" s="1"/>
  <c r="C15" i="7" s="1"/>
  <c r="C16" i="7" s="1"/>
  <c r="C17" i="7" s="1"/>
  <c r="C102" i="7"/>
  <c r="C103" i="7" s="1"/>
  <c r="C109" i="7" s="1"/>
  <c r="C111" i="7" s="1"/>
  <c r="C112" i="7" s="1"/>
  <c r="C113" i="7" s="1"/>
  <c r="C67" i="7"/>
  <c r="C68" i="7" s="1"/>
  <c r="C74" i="7" s="1"/>
  <c r="C76" i="7" s="1"/>
  <c r="D120" i="7"/>
  <c r="Q31" i="4"/>
  <c r="U34" i="1"/>
  <c r="K24" i="1"/>
  <c r="V34" i="1" s="1"/>
  <c r="T32" i="1"/>
  <c r="J22" i="1"/>
  <c r="S12" i="4"/>
  <c r="I11" i="4"/>
  <c r="I18" i="4"/>
  <c r="S27" i="4"/>
  <c r="H11" i="3"/>
  <c r="I11" i="7" s="1"/>
  <c r="I3" i="3"/>
  <c r="J31" i="1"/>
  <c r="T28" i="1"/>
  <c r="U20" i="1"/>
  <c r="K18" i="1"/>
  <c r="V20" i="1" s="1"/>
  <c r="T11" i="1"/>
  <c r="J10" i="1"/>
  <c r="U7" i="1"/>
  <c r="K7" i="1"/>
  <c r="V7" i="1" s="1"/>
  <c r="S5" i="4"/>
  <c r="I5" i="4"/>
  <c r="H106" i="7"/>
  <c r="H71" i="7"/>
  <c r="H87" i="7" s="1"/>
  <c r="H26" i="7"/>
  <c r="H122" i="7" s="1"/>
  <c r="T6" i="1"/>
  <c r="J6" i="1"/>
  <c r="S5" i="1"/>
  <c r="I5" i="1"/>
  <c r="S4" i="1"/>
  <c r="I4" i="1"/>
  <c r="F7" i="7"/>
  <c r="P34" i="4"/>
  <c r="K30" i="1"/>
  <c r="V27" i="1" s="1"/>
  <c r="U27" i="1"/>
  <c r="F107" i="7"/>
  <c r="F72" i="7"/>
  <c r="U13" i="4"/>
  <c r="K12" i="4"/>
  <c r="V13" i="4" s="1"/>
  <c r="K17" i="1"/>
  <c r="V19" i="1" s="1"/>
  <c r="U19" i="1"/>
  <c r="G105" i="7"/>
  <c r="G70" i="7"/>
  <c r="S12" i="1"/>
  <c r="I11" i="1"/>
  <c r="G87" i="7"/>
  <c r="S11" i="4"/>
  <c r="I10" i="4"/>
  <c r="I9" i="4"/>
  <c r="S10" i="4"/>
  <c r="S3" i="4"/>
  <c r="I3" i="4"/>
  <c r="J6" i="4"/>
  <c r="T6" i="4"/>
  <c r="I23" i="1"/>
  <c r="S33" i="1"/>
  <c r="S36" i="1" s="1"/>
  <c r="S13" i="1"/>
  <c r="I12" i="1"/>
  <c r="S29" i="1"/>
  <c r="R14" i="4"/>
  <c r="R8" i="1"/>
  <c r="R39" i="1" s="1"/>
  <c r="H5" i="7" s="1"/>
  <c r="K13" i="1"/>
  <c r="V14" i="1" s="1"/>
  <c r="U14" i="1"/>
  <c r="H10" i="7"/>
  <c r="R32" i="4"/>
  <c r="K68" i="2"/>
  <c r="R4" i="4"/>
  <c r="R7" i="4" s="1"/>
  <c r="H4" i="4"/>
  <c r="U35" i="1"/>
  <c r="K25" i="1"/>
  <c r="V35" i="1" s="1"/>
  <c r="K19" i="1"/>
  <c r="V21" i="1" s="1"/>
  <c r="U21" i="1"/>
  <c r="I13" i="5"/>
  <c r="H20" i="5"/>
  <c r="G12" i="7" s="1"/>
  <c r="I15" i="4"/>
  <c r="S24" i="4"/>
  <c r="J28" i="1"/>
  <c r="T25" i="1"/>
  <c r="T26" i="1"/>
  <c r="J29" i="1"/>
  <c r="G100" i="7"/>
  <c r="G65" i="7"/>
  <c r="G22" i="7"/>
  <c r="K17" i="4"/>
  <c r="V26" i="4" s="1"/>
  <c r="U26" i="4"/>
  <c r="S25" i="4"/>
  <c r="I16" i="4"/>
  <c r="E102" i="7"/>
  <c r="E24" i="7"/>
  <c r="E67" i="7"/>
  <c r="J16" i="1"/>
  <c r="T18" i="1"/>
  <c r="T22" i="1" s="1"/>
  <c r="F83" i="7" l="1"/>
  <c r="F118" i="7"/>
  <c r="D35" i="7"/>
  <c r="C55" i="7"/>
  <c r="E35" i="7"/>
  <c r="C77" i="7"/>
  <c r="C78" i="7" s="1"/>
  <c r="C120" i="7"/>
  <c r="C121" i="7" s="1"/>
  <c r="C123" i="7" s="1"/>
  <c r="C125" i="7" s="1"/>
  <c r="C85" i="7"/>
  <c r="C86" i="7" s="1"/>
  <c r="C88" i="7" s="1"/>
  <c r="C90" i="7" s="1"/>
  <c r="C91" i="7" s="1"/>
  <c r="C92" i="7" s="1"/>
  <c r="C25" i="7"/>
  <c r="C27" i="7" s="1"/>
  <c r="C29" i="7" s="1"/>
  <c r="S15" i="1"/>
  <c r="S14" i="4"/>
  <c r="R31" i="4"/>
  <c r="R34" i="4" s="1"/>
  <c r="H100" i="7"/>
  <c r="H22" i="7"/>
  <c r="H65" i="7"/>
  <c r="G118" i="7"/>
  <c r="G83" i="7"/>
  <c r="K28" i="1"/>
  <c r="V25" i="1" s="1"/>
  <c r="U25" i="1"/>
  <c r="J23" i="1"/>
  <c r="T33" i="1"/>
  <c r="T36" i="1" s="1"/>
  <c r="I11" i="3"/>
  <c r="J11" i="7" s="1"/>
  <c r="J3" i="3"/>
  <c r="K29" i="1"/>
  <c r="V26" i="1" s="1"/>
  <c r="U26" i="1"/>
  <c r="S28" i="4"/>
  <c r="I10" i="7"/>
  <c r="L68" i="2"/>
  <c r="T11" i="4"/>
  <c r="J10" i="4"/>
  <c r="S8" i="1"/>
  <c r="U6" i="1"/>
  <c r="K6" i="1"/>
  <c r="V6" i="1" s="1"/>
  <c r="I106" i="7"/>
  <c r="I71" i="7"/>
  <c r="I26" i="7"/>
  <c r="T12" i="4"/>
  <c r="J11" i="4"/>
  <c r="T24" i="4"/>
  <c r="J15" i="4"/>
  <c r="G7" i="7"/>
  <c r="Q34" i="4"/>
  <c r="U6" i="4"/>
  <c r="K6" i="4"/>
  <c r="V6" i="4" s="1"/>
  <c r="T12" i="1"/>
  <c r="J11" i="1"/>
  <c r="C126" i="7"/>
  <c r="C127" i="7" s="1"/>
  <c r="K10" i="1"/>
  <c r="V11" i="1" s="1"/>
  <c r="U11" i="1"/>
  <c r="K16" i="1"/>
  <c r="V18" i="1" s="1"/>
  <c r="V22" i="1" s="1"/>
  <c r="U18" i="1"/>
  <c r="U22" i="1" s="1"/>
  <c r="E120" i="7"/>
  <c r="E85" i="7"/>
  <c r="T25" i="4"/>
  <c r="J16" i="4"/>
  <c r="T29" i="1"/>
  <c r="G107" i="7"/>
  <c r="G72" i="7"/>
  <c r="S4" i="4"/>
  <c r="S7" i="4" s="1"/>
  <c r="I4" i="4"/>
  <c r="H105" i="7"/>
  <c r="H70" i="7"/>
  <c r="J3" i="4"/>
  <c r="T3" i="4"/>
  <c r="J9" i="4"/>
  <c r="T10" i="4"/>
  <c r="F102" i="7"/>
  <c r="F103" i="7" s="1"/>
  <c r="F109" i="7" s="1"/>
  <c r="F67" i="7"/>
  <c r="F68" i="7" s="1"/>
  <c r="F74" i="7" s="1"/>
  <c r="F24" i="7"/>
  <c r="F8" i="7"/>
  <c r="F13" i="7" s="1"/>
  <c r="T5" i="1"/>
  <c r="J5" i="1"/>
  <c r="J5" i="4"/>
  <c r="T5" i="4"/>
  <c r="K31" i="1"/>
  <c r="V28" i="1" s="1"/>
  <c r="U28" i="1"/>
  <c r="T27" i="4"/>
  <c r="J18" i="4"/>
  <c r="K22" i="1"/>
  <c r="V32" i="1" s="1"/>
  <c r="U32" i="1"/>
  <c r="I20" i="5"/>
  <c r="H12" i="7" s="1"/>
  <c r="J13" i="5"/>
  <c r="T13" i="1"/>
  <c r="J12" i="1"/>
  <c r="C30" i="7"/>
  <c r="C31" i="7" s="1"/>
  <c r="J4" i="1"/>
  <c r="T4" i="1"/>
  <c r="S39" i="1" l="1"/>
  <c r="I5" i="7" s="1"/>
  <c r="I100" i="7" s="1"/>
  <c r="T8" i="1"/>
  <c r="T14" i="4"/>
  <c r="H7" i="7"/>
  <c r="H8" i="7" s="1"/>
  <c r="H13" i="7" s="1"/>
  <c r="T15" i="1"/>
  <c r="C128" i="7"/>
  <c r="H107" i="7"/>
  <c r="H72" i="7"/>
  <c r="J4" i="4"/>
  <c r="T4" i="4"/>
  <c r="T7" i="4" s="1"/>
  <c r="T28" i="4"/>
  <c r="C93" i="7"/>
  <c r="V29" i="1"/>
  <c r="K13" i="5"/>
  <c r="J20" i="5"/>
  <c r="I12" i="7" s="1"/>
  <c r="U5" i="4"/>
  <c r="K5" i="4"/>
  <c r="V5" i="4" s="1"/>
  <c r="F120" i="7"/>
  <c r="F121" i="7" s="1"/>
  <c r="F123" i="7" s="1"/>
  <c r="F125" i="7" s="1"/>
  <c r="F85" i="7"/>
  <c r="F86" i="7" s="1"/>
  <c r="F88" i="7" s="1"/>
  <c r="F90" i="7" s="1"/>
  <c r="F25" i="7"/>
  <c r="F27" i="7" s="1"/>
  <c r="F29" i="7" s="1"/>
  <c r="U10" i="4"/>
  <c r="K9" i="4"/>
  <c r="V10" i="4" s="1"/>
  <c r="U12" i="4"/>
  <c r="K11" i="4"/>
  <c r="V12" i="4" s="1"/>
  <c r="J10" i="7"/>
  <c r="M68" i="2"/>
  <c r="S31" i="4"/>
  <c r="K3" i="3"/>
  <c r="K11" i="3" s="1"/>
  <c r="L11" i="7" s="1"/>
  <c r="J11" i="3"/>
  <c r="K11" i="7" s="1"/>
  <c r="F76" i="7"/>
  <c r="F77" i="7" s="1"/>
  <c r="F78" i="7" s="1"/>
  <c r="C32" i="7"/>
  <c r="C36" i="7"/>
  <c r="K5" i="1"/>
  <c r="V5" i="1" s="1"/>
  <c r="U5" i="1"/>
  <c r="U12" i="1"/>
  <c r="K11" i="1"/>
  <c r="V12" i="1" s="1"/>
  <c r="I70" i="7"/>
  <c r="I105" i="7"/>
  <c r="J106" i="7"/>
  <c r="J71" i="7"/>
  <c r="J87" i="7" s="1"/>
  <c r="J26" i="7"/>
  <c r="J122" i="7" s="1"/>
  <c r="K23" i="1"/>
  <c r="V33" i="1" s="1"/>
  <c r="V36" i="1" s="1"/>
  <c r="U33" i="1"/>
  <c r="U36" i="1" s="1"/>
  <c r="U4" i="1"/>
  <c r="K4" i="1"/>
  <c r="V4" i="1" s="1"/>
  <c r="U13" i="1"/>
  <c r="K12" i="1"/>
  <c r="V13" i="1" s="1"/>
  <c r="U27" i="4"/>
  <c r="K18" i="4"/>
  <c r="V27" i="4" s="1"/>
  <c r="F111" i="7"/>
  <c r="F112" i="7" s="1"/>
  <c r="F113" i="7" s="1"/>
  <c r="U3" i="4"/>
  <c r="K3" i="4"/>
  <c r="V3" i="4" s="1"/>
  <c r="K16" i="4"/>
  <c r="V25" i="4" s="1"/>
  <c r="U25" i="4"/>
  <c r="G67" i="7"/>
  <c r="G102" i="7"/>
  <c r="G103" i="7" s="1"/>
  <c r="G109" i="7" s="1"/>
  <c r="G24" i="7"/>
  <c r="G8" i="7"/>
  <c r="G13" i="7" s="1"/>
  <c r="K15" i="4"/>
  <c r="V24" i="4" s="1"/>
  <c r="U24" i="4"/>
  <c r="I122" i="7"/>
  <c r="U29" i="1"/>
  <c r="H118" i="7"/>
  <c r="H83" i="7"/>
  <c r="H102" i="7"/>
  <c r="H103" i="7" s="1"/>
  <c r="F15" i="7"/>
  <c r="F16" i="7" s="1"/>
  <c r="F17" i="7" s="1"/>
  <c r="I87" i="7"/>
  <c r="U11" i="4"/>
  <c r="K10" i="4"/>
  <c r="V11" i="4" s="1"/>
  <c r="I22" i="7" l="1"/>
  <c r="I83" i="7" s="1"/>
  <c r="I65" i="7"/>
  <c r="U8" i="1"/>
  <c r="T39" i="1"/>
  <c r="J5" i="7" s="1"/>
  <c r="J22" i="7" s="1"/>
  <c r="I7" i="7"/>
  <c r="I8" i="7" s="1"/>
  <c r="I13" i="7" s="1"/>
  <c r="S34" i="4"/>
  <c r="H24" i="7"/>
  <c r="H25" i="7" s="1"/>
  <c r="H27" i="7" s="1"/>
  <c r="H29" i="7" s="1"/>
  <c r="H30" i="7" s="1"/>
  <c r="H31" i="7" s="1"/>
  <c r="C41" i="7" s="1"/>
  <c r="D41" i="7" s="1"/>
  <c r="V15" i="1"/>
  <c r="H109" i="7"/>
  <c r="H111" i="7" s="1"/>
  <c r="H112" i="7" s="1"/>
  <c r="H113" i="7" s="1"/>
  <c r="U28" i="4"/>
  <c r="H67" i="7"/>
  <c r="H68" i="7" s="1"/>
  <c r="H74" i="7" s="1"/>
  <c r="H76" i="7" s="1"/>
  <c r="H77" i="7" s="1"/>
  <c r="H78" i="7" s="1"/>
  <c r="B11" i="7"/>
  <c r="V8" i="1"/>
  <c r="U15" i="1"/>
  <c r="T31" i="4"/>
  <c r="G120" i="7"/>
  <c r="G85" i="7"/>
  <c r="G86" i="7" s="1"/>
  <c r="G88" i="7" s="1"/>
  <c r="G90" i="7" s="1"/>
  <c r="G25" i="7"/>
  <c r="K106" i="7"/>
  <c r="K71" i="7"/>
  <c r="K26" i="7"/>
  <c r="K122" i="7" s="1"/>
  <c r="J105" i="7"/>
  <c r="J70" i="7"/>
  <c r="V14" i="4"/>
  <c r="F126" i="7"/>
  <c r="F127" i="7" s="1"/>
  <c r="V28" i="4"/>
  <c r="G111" i="7"/>
  <c r="G112" i="7" s="1"/>
  <c r="G113" i="7" s="1"/>
  <c r="H15" i="7"/>
  <c r="H16" i="7" s="1"/>
  <c r="H17" i="7" s="1"/>
  <c r="L106" i="7"/>
  <c r="L26" i="7"/>
  <c r="L71" i="7"/>
  <c r="L87" i="7" s="1"/>
  <c r="U14" i="4"/>
  <c r="I107" i="7"/>
  <c r="I72" i="7"/>
  <c r="I118" i="7"/>
  <c r="G68" i="7"/>
  <c r="K20" i="5"/>
  <c r="J12" i="7" s="1"/>
  <c r="L13" i="5"/>
  <c r="F30" i="7"/>
  <c r="F31" i="7" s="1"/>
  <c r="C39" i="7" s="1"/>
  <c r="D39" i="7" s="1"/>
  <c r="U4" i="4"/>
  <c r="U7" i="4" s="1"/>
  <c r="K4" i="4"/>
  <c r="V4" i="4" s="1"/>
  <c r="V7" i="4" s="1"/>
  <c r="H120" i="7"/>
  <c r="H121" i="7" s="1"/>
  <c r="H123" i="7" s="1"/>
  <c r="H125" i="7" s="1"/>
  <c r="G15" i="7"/>
  <c r="G16" i="7" s="1"/>
  <c r="D36" i="7"/>
  <c r="E36" i="7"/>
  <c r="K10" i="7"/>
  <c r="N68" i="2"/>
  <c r="L10" i="7" s="1"/>
  <c r="F91" i="7"/>
  <c r="F92" i="7" s="1"/>
  <c r="U39" i="1" l="1"/>
  <c r="K5" i="7" s="1"/>
  <c r="K22" i="7" s="1"/>
  <c r="K118" i="7" s="1"/>
  <c r="H85" i="7"/>
  <c r="H86" i="7" s="1"/>
  <c r="H88" i="7" s="1"/>
  <c r="H90" i="7" s="1"/>
  <c r="H91" i="7" s="1"/>
  <c r="H92" i="7" s="1"/>
  <c r="J100" i="7"/>
  <c r="J65" i="7"/>
  <c r="J7" i="7"/>
  <c r="J8" i="7" s="1"/>
  <c r="J13" i="7" s="1"/>
  <c r="T34" i="4"/>
  <c r="I67" i="7"/>
  <c r="I68" i="7" s="1"/>
  <c r="I74" i="7" s="1"/>
  <c r="I76" i="7" s="1"/>
  <c r="I77" i="7" s="1"/>
  <c r="I78" i="7" s="1"/>
  <c r="I24" i="7"/>
  <c r="I120" i="7" s="1"/>
  <c r="I121" i="7" s="1"/>
  <c r="I123" i="7" s="1"/>
  <c r="I125" i="7" s="1"/>
  <c r="I102" i="7"/>
  <c r="I103" i="7" s="1"/>
  <c r="I109" i="7" s="1"/>
  <c r="V39" i="1"/>
  <c r="L5" i="7" s="1"/>
  <c r="L22" i="7" s="1"/>
  <c r="V31" i="4"/>
  <c r="K100" i="7"/>
  <c r="H126" i="7"/>
  <c r="H127" i="7" s="1"/>
  <c r="G17" i="7"/>
  <c r="U31" i="4"/>
  <c r="L122" i="7"/>
  <c r="B122" i="7" s="1"/>
  <c r="B26" i="7"/>
  <c r="I15" i="7"/>
  <c r="I16" i="7" s="1"/>
  <c r="I17" i="7" s="1"/>
  <c r="B106" i="7"/>
  <c r="K87" i="7"/>
  <c r="B87" i="7" s="1"/>
  <c r="B71" i="7"/>
  <c r="G27" i="7"/>
  <c r="K105" i="7"/>
  <c r="K70" i="7"/>
  <c r="G91" i="7"/>
  <c r="G92" i="7" s="1"/>
  <c r="J118" i="7"/>
  <c r="J83" i="7"/>
  <c r="L105" i="7"/>
  <c r="L70" i="7"/>
  <c r="B10" i="7"/>
  <c r="M13" i="5"/>
  <c r="M20" i="5" s="1"/>
  <c r="L12" i="7" s="1"/>
  <c r="L20" i="5"/>
  <c r="K12" i="7" s="1"/>
  <c r="G74" i="7"/>
  <c r="G121" i="7"/>
  <c r="J107" i="7"/>
  <c r="J72" i="7"/>
  <c r="K65" i="7" l="1"/>
  <c r="I25" i="7"/>
  <c r="I27" i="7" s="1"/>
  <c r="I29" i="7" s="1"/>
  <c r="I30" i="7" s="1"/>
  <c r="I31" i="7" s="1"/>
  <c r="C42" i="7" s="1"/>
  <c r="D42" i="7" s="1"/>
  <c r="I85" i="7"/>
  <c r="I86" i="7" s="1"/>
  <c r="J67" i="7"/>
  <c r="J68" i="7" s="1"/>
  <c r="J74" i="7" s="1"/>
  <c r="B70" i="7"/>
  <c r="J24" i="7"/>
  <c r="J85" i="7" s="1"/>
  <c r="J86" i="7" s="1"/>
  <c r="J88" i="7" s="1"/>
  <c r="J90" i="7" s="1"/>
  <c r="J91" i="7" s="1"/>
  <c r="J92" i="7" s="1"/>
  <c r="J102" i="7"/>
  <c r="J103" i="7" s="1"/>
  <c r="L100" i="7"/>
  <c r="L65" i="7"/>
  <c r="K7" i="7"/>
  <c r="K8" i="7" s="1"/>
  <c r="K13" i="7" s="1"/>
  <c r="U34" i="4"/>
  <c r="L7" i="7"/>
  <c r="L102" i="7" s="1"/>
  <c r="L103" i="7" s="1"/>
  <c r="V34" i="4"/>
  <c r="K83" i="7"/>
  <c r="I88" i="7"/>
  <c r="G76" i="7"/>
  <c r="G77" i="7" s="1"/>
  <c r="L118" i="7"/>
  <c r="L83" i="7"/>
  <c r="G29" i="7"/>
  <c r="J109" i="7"/>
  <c r="J15" i="7"/>
  <c r="J16" i="7" s="1"/>
  <c r="J17" i="7" s="1"/>
  <c r="K107" i="7"/>
  <c r="K72" i="7"/>
  <c r="B105" i="7"/>
  <c r="K24" i="7"/>
  <c r="G123" i="7"/>
  <c r="I126" i="7"/>
  <c r="I127" i="7" s="1"/>
  <c r="L107" i="7"/>
  <c r="L72" i="7"/>
  <c r="B12" i="7"/>
  <c r="I111" i="7"/>
  <c r="I112" i="7" s="1"/>
  <c r="K102" i="7" l="1"/>
  <c r="K103" i="7" s="1"/>
  <c r="K67" i="7"/>
  <c r="K68" i="7" s="1"/>
  <c r="J25" i="7"/>
  <c r="J27" i="7" s="1"/>
  <c r="J29" i="7" s="1"/>
  <c r="J30" i="7" s="1"/>
  <c r="J31" i="7" s="1"/>
  <c r="C43" i="7" s="1"/>
  <c r="D43" i="7" s="1"/>
  <c r="J120" i="7"/>
  <c r="J121" i="7" s="1"/>
  <c r="J123" i="7" s="1"/>
  <c r="J125" i="7" s="1"/>
  <c r="J126" i="7" s="1"/>
  <c r="J127" i="7" s="1"/>
  <c r="L67" i="7"/>
  <c r="L68" i="7" s="1"/>
  <c r="L74" i="7" s="1"/>
  <c r="L76" i="7" s="1"/>
  <c r="L77" i="7" s="1"/>
  <c r="L78" i="7" s="1"/>
  <c r="L24" i="7"/>
  <c r="B7" i="7"/>
  <c r="L8" i="7"/>
  <c r="L13" i="7" s="1"/>
  <c r="L15" i="7" s="1"/>
  <c r="L16" i="7" s="1"/>
  <c r="L17" i="7" s="1"/>
  <c r="L109" i="7"/>
  <c r="L111" i="7" s="1"/>
  <c r="L112" i="7" s="1"/>
  <c r="L113" i="7" s="1"/>
  <c r="B72" i="7"/>
  <c r="K109" i="7"/>
  <c r="B102" i="7"/>
  <c r="G78" i="7"/>
  <c r="G30" i="7"/>
  <c r="K15" i="7"/>
  <c r="K16" i="7" s="1"/>
  <c r="J76" i="7"/>
  <c r="J77" i="7" s="1"/>
  <c r="J111" i="7"/>
  <c r="J112" i="7" s="1"/>
  <c r="J113" i="7" s="1"/>
  <c r="G125" i="7"/>
  <c r="I113" i="7"/>
  <c r="K120" i="7"/>
  <c r="K121" i="7" s="1"/>
  <c r="K123" i="7" s="1"/>
  <c r="K125" i="7" s="1"/>
  <c r="K85" i="7"/>
  <c r="K86" i="7" s="1"/>
  <c r="K25" i="7"/>
  <c r="B107" i="7"/>
  <c r="K74" i="7"/>
  <c r="I90" i="7"/>
  <c r="B67" i="7" l="1"/>
  <c r="L85" i="7"/>
  <c r="L86" i="7" s="1"/>
  <c r="L88" i="7" s="1"/>
  <c r="L90" i="7" s="1"/>
  <c r="L91" i="7" s="1"/>
  <c r="L92" i="7" s="1"/>
  <c r="L120" i="7"/>
  <c r="L121" i="7" s="1"/>
  <c r="L123" i="7" s="1"/>
  <c r="L125" i="7" s="1"/>
  <c r="L126" i="7" s="1"/>
  <c r="L127" i="7" s="1"/>
  <c r="L25" i="7"/>
  <c r="L27" i="7" s="1"/>
  <c r="L29" i="7" s="1"/>
  <c r="L30" i="7" s="1"/>
  <c r="L31" i="7" s="1"/>
  <c r="C45" i="7" s="1"/>
  <c r="D45" i="7" s="1"/>
  <c r="B24" i="7"/>
  <c r="K111" i="7"/>
  <c r="K112" i="7" s="1"/>
  <c r="K113" i="7" s="1"/>
  <c r="J78" i="7"/>
  <c r="K88" i="7"/>
  <c r="G126" i="7"/>
  <c r="G127" i="7" s="1"/>
  <c r="K17" i="7"/>
  <c r="K126" i="7"/>
  <c r="K127" i="7" s="1"/>
  <c r="B85" i="7"/>
  <c r="G31" i="7"/>
  <c r="K76" i="7"/>
  <c r="I91" i="7"/>
  <c r="I92" i="7" s="1"/>
  <c r="K27" i="7"/>
  <c r="B120" i="7" l="1"/>
  <c r="K29" i="7"/>
  <c r="K77" i="7"/>
  <c r="K90" i="7"/>
  <c r="C40" i="7"/>
  <c r="K30" i="7" l="1"/>
  <c r="K91" i="7"/>
  <c r="K78" i="7"/>
  <c r="D40" i="7"/>
  <c r="K31" i="7" l="1"/>
  <c r="C44" i="7" s="1"/>
  <c r="K92" i="7"/>
  <c r="D44" i="7" l="1"/>
  <c r="AC9" i="1"/>
  <c r="N4" i="1"/>
  <c r="N8" i="1"/>
  <c r="N18" i="1"/>
  <c r="N22" i="1" s="1"/>
  <c r="N25" i="1"/>
  <c r="N29" i="1" s="1"/>
  <c r="N11" i="1"/>
  <c r="N15" i="1" s="1"/>
  <c r="N32" i="1"/>
  <c r="N36" i="1" s="1"/>
  <c r="N39" i="1" l="1"/>
  <c r="D5" i="7" s="1"/>
  <c r="D100" i="7" s="1"/>
  <c r="D22" i="7" l="1"/>
  <c r="D83" i="7" s="1"/>
  <c r="D8" i="7"/>
  <c r="D65" i="7"/>
  <c r="D118" i="7"/>
  <c r="D13" i="7"/>
  <c r="D68" i="7"/>
  <c r="D103" i="7"/>
  <c r="D25" i="7" l="1"/>
  <c r="D86" i="7"/>
  <c r="D109" i="7"/>
  <c r="D121" i="7"/>
  <c r="D74" i="7"/>
  <c r="D15" i="7"/>
  <c r="D16" i="7" s="1"/>
  <c r="D27" i="7"/>
  <c r="D76" i="7" l="1"/>
  <c r="D111" i="7"/>
  <c r="D123" i="7"/>
  <c r="D17" i="7"/>
  <c r="D88" i="7"/>
  <c r="D29" i="7"/>
  <c r="D90" i="7" l="1"/>
  <c r="D125" i="7"/>
  <c r="D77" i="7"/>
  <c r="D30" i="7"/>
  <c r="D112" i="7"/>
  <c r="D126" i="7" l="1"/>
  <c r="D31" i="7"/>
  <c r="D91" i="7"/>
  <c r="D113" i="7"/>
  <c r="D78" i="7"/>
  <c r="D92" i="7" l="1"/>
  <c r="D93" i="7" s="1"/>
  <c r="C37" i="7"/>
  <c r="D32" i="7"/>
  <c r="D127" i="7"/>
  <c r="D128" i="7" l="1"/>
  <c r="E37" i="7"/>
  <c r="D37" i="7"/>
  <c r="AD9" i="1"/>
  <c r="O18" i="1"/>
  <c r="O22" i="1"/>
  <c r="O4" i="1"/>
  <c r="O8" i="1"/>
  <c r="O25" i="1"/>
  <c r="O29" i="1" s="1"/>
  <c r="O11" i="1"/>
  <c r="O15" i="1"/>
  <c r="O32" i="1"/>
  <c r="O36" i="1" s="1"/>
  <c r="O39" i="1" s="1"/>
  <c r="E5" i="7" s="1"/>
  <c r="C57" i="7" l="1"/>
  <c r="E100" i="7"/>
  <c r="E22" i="7"/>
  <c r="B5" i="7"/>
  <c r="E65" i="7"/>
  <c r="E8" i="7"/>
  <c r="E83" i="7" l="1"/>
  <c r="E118" i="7"/>
  <c r="B22" i="7"/>
  <c r="E25" i="7"/>
  <c r="B100" i="7"/>
  <c r="E103" i="7"/>
  <c r="B8" i="7"/>
  <c r="E13" i="7"/>
  <c r="B65" i="7"/>
  <c r="E68" i="7"/>
  <c r="E27" i="7" l="1"/>
  <c r="B25" i="7"/>
  <c r="E74" i="7"/>
  <c r="B68" i="7"/>
  <c r="E15" i="7"/>
  <c r="B15" i="7" s="1"/>
  <c r="B13" i="7"/>
  <c r="B103" i="7"/>
  <c r="E109" i="7"/>
  <c r="B118" i="7"/>
  <c r="E121" i="7"/>
  <c r="E86" i="7"/>
  <c r="B83" i="7"/>
  <c r="B121" i="7" l="1"/>
  <c r="E123" i="7"/>
  <c r="E76" i="7"/>
  <c r="B76" i="7" s="1"/>
  <c r="B74" i="7"/>
  <c r="B86" i="7"/>
  <c r="E88" i="7"/>
  <c r="B109" i="7"/>
  <c r="E111" i="7"/>
  <c r="B111" i="7" s="1"/>
  <c r="E16" i="7"/>
  <c r="B27" i="7"/>
  <c r="E29" i="7"/>
  <c r="E77" i="7" l="1"/>
  <c r="E78" i="7" s="1"/>
  <c r="B16" i="7"/>
  <c r="B17" i="7" s="1"/>
  <c r="E17" i="7"/>
  <c r="B88" i="7"/>
  <c r="E90" i="7"/>
  <c r="E125" i="7"/>
  <c r="B123" i="7"/>
  <c r="B29" i="7"/>
  <c r="E30" i="7"/>
  <c r="B30" i="7" s="1"/>
  <c r="E112" i="7"/>
  <c r="B77" i="7" l="1"/>
  <c r="B78" i="7" s="1"/>
  <c r="E113" i="7"/>
  <c r="B112" i="7"/>
  <c r="B113" i="7" s="1"/>
  <c r="B90" i="7"/>
  <c r="E91" i="7"/>
  <c r="B91" i="7" s="1"/>
  <c r="E31" i="7"/>
  <c r="E126" i="7"/>
  <c r="B126" i="7" s="1"/>
  <c r="B125" i="7"/>
  <c r="E92" i="7" l="1"/>
  <c r="E93" i="7" s="1"/>
  <c r="E32" i="7"/>
  <c r="B31" i="7"/>
  <c r="C38" i="7"/>
  <c r="E127" i="7"/>
  <c r="B92" i="7" l="1"/>
  <c r="F32" i="7"/>
  <c r="G32" i="7" s="1"/>
  <c r="H32" i="7" s="1"/>
  <c r="I32" i="7" s="1"/>
  <c r="J32" i="7" s="1"/>
  <c r="K32" i="7" s="1"/>
  <c r="L32" i="7" s="1"/>
  <c r="B127" i="7"/>
  <c r="E128" i="7"/>
  <c r="C49" i="7"/>
  <c r="E38" i="7"/>
  <c r="D38" i="7"/>
  <c r="C59" i="7"/>
  <c r="C50" i="7"/>
  <c r="C58" i="7" s="1"/>
  <c r="C48" i="7"/>
  <c r="F93" i="7"/>
  <c r="G93" i="7" s="1"/>
  <c r="H93" i="7" s="1"/>
  <c r="I93" i="7" s="1"/>
  <c r="J93" i="7" s="1"/>
  <c r="K93" i="7" s="1"/>
  <c r="L93" i="7" s="1"/>
  <c r="B32" i="7" l="1"/>
  <c r="F128" i="7"/>
  <c r="G128" i="7" s="1"/>
  <c r="H128" i="7" s="1"/>
  <c r="I128" i="7" s="1"/>
  <c r="J128" i="7" s="1"/>
  <c r="K128" i="7" s="1"/>
  <c r="L128" i="7" s="1"/>
  <c r="B93" i="7"/>
  <c r="E39" i="7"/>
  <c r="E40" i="7" s="1"/>
  <c r="E41" i="7" l="1"/>
  <c r="E42" i="7" s="1"/>
  <c r="E43" i="7" s="1"/>
  <c r="E44" i="7" s="1"/>
  <c r="E45" i="7" s="1"/>
  <c r="B128" i="7"/>
</calcChain>
</file>

<file path=xl/sharedStrings.xml><?xml version="1.0" encoding="utf-8"?>
<sst xmlns="http://schemas.openxmlformats.org/spreadsheetml/2006/main" count="494" uniqueCount="213">
  <si>
    <t>المصروفات الدراسية</t>
  </si>
  <si>
    <t>ايرادات  المصروفات دراسية</t>
  </si>
  <si>
    <t>المرحلة</t>
  </si>
  <si>
    <t>السنة</t>
  </si>
  <si>
    <t>البيان</t>
  </si>
  <si>
    <t>حضانة</t>
  </si>
  <si>
    <t>اجمالى الحضانة</t>
  </si>
  <si>
    <t>عدد الفصول</t>
  </si>
  <si>
    <t>سعة الفصل</t>
  </si>
  <si>
    <t>اجمالى الطلاب</t>
  </si>
  <si>
    <t>ابتدائى</t>
  </si>
  <si>
    <t>اجمالى الابتدائى</t>
  </si>
  <si>
    <t>اعدادى</t>
  </si>
  <si>
    <t>اجمالى الاعدادى</t>
  </si>
  <si>
    <t>ثانوى</t>
  </si>
  <si>
    <t>اجمالى الثانوى</t>
  </si>
  <si>
    <t>سعر بيع الزى المدرسى</t>
  </si>
  <si>
    <t>الاجمالى</t>
  </si>
  <si>
    <t>القيمة</t>
  </si>
  <si>
    <t>ايرادات الزى المدرسى</t>
  </si>
  <si>
    <t>سعر بيع الكتب المدرسى</t>
  </si>
  <si>
    <t>ايرادات الكتب الدراسية</t>
  </si>
  <si>
    <t>سعر بيع الادوات للانشطه المدرسى</t>
  </si>
  <si>
    <t>ايرادات الباصات</t>
  </si>
  <si>
    <t>سعر اشتراكات الباص المدرسى</t>
  </si>
  <si>
    <t>ايرادات الانشطة</t>
  </si>
  <si>
    <t>اجمالى الايرادات</t>
  </si>
  <si>
    <t>الاجور و المرتبات</t>
  </si>
  <si>
    <t>م</t>
  </si>
  <si>
    <t>الوظيفة</t>
  </si>
  <si>
    <t>الفئة</t>
  </si>
  <si>
    <t>عدد العاملين</t>
  </si>
  <si>
    <t>فئة الراتب الشهرى</t>
  </si>
  <si>
    <t>المرتب الشهرى</t>
  </si>
  <si>
    <t>الاجر التامينى</t>
  </si>
  <si>
    <t>اجمالى الاجر التامينى</t>
  </si>
  <si>
    <t>مدير</t>
  </si>
  <si>
    <t>المدير المسئول</t>
  </si>
  <si>
    <t>مساعد</t>
  </si>
  <si>
    <t>شئون العاملين</t>
  </si>
  <si>
    <t>الاداريين</t>
  </si>
  <si>
    <t>استقبال</t>
  </si>
  <si>
    <t>محاسب</t>
  </si>
  <si>
    <t>المدير الاكاديمى</t>
  </si>
  <si>
    <t>مسئول الحاسب الالى</t>
  </si>
  <si>
    <t>شئون الطلاب</t>
  </si>
  <si>
    <t>وكيل رياض اطفال</t>
  </si>
  <si>
    <t>وكيل ابتدائى</t>
  </si>
  <si>
    <t>وكيل اعدادى</t>
  </si>
  <si>
    <t>وكيل ثانوي</t>
  </si>
  <si>
    <t>علاقات عامة</t>
  </si>
  <si>
    <t>مسئول الامن</t>
  </si>
  <si>
    <t>اللغة الانجليزية</t>
  </si>
  <si>
    <t>رؤساء الاقسام</t>
  </si>
  <si>
    <t>اللغة الفرنسية</t>
  </si>
  <si>
    <t>اللغة الالمانية</t>
  </si>
  <si>
    <t>اللغة العربية</t>
  </si>
  <si>
    <t>الرياضيات</t>
  </si>
  <si>
    <t>العلوم</t>
  </si>
  <si>
    <t>الفيزياء</t>
  </si>
  <si>
    <t>الكيمياء</t>
  </si>
  <si>
    <t>الاحياء</t>
  </si>
  <si>
    <t>الدراسات الاجتماعية</t>
  </si>
  <si>
    <t>التربية الرياضية</t>
  </si>
  <si>
    <t>التربية الفنية</t>
  </si>
  <si>
    <t>التربية الدينية</t>
  </si>
  <si>
    <t>التربية الموسيقية</t>
  </si>
  <si>
    <t>مدرس لغة انجليزية</t>
  </si>
  <si>
    <t>مدرسين رياض اطفال</t>
  </si>
  <si>
    <t>مدرس لغة عربية</t>
  </si>
  <si>
    <t>مدرس لغة فرنسية</t>
  </si>
  <si>
    <t>مدرس تربية دينية</t>
  </si>
  <si>
    <t>مدرس تربية رياضية</t>
  </si>
  <si>
    <t>مدرس تربية فنية</t>
  </si>
  <si>
    <t>مدرس تربية موسيقية</t>
  </si>
  <si>
    <t>مدرسين اعدادى و ابتدائى</t>
  </si>
  <si>
    <t>مدرس لغة المانية</t>
  </si>
  <si>
    <t>مدرس رياضيات</t>
  </si>
  <si>
    <t>مدرس علوم</t>
  </si>
  <si>
    <t>مدرس دراسات</t>
  </si>
  <si>
    <t>مدرسين الثانوية العامة</t>
  </si>
  <si>
    <t>مدرس فيزياء</t>
  </si>
  <si>
    <t>مدرس كمياء</t>
  </si>
  <si>
    <t>مدرس فلسفة</t>
  </si>
  <si>
    <t>مدرس جغرافيا</t>
  </si>
  <si>
    <t>مدرس احياء</t>
  </si>
  <si>
    <t>مدرس مساعد</t>
  </si>
  <si>
    <t>المساعدين و الأشراف</t>
  </si>
  <si>
    <t>عامل نظافة</t>
  </si>
  <si>
    <t>عامل أمن</t>
  </si>
  <si>
    <t>مشرف داخلى و خارجى</t>
  </si>
  <si>
    <t>امين معمل</t>
  </si>
  <si>
    <t>امين مكتبة</t>
  </si>
  <si>
    <t>المرتبات فى التشغيل الكامل للمداس</t>
  </si>
  <si>
    <t>المرتبات الشهري</t>
  </si>
  <si>
    <t>المرتبات السنوية</t>
  </si>
  <si>
    <t>اجمالى الاجر الشامل</t>
  </si>
  <si>
    <t>المصروفات العمومية و الادارية</t>
  </si>
  <si>
    <t>فواتير الكهرباء و المياة و الهاتف</t>
  </si>
  <si>
    <t>مصاريف نثرية</t>
  </si>
  <si>
    <t>مصاريف انتقال</t>
  </si>
  <si>
    <t>ادوات نظافة</t>
  </si>
  <si>
    <t>مستلزمات تعليم</t>
  </si>
  <si>
    <t>ادوات مكتبية</t>
  </si>
  <si>
    <t>التامينات الاجتماعية</t>
  </si>
  <si>
    <t>الدعاية و الأعلان</t>
  </si>
  <si>
    <t>تكاليف الزى المدرسي</t>
  </si>
  <si>
    <t>تكاليف الكتب المدرسية</t>
  </si>
  <si>
    <t>تكاليف الانشطة</t>
  </si>
  <si>
    <t>تكاليف الباصات</t>
  </si>
  <si>
    <t>اعداد الباصات بالنسبة الى عدد الطلبة بنسبة اشتراك 35%</t>
  </si>
  <si>
    <t>عدد الطلاب</t>
  </si>
  <si>
    <t>عدد الباصات</t>
  </si>
  <si>
    <t>سعر تاجير الباص المدرسى</t>
  </si>
  <si>
    <t>اجمالى التكاليف</t>
  </si>
  <si>
    <t>التكاليف الاستثمارية</t>
  </si>
  <si>
    <t>اقساط الاهلاك باتباع القسط الثابت</t>
  </si>
  <si>
    <t>معدل الاهلاك</t>
  </si>
  <si>
    <t>قيمة الاهلاك السنوى</t>
  </si>
  <si>
    <t>المبانى و الانشاءات</t>
  </si>
  <si>
    <t>كاميرات المراقبة</t>
  </si>
  <si>
    <t>تجهيزات الملاعب</t>
  </si>
  <si>
    <t>الاثات</t>
  </si>
  <si>
    <t>اجهزة الحاسب الالى</t>
  </si>
  <si>
    <t>اجهزة العرض الالكترونية و اللوحات الذكية</t>
  </si>
  <si>
    <t>اجهزة التبريد و التكييف</t>
  </si>
  <si>
    <t>رأس المال العامل</t>
  </si>
  <si>
    <t>مصاريف التشغيل</t>
  </si>
  <si>
    <t>المرتبات</t>
  </si>
  <si>
    <t>قائمة الدخل المتوقعة</t>
  </si>
  <si>
    <t>(المبالغ المدرجة بالجنية المصرى)</t>
  </si>
  <si>
    <t>الاجمالى المتوقع</t>
  </si>
  <si>
    <t>جنيه مصرى</t>
  </si>
  <si>
    <t>صافى الايراد</t>
  </si>
  <si>
    <t xml:space="preserve">يخصم </t>
  </si>
  <si>
    <t>تكاليف التشغيل</t>
  </si>
  <si>
    <t>مجمل أرباح النشاط</t>
  </si>
  <si>
    <t>يخصم</t>
  </si>
  <si>
    <t>مصروفات عمومية وإدارية</t>
  </si>
  <si>
    <t>الاهلاك و الاستهلاكات</t>
  </si>
  <si>
    <t xml:space="preserve">صافى أرباح الفترة </t>
  </si>
  <si>
    <t>الضرائب 22.5%</t>
  </si>
  <si>
    <t>هامش الربح</t>
  </si>
  <si>
    <t>نسبة هامش الربح</t>
  </si>
  <si>
    <t>قائمة التدفقات النقدية  المتوقعة</t>
  </si>
  <si>
    <t>اجمالى الايرادات المتوقعة للنشاط</t>
  </si>
  <si>
    <t>اجمالى تكاليف التششغيل</t>
  </si>
  <si>
    <t>مجمل ربح النشاط المتوقع</t>
  </si>
  <si>
    <t>صافى ربح العملية</t>
  </si>
  <si>
    <t>صافى الربح بعد الفوائد</t>
  </si>
  <si>
    <t>الضرائب</t>
  </si>
  <si>
    <t>صافى التدفقات النقدية</t>
  </si>
  <si>
    <t>صافى التدفقات النقدية التراكمي</t>
  </si>
  <si>
    <t>التدفقات النقدية</t>
  </si>
  <si>
    <t>القيمة الحالية</t>
  </si>
  <si>
    <t>الرصيد</t>
  </si>
  <si>
    <t>التكلفة الاستثمارية</t>
  </si>
  <si>
    <t>التدفقات النقدية للسنة الاولى</t>
  </si>
  <si>
    <t>التدفقات النقدية للسنة الثانية</t>
  </si>
  <si>
    <t>التدفقات النقدية للسنة الثالثة</t>
  </si>
  <si>
    <t>التدفقات النقدية للسنة الرابعة</t>
  </si>
  <si>
    <t>التدفقات النقدية للسنة الخامسة</t>
  </si>
  <si>
    <t>التدفقات النقدية السنة السادسة</t>
  </si>
  <si>
    <t>التدفقات النقدية السنة السابعة</t>
  </si>
  <si>
    <t>التدفقات النقدية السنة الثامنة</t>
  </si>
  <si>
    <t>التدفقات النقدية السنة التاسعة</t>
  </si>
  <si>
    <t>التدفقات النقدية السنة العاشرة</t>
  </si>
  <si>
    <t>معدل الخصم ( معدل العائد المطلوب)</t>
  </si>
  <si>
    <t>الفائدة</t>
  </si>
  <si>
    <t>صافى القيمة الحالية</t>
  </si>
  <si>
    <t>دليل الربحية</t>
  </si>
  <si>
    <t>معدل العائد الداخلى</t>
  </si>
  <si>
    <t>سنة</t>
  </si>
  <si>
    <t>الحالة الاساسية</t>
  </si>
  <si>
    <t>اجمالى تكاليف الاستثمار</t>
  </si>
  <si>
    <t>رأس المال العامل خلال العام الأول للتشغيل</t>
  </si>
  <si>
    <t xml:space="preserve">متوسط الايرادات خلال فترة الدراسة </t>
  </si>
  <si>
    <t>معدل العائد الداخلى المطور</t>
  </si>
  <si>
    <t>معدل العائد على الاستثمار</t>
  </si>
  <si>
    <t>قائمة الدخل المتوقعة فى جالة انخفاض الايرادات بنسبة 5%</t>
  </si>
  <si>
    <t>قائمة التدفقات النقدية  المتوقعة فى حالة انخفاض الايرادات 5%</t>
  </si>
  <si>
    <t>قائمة الدخل المتوقعة فى جالة انخفاض الايرادات بنسبة 10%</t>
  </si>
  <si>
    <t>قائمة التدفقات النقدية  المتوقعة فى حالة انخفاض الايرادات 10%</t>
  </si>
  <si>
    <t>اشغال مدرسة لغات</t>
  </si>
  <si>
    <t>السنه الاولى</t>
  </si>
  <si>
    <t>السنه الثانيه</t>
  </si>
  <si>
    <t>السنه الثالثه</t>
  </si>
  <si>
    <t>السنه الرابعه</t>
  </si>
  <si>
    <t>السنه الخامسه</t>
  </si>
  <si>
    <t>السنه السادسه</t>
  </si>
  <si>
    <t>السنه السابعه</t>
  </si>
  <si>
    <t>السنه الثامنه</t>
  </si>
  <si>
    <t>السنه التاسعه</t>
  </si>
  <si>
    <t>السنه العاشره</t>
  </si>
  <si>
    <r>
      <t xml:space="preserve">كاميرات المراقبة * </t>
    </r>
    <r>
      <rPr>
        <b/>
        <vertAlign val="superscript"/>
        <sz val="11"/>
        <color rgb="FF000000"/>
        <rFont val="Sakkal Majalla"/>
      </rPr>
      <t>مرفق عرض اسعار</t>
    </r>
  </si>
  <si>
    <r>
      <t xml:space="preserve">اجمالى اعمال النجيل* </t>
    </r>
    <r>
      <rPr>
        <b/>
        <vertAlign val="superscript"/>
        <sz val="11"/>
        <color rgb="FF000000"/>
        <rFont val="Sakkal Majalla"/>
      </rPr>
      <t>مرفق عرض اسعار</t>
    </r>
  </si>
  <si>
    <r>
      <t xml:space="preserve">اجمالى الاثات* </t>
    </r>
    <r>
      <rPr>
        <b/>
        <vertAlign val="superscript"/>
        <sz val="11"/>
        <color rgb="FF000000"/>
        <rFont val="Sakkal Majalla"/>
      </rPr>
      <t>مرفق عرض اسعار</t>
    </r>
  </si>
  <si>
    <r>
      <t xml:space="preserve">اجمالى اجهزة الحاسب الالى* </t>
    </r>
    <r>
      <rPr>
        <b/>
        <vertAlign val="superscript"/>
        <sz val="11"/>
        <color rgb="FF000000"/>
        <rFont val="Sakkal Majalla"/>
      </rPr>
      <t>مرفق عرض اسعار</t>
    </r>
  </si>
  <si>
    <r>
      <t xml:space="preserve">اجمالى اجهزة العرض الالكترونية و اللوحات الذكية* </t>
    </r>
    <r>
      <rPr>
        <b/>
        <vertAlign val="superscript"/>
        <sz val="11"/>
        <color rgb="FF000000"/>
        <rFont val="Sakkal Majalla"/>
      </rPr>
      <t>مرفق عرض اسعار</t>
    </r>
  </si>
  <si>
    <r>
      <t xml:space="preserve">اجمالى اجهزة التبريد و التكييف* </t>
    </r>
    <r>
      <rPr>
        <b/>
        <vertAlign val="superscript"/>
        <sz val="11"/>
        <color rgb="FF000000"/>
        <rFont val="Sakkal Majalla"/>
      </rPr>
      <t>مرفق عرض اسعار</t>
    </r>
  </si>
  <si>
    <t xml:space="preserve">6,918,208.56
</t>
  </si>
  <si>
    <t>مدرسة النيل التكنولوجيه للغات</t>
  </si>
  <si>
    <t>اشغال مدرسة النيل التكنولوجيه للغات</t>
  </si>
  <si>
    <r>
      <t xml:space="preserve">اجمالى اعمال انشاءات  مدرسةالنيل التكنولوجيه لغات* </t>
    </r>
    <r>
      <rPr>
        <b/>
        <vertAlign val="superscript"/>
        <sz val="11"/>
        <color rgb="FF000000"/>
        <rFont val="Sakkal Majalla"/>
      </rPr>
      <t>مرفق عرض اسعار</t>
    </r>
  </si>
  <si>
    <t>رقم الصفحة</t>
  </si>
  <si>
    <t>المقدمة</t>
  </si>
  <si>
    <t>الدراسة التسويقية</t>
  </si>
  <si>
    <t>الدراسة الفنية</t>
  </si>
  <si>
    <t>الدراسة المالية</t>
  </si>
  <si>
    <t>الجدوي الاقتصادية للمشروع</t>
  </si>
  <si>
    <t>بيانات عن المستثمر</t>
  </si>
  <si>
    <t>البيـــــــــــــــــــــــــــــــــــان</t>
  </si>
  <si>
    <t xml:space="preserve">فترة الاسترداد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</si>
</sst>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#,##0.000_);[Red]\(#,##0.000\)"/>
    <numFmt numFmtId="166" formatCode="0.000"/>
    <numFmt numFmtId="167" formatCode="#,##0.0000000"/>
  </numFmts>
  <fonts count="23" x14ac:knownFonts="1">
    <font>
      <sz val="11"/>
      <color rgb="FF000000"/>
      <name val="Arial"/>
      <family val="2"/>
      <charset val="1"/>
    </font>
    <font>
      <b/>
      <sz val="11"/>
      <color rgb="FF000000"/>
      <name val="Sakkal Majalla"/>
    </font>
    <font>
      <sz val="11"/>
      <color rgb="FF000000"/>
      <name val="Sakkal Majalla"/>
    </font>
    <font>
      <sz val="11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Sakkal Majalla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Sakkal Majalla"/>
    </font>
    <font>
      <b/>
      <sz val="14"/>
      <color rgb="FF000000"/>
      <name val="Sakkal Majalla"/>
    </font>
    <font>
      <b/>
      <sz val="11"/>
      <color rgb="FF000000"/>
      <name val="Sakkal Majalla"/>
    </font>
    <font>
      <b/>
      <sz val="10"/>
      <color rgb="FF000000"/>
      <name val="Sakkal Majalla"/>
    </font>
    <font>
      <b/>
      <sz val="14"/>
      <color rgb="FF000000"/>
      <name val="Arial"/>
      <family val="2"/>
    </font>
    <font>
      <b/>
      <vertAlign val="superscript"/>
      <sz val="11"/>
      <color rgb="FF000000"/>
      <name val="Sakkal Majalla"/>
    </font>
    <font>
      <b/>
      <sz val="11"/>
      <color rgb="FF000000"/>
      <name val="Arial"/>
      <family val="2"/>
      <charset val="1"/>
    </font>
    <font>
      <b/>
      <i/>
      <sz val="12"/>
      <color rgb="FF000000"/>
      <name val="Sakkal Majalla"/>
    </font>
    <font>
      <b/>
      <u/>
      <sz val="16"/>
      <color rgb="FF000000"/>
      <name val="Sakkal Majalla"/>
    </font>
    <font>
      <sz val="16"/>
      <color rgb="FF000000"/>
      <name val="Sakkal Majalla"/>
    </font>
    <font>
      <sz val="16"/>
      <color rgb="FF000000"/>
      <name val="Arial"/>
      <family val="2"/>
      <charset val="1"/>
    </font>
    <font>
      <b/>
      <sz val="16"/>
      <color rgb="FF000000"/>
      <name val="Sakkal Majalla"/>
    </font>
    <font>
      <sz val="16"/>
      <name val="Arial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159">
    <xf numFmtId="0" fontId="0" fillId="0" borderId="0" xfId="0"/>
    <xf numFmtId="0" fontId="0" fillId="0" borderId="0" xfId="0" applyBorder="1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0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2" xfId="0" applyFont="1" applyBorder="1"/>
    <xf numFmtId="0" fontId="1" fillId="0" borderId="2" xfId="0" applyFont="1" applyBorder="1" applyAlignment="1">
      <alignment vertical="center"/>
    </xf>
    <xf numFmtId="19" fontId="1" fillId="0" borderId="0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9" fontId="1" fillId="0" borderId="0" xfId="0" applyNumberFormat="1" applyFont="1" applyBorder="1" applyAlignment="1">
      <alignment horizontal="center" vertical="center" textRotation="90"/>
    </xf>
    <xf numFmtId="0" fontId="0" fillId="0" borderId="3" xfId="0" applyBorder="1"/>
    <xf numFmtId="0" fontId="2" fillId="0" borderId="2" xfId="0" applyFont="1" applyBorder="1"/>
    <xf numFmtId="4" fontId="0" fillId="0" borderId="2" xfId="0" applyNumberFormat="1" applyBorder="1"/>
    <xf numFmtId="9" fontId="2" fillId="0" borderId="2" xfId="0" applyNumberFormat="1" applyFont="1" applyBorder="1"/>
    <xf numFmtId="9" fontId="2" fillId="0" borderId="4" xfId="0" applyNumberFormat="1" applyFont="1" applyBorder="1"/>
    <xf numFmtId="9" fontId="2" fillId="0" borderId="0" xfId="0" applyNumberFormat="1" applyFont="1" applyBorder="1"/>
    <xf numFmtId="0" fontId="2" fillId="0" borderId="4" xfId="0" applyFont="1" applyBorder="1"/>
    <xf numFmtId="0" fontId="2" fillId="0" borderId="0" xfId="0" applyFont="1" applyBorder="1"/>
    <xf numFmtId="4" fontId="2" fillId="0" borderId="0" xfId="0" applyNumberFormat="1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3" fontId="0" fillId="0" borderId="2" xfId="0" applyNumberFormat="1" applyBorder="1"/>
    <xf numFmtId="0" fontId="3" fillId="0" borderId="0" xfId="0" applyFont="1"/>
    <xf numFmtId="4" fontId="2" fillId="0" borderId="2" xfId="0" applyNumberFormat="1" applyFont="1" applyBorder="1"/>
    <xf numFmtId="4" fontId="0" fillId="0" borderId="0" xfId="0" applyNumberForma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ont="1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3" xfId="0" applyNumberFormat="1" applyBorder="1"/>
    <xf numFmtId="0" fontId="4" fillId="0" borderId="0" xfId="0" applyFont="1"/>
    <xf numFmtId="4" fontId="4" fillId="0" borderId="0" xfId="0" applyNumberFormat="1" applyFont="1"/>
    <xf numFmtId="3" fontId="0" fillId="0" borderId="0" xfId="0" applyNumberFormat="1" applyBorder="1"/>
    <xf numFmtId="1" fontId="0" fillId="0" borderId="0" xfId="0" applyNumberFormat="1" applyBorder="1"/>
    <xf numFmtId="2" fontId="0" fillId="0" borderId="0" xfId="0" applyNumberFormat="1"/>
    <xf numFmtId="4" fontId="0" fillId="0" borderId="0" xfId="0" applyNumberFormat="1"/>
    <xf numFmtId="0" fontId="5" fillId="0" borderId="2" xfId="0" applyFont="1" applyBorder="1" applyAlignment="1">
      <alignment horizontal="center" vertical="center" wrapText="1" readingOrder="2"/>
    </xf>
    <xf numFmtId="4" fontId="5" fillId="0" borderId="2" xfId="0" applyNumberFormat="1" applyFont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1" fontId="2" fillId="0" borderId="2" xfId="0" applyNumberFormat="1" applyFont="1" applyBorder="1"/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/>
    </xf>
    <xf numFmtId="0" fontId="9" fillId="0" borderId="2" xfId="0" applyFont="1" applyBorder="1"/>
    <xf numFmtId="4" fontId="9" fillId="0" borderId="2" xfId="0" applyNumberFormat="1" applyFont="1" applyBorder="1"/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right" vertical="center"/>
    </xf>
    <xf numFmtId="0" fontId="8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0" xfId="0" applyFont="1"/>
    <xf numFmtId="1" fontId="9" fillId="0" borderId="2" xfId="0" applyNumberFormat="1" applyFont="1" applyBorder="1" applyAlignment="1">
      <alignment horizontal="center" wrapText="1" readingOrder="2"/>
    </xf>
    <xf numFmtId="1" fontId="5" fillId="0" borderId="2" xfId="0" applyNumberFormat="1" applyFont="1" applyBorder="1" applyAlignment="1">
      <alignment horizontal="center" vertical="center" readingOrder="2"/>
    </xf>
    <xf numFmtId="1" fontId="4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/>
    <xf numFmtId="1" fontId="2" fillId="0" borderId="0" xfId="0" applyNumberFormat="1" applyFont="1" applyBorder="1"/>
    <xf numFmtId="1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2" fillId="0" borderId="2" xfId="0" applyFont="1" applyBorder="1" applyAlignment="1">
      <alignment horizontal="right" vertical="center" wrapText="1" readingOrder="2"/>
    </xf>
    <xf numFmtId="4" fontId="12" fillId="0" borderId="2" xfId="0" applyNumberFormat="1" applyFont="1" applyBorder="1" applyAlignment="1">
      <alignment horizontal="center" vertical="center" wrapText="1" readingOrder="2"/>
    </xf>
    <xf numFmtId="0" fontId="11" fillId="0" borderId="2" xfId="0" applyFont="1" applyBorder="1" applyAlignment="1">
      <alignment horizontal="center" vertical="center" wrapText="1" readingOrder="2"/>
    </xf>
    <xf numFmtId="9" fontId="12" fillId="0" borderId="2" xfId="1" applyFont="1" applyBorder="1" applyAlignment="1" applyProtection="1">
      <alignment horizontal="center" vertical="center" wrapText="1" readingOrder="2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4" fontId="13" fillId="0" borderId="2" xfId="0" applyNumberFormat="1" applyFont="1" applyBorder="1" applyAlignment="1">
      <alignment horizontal="center"/>
    </xf>
    <xf numFmtId="1" fontId="2" fillId="0" borderId="4" xfId="0" applyNumberFormat="1" applyFont="1" applyBorder="1"/>
    <xf numFmtId="0" fontId="9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4" fontId="11" fillId="0" borderId="2" xfId="0" applyNumberFormat="1" applyFont="1" applyBorder="1" applyAlignment="1"/>
    <xf numFmtId="4" fontId="11" fillId="0" borderId="2" xfId="0" applyNumberFormat="1" applyFont="1" applyBorder="1" applyAlignment="1">
      <alignment horizontal="right"/>
    </xf>
    <xf numFmtId="9" fontId="6" fillId="0" borderId="0" xfId="1"/>
    <xf numFmtId="0" fontId="18" fillId="0" borderId="0" xfId="0" applyFont="1"/>
    <xf numFmtId="0" fontId="19" fillId="0" borderId="0" xfId="0" applyFont="1"/>
    <xf numFmtId="0" fontId="18" fillId="0" borderId="2" xfId="0" applyFont="1" applyBorder="1" applyAlignment="1">
      <alignment horizontal="right" readingOrder="2"/>
    </xf>
    <xf numFmtId="0" fontId="20" fillId="0" borderId="2" xfId="0" applyFont="1" applyBorder="1" applyAlignment="1">
      <alignment horizontal="center" readingOrder="2"/>
    </xf>
    <xf numFmtId="0" fontId="17" fillId="0" borderId="2" xfId="0" applyFont="1" applyBorder="1" applyAlignment="1">
      <alignment horizontal="center" readingOrder="2"/>
    </xf>
    <xf numFmtId="3" fontId="18" fillId="0" borderId="2" xfId="0" applyNumberFormat="1" applyFont="1" applyBorder="1" applyAlignment="1">
      <alignment horizontal="center" vertical="center" readingOrder="2"/>
    </xf>
    <xf numFmtId="3" fontId="18" fillId="0" borderId="2" xfId="0" applyNumberFormat="1" applyFont="1" applyBorder="1" applyAlignment="1">
      <alignment horizontal="center" readingOrder="2"/>
    </xf>
    <xf numFmtId="0" fontId="17" fillId="0" borderId="2" xfId="0" applyFont="1" applyBorder="1" applyAlignment="1">
      <alignment horizontal="right" readingOrder="2"/>
    </xf>
    <xf numFmtId="0" fontId="18" fillId="0" borderId="2" xfId="0" applyFont="1" applyBorder="1" applyAlignment="1">
      <alignment horizontal="center" vertical="center" readingOrder="2"/>
    </xf>
    <xf numFmtId="0" fontId="18" fillId="0" borderId="2" xfId="0" applyFont="1" applyBorder="1" applyAlignment="1">
      <alignment horizontal="center" readingOrder="2"/>
    </xf>
    <xf numFmtId="0" fontId="18" fillId="0" borderId="2" xfId="0" applyFont="1" applyBorder="1"/>
    <xf numFmtId="0" fontId="20" fillId="2" borderId="2" xfId="0" applyFont="1" applyFill="1" applyBorder="1" applyAlignment="1">
      <alignment horizontal="right" readingOrder="2"/>
    </xf>
    <xf numFmtId="3" fontId="20" fillId="2" borderId="2" xfId="0" applyNumberFormat="1" applyFont="1" applyFill="1" applyBorder="1" applyAlignment="1">
      <alignment horizontal="center" vertical="center" readingOrder="2"/>
    </xf>
    <xf numFmtId="3" fontId="20" fillId="2" borderId="2" xfId="0" applyNumberFormat="1" applyFont="1" applyFill="1" applyBorder="1" applyAlignment="1">
      <alignment horizontal="center" readingOrder="2"/>
    </xf>
    <xf numFmtId="0" fontId="20" fillId="0" borderId="2" xfId="0" applyFont="1" applyBorder="1" applyAlignment="1">
      <alignment horizontal="right" readingOrder="2"/>
    </xf>
    <xf numFmtId="4" fontId="18" fillId="0" borderId="2" xfId="0" applyNumberFormat="1" applyFont="1" applyBorder="1" applyAlignment="1">
      <alignment horizontal="center" vertical="center" readingOrder="2"/>
    </xf>
    <xf numFmtId="4" fontId="18" fillId="0" borderId="2" xfId="0" applyNumberFormat="1" applyFont="1" applyBorder="1" applyAlignment="1">
      <alignment horizontal="center" readingOrder="2"/>
    </xf>
    <xf numFmtId="1" fontId="18" fillId="0" borderId="0" xfId="0" applyNumberFormat="1" applyFont="1"/>
    <xf numFmtId="3" fontId="20" fillId="0" borderId="2" xfId="0" applyNumberFormat="1" applyFont="1" applyBorder="1" applyAlignment="1">
      <alignment horizontal="center" readingOrder="2"/>
    </xf>
    <xf numFmtId="0" fontId="18" fillId="2" borderId="2" xfId="0" applyFont="1" applyFill="1" applyBorder="1"/>
    <xf numFmtId="10" fontId="18" fillId="2" borderId="2" xfId="0" applyNumberFormat="1" applyFont="1" applyFill="1" applyBorder="1" applyAlignment="1">
      <alignment horizontal="center" vertical="center"/>
    </xf>
    <xf numFmtId="10" fontId="18" fillId="2" borderId="2" xfId="0" applyNumberFormat="1" applyFont="1" applyFill="1" applyBorder="1" applyAlignment="1">
      <alignment horizontal="center"/>
    </xf>
    <xf numFmtId="0" fontId="17" fillId="0" borderId="10" xfId="0" applyFont="1" applyBorder="1" applyAlignment="1">
      <alignment readingOrder="2"/>
    </xf>
    <xf numFmtId="0" fontId="17" fillId="0" borderId="9" xfId="0" applyFont="1" applyBorder="1" applyAlignment="1">
      <alignment readingOrder="2"/>
    </xf>
    <xf numFmtId="4" fontId="18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8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right" readingOrder="2"/>
    </xf>
    <xf numFmtId="0" fontId="18" fillId="2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4" fontId="18" fillId="0" borderId="0" xfId="0" applyNumberFormat="1" applyFont="1"/>
    <xf numFmtId="164" fontId="18" fillId="0" borderId="0" xfId="0" applyNumberFormat="1" applyFont="1"/>
    <xf numFmtId="165" fontId="21" fillId="0" borderId="0" xfId="0" applyNumberFormat="1" applyFont="1" applyBorder="1"/>
    <xf numFmtId="0" fontId="18" fillId="0" borderId="0" xfId="0" applyFont="1" applyBorder="1"/>
    <xf numFmtId="166" fontId="18" fillId="0" borderId="0" xfId="0" applyNumberFormat="1" applyFont="1"/>
    <xf numFmtId="9" fontId="18" fillId="0" borderId="2" xfId="0" applyNumberFormat="1" applyFont="1" applyBorder="1" applyAlignment="1">
      <alignment horizontal="center"/>
    </xf>
    <xf numFmtId="4" fontId="18" fillId="0" borderId="0" xfId="0" applyNumberFormat="1" applyFont="1" applyBorder="1" applyAlignment="1">
      <alignment horizontal="center"/>
    </xf>
    <xf numFmtId="10" fontId="18" fillId="0" borderId="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9" fontId="18" fillId="0" borderId="0" xfId="0" applyNumberFormat="1" applyFont="1"/>
    <xf numFmtId="167" fontId="18" fillId="0" borderId="0" xfId="0" applyNumberFormat="1" applyFont="1"/>
    <xf numFmtId="2" fontId="18" fillId="0" borderId="2" xfId="0" applyNumberFormat="1" applyFont="1" applyBorder="1" applyAlignment="1">
      <alignment horizontal="center"/>
    </xf>
    <xf numFmtId="10" fontId="18" fillId="0" borderId="0" xfId="0" applyNumberFormat="1" applyFont="1"/>
    <xf numFmtId="4" fontId="18" fillId="0" borderId="2" xfId="0" applyNumberFormat="1" applyFont="1" applyBorder="1"/>
    <xf numFmtId="3" fontId="18" fillId="0" borderId="2" xfId="0" applyNumberFormat="1" applyFont="1" applyBorder="1"/>
    <xf numFmtId="9" fontId="18" fillId="0" borderId="2" xfId="0" applyNumberFormat="1" applyFont="1" applyBorder="1"/>
    <xf numFmtId="4" fontId="22" fillId="0" borderId="2" xfId="0" applyNumberFormat="1" applyFont="1" applyBorder="1"/>
    <xf numFmtId="0" fontId="1" fillId="0" borderId="2" xfId="0" applyFont="1" applyBorder="1" applyAlignment="1">
      <alignment horizontal="center" vertical="center" wrapText="1" readingOrder="2"/>
    </xf>
    <xf numFmtId="0" fontId="7" fillId="0" borderId="2" xfId="0" applyFont="1" applyBorder="1"/>
    <xf numFmtId="0" fontId="13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 readingOrder="2"/>
    </xf>
    <xf numFmtId="0" fontId="10" fillId="0" borderId="9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 readingOrder="2"/>
    </xf>
    <xf numFmtId="0" fontId="17" fillId="0" borderId="10" xfId="0" applyFont="1" applyBorder="1" applyAlignment="1">
      <alignment horizontal="center" readingOrder="2"/>
    </xf>
    <xf numFmtId="0" fontId="17" fillId="0" borderId="12" xfId="0" applyFont="1" applyBorder="1" applyAlignment="1">
      <alignment horizontal="center" readingOrder="2"/>
    </xf>
    <xf numFmtId="0" fontId="18" fillId="0" borderId="2" xfId="0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rightToLeft="1" topLeftCell="U1" zoomScaleNormal="100" workbookViewId="0">
      <selection activeCell="N5" sqref="N5"/>
    </sheetView>
  </sheetViews>
  <sheetFormatPr defaultRowHeight="14.25" x14ac:dyDescent="0.2"/>
  <cols>
    <col min="1" max="1" width="11.375" customWidth="1"/>
    <col min="2" max="11" width="6.125" customWidth="1"/>
    <col min="12" max="12" width="11.625" style="1" customWidth="1"/>
    <col min="13" max="13" width="11.375" style="1" customWidth="1"/>
    <col min="14" max="14" width="11.25" style="1" customWidth="1"/>
    <col min="15" max="15" width="13.625" style="1" customWidth="1"/>
    <col min="16" max="16" width="11.125" style="1" customWidth="1"/>
    <col min="17" max="17" width="11.25" style="1" customWidth="1"/>
    <col min="18" max="18" width="11.375" style="1" customWidth="1"/>
    <col min="19" max="19" width="13.125" style="1" customWidth="1"/>
    <col min="20" max="20" width="12.375" style="1" customWidth="1"/>
    <col min="21" max="21" width="13.375" style="1" customWidth="1"/>
    <col min="22" max="22" width="13.75" style="1" customWidth="1"/>
    <col min="23" max="23" width="2.75" style="1" customWidth="1"/>
    <col min="24" max="24" width="12.75" customWidth="1"/>
    <col min="25" max="25" width="8" customWidth="1"/>
    <col min="26" max="26" width="8.75" customWidth="1"/>
    <col min="27" max="27" width="9.625" customWidth="1"/>
    <col min="28" max="29" width="5.375" customWidth="1"/>
    <col min="30" max="32" width="4.625" customWidth="1"/>
    <col min="33" max="33" width="4.875" customWidth="1"/>
    <col min="34" max="37" width="4.875" style="1" customWidth="1"/>
    <col min="38" max="38" width="5.875" style="1" customWidth="1"/>
    <col min="39" max="39" width="14.125" style="1" customWidth="1"/>
    <col min="40" max="40" width="15" style="1" customWidth="1"/>
    <col min="41" max="41" width="14.125" style="1" customWidth="1"/>
    <col min="42" max="43" width="15.375" style="1" customWidth="1"/>
    <col min="44" max="1025" width="8.5" customWidth="1"/>
  </cols>
  <sheetData>
    <row r="1" spans="1:43" ht="15.75" x14ac:dyDescent="0.25">
      <c r="A1" s="135" t="s">
        <v>201</v>
      </c>
      <c r="B1" s="135"/>
      <c r="C1" s="135"/>
      <c r="D1" s="135"/>
      <c r="E1" s="135"/>
      <c r="F1" s="135"/>
    </row>
    <row r="2" spans="1:43" ht="17.25" customHeight="1" x14ac:dyDescent="0.4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8" t="s">
        <v>1</v>
      </c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3"/>
      <c r="X2" s="128" t="s">
        <v>183</v>
      </c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30"/>
      <c r="AL2" s="4"/>
      <c r="AM2" s="4"/>
      <c r="AN2" s="4"/>
      <c r="AO2" s="4"/>
      <c r="AP2" s="4"/>
      <c r="AQ2" s="4"/>
    </row>
    <row r="3" spans="1:43" ht="17.25" customHeight="1" x14ac:dyDescent="0.2">
      <c r="A3" s="46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7">
        <v>10</v>
      </c>
      <c r="L3" s="46" t="s">
        <v>3</v>
      </c>
      <c r="M3" s="6">
        <v>1</v>
      </c>
      <c r="N3" s="6">
        <v>2</v>
      </c>
      <c r="O3" s="6">
        <v>3</v>
      </c>
      <c r="P3" s="6">
        <v>4</v>
      </c>
      <c r="Q3" s="6">
        <v>5</v>
      </c>
      <c r="R3" s="9">
        <v>6</v>
      </c>
      <c r="S3" s="9">
        <v>7</v>
      </c>
      <c r="T3" s="9">
        <v>8</v>
      </c>
      <c r="U3" s="9">
        <v>9</v>
      </c>
      <c r="V3" s="9">
        <v>10</v>
      </c>
      <c r="W3" s="10"/>
      <c r="X3" s="131" t="s">
        <v>4</v>
      </c>
      <c r="Y3" s="131"/>
      <c r="Z3" s="131"/>
      <c r="AA3" s="131"/>
      <c r="AB3" s="6">
        <v>1</v>
      </c>
      <c r="AC3" s="6">
        <v>2</v>
      </c>
      <c r="AD3" s="6">
        <v>3</v>
      </c>
      <c r="AE3" s="6">
        <v>4</v>
      </c>
      <c r="AF3" s="6">
        <v>5</v>
      </c>
      <c r="AG3" s="11">
        <v>6</v>
      </c>
      <c r="AH3" s="6">
        <v>7</v>
      </c>
      <c r="AI3" s="6">
        <v>8</v>
      </c>
      <c r="AJ3" s="6">
        <v>9</v>
      </c>
      <c r="AK3" s="6">
        <v>10</v>
      </c>
      <c r="AL3" s="12"/>
      <c r="AM3" s="12"/>
      <c r="AN3" s="12"/>
      <c r="AO3" s="12"/>
      <c r="AP3" s="12"/>
      <c r="AQ3" s="12"/>
    </row>
    <row r="4" spans="1:43" ht="22.5" customHeight="1" x14ac:dyDescent="0.45">
      <c r="A4" s="46" t="s">
        <v>5</v>
      </c>
      <c r="B4" s="8">
        <v>30000</v>
      </c>
      <c r="C4" s="8">
        <f t="shared" ref="C4:K4" si="0">B4*107/100</f>
        <v>32100</v>
      </c>
      <c r="D4" s="8">
        <f t="shared" si="0"/>
        <v>34347</v>
      </c>
      <c r="E4" s="8">
        <f t="shared" si="0"/>
        <v>36751.29</v>
      </c>
      <c r="F4" s="8">
        <f t="shared" si="0"/>
        <v>39323.880300000004</v>
      </c>
      <c r="G4" s="8">
        <f t="shared" si="0"/>
        <v>42076.551921000006</v>
      </c>
      <c r="H4" s="8">
        <f t="shared" si="0"/>
        <v>45021.910555470007</v>
      </c>
      <c r="I4" s="8">
        <f t="shared" si="0"/>
        <v>48173.444294352907</v>
      </c>
      <c r="J4" s="8">
        <f t="shared" si="0"/>
        <v>51545.585394957605</v>
      </c>
      <c r="K4" s="13">
        <f t="shared" si="0"/>
        <v>55153.77637260464</v>
      </c>
      <c r="L4" s="47" t="s">
        <v>6</v>
      </c>
      <c r="M4" s="123">
        <f t="shared" ref="M4:V7" si="1">B4*AB5</f>
        <v>1620000</v>
      </c>
      <c r="N4" s="123">
        <f t="shared" si="1"/>
        <v>2166750</v>
      </c>
      <c r="O4" s="123">
        <f t="shared" si="1"/>
        <v>2782107</v>
      </c>
      <c r="P4" s="123">
        <f t="shared" si="1"/>
        <v>3472996.9050000003</v>
      </c>
      <c r="Q4" s="123">
        <f t="shared" si="1"/>
        <v>4246979.0724000009</v>
      </c>
      <c r="R4" s="123">
        <f t="shared" si="1"/>
        <v>5112301.0584015008</v>
      </c>
      <c r="S4" s="123">
        <f t="shared" si="1"/>
        <v>6077957.9249884514</v>
      </c>
      <c r="T4" s="123">
        <f t="shared" si="1"/>
        <v>7153756.4777114065</v>
      </c>
      <c r="U4" s="123">
        <f t="shared" si="1"/>
        <v>8350384.8339831317</v>
      </c>
      <c r="V4" s="123">
        <f t="shared" si="1"/>
        <v>9679487.7533921134</v>
      </c>
      <c r="X4" s="14" t="s">
        <v>2</v>
      </c>
      <c r="Y4" s="14" t="s">
        <v>7</v>
      </c>
      <c r="Z4" s="14" t="s">
        <v>8</v>
      </c>
      <c r="AA4" s="14" t="s">
        <v>9</v>
      </c>
      <c r="AB4" s="16">
        <v>0.2</v>
      </c>
      <c r="AC4" s="16">
        <v>0.25</v>
      </c>
      <c r="AD4" s="16">
        <v>0.3</v>
      </c>
      <c r="AE4" s="16">
        <v>0.35</v>
      </c>
      <c r="AF4" s="16">
        <v>0.4</v>
      </c>
      <c r="AG4" s="17">
        <v>0.45</v>
      </c>
      <c r="AH4" s="16">
        <v>0.5</v>
      </c>
      <c r="AI4" s="16">
        <v>0.55000000000000004</v>
      </c>
      <c r="AJ4" s="16">
        <v>0.6</v>
      </c>
      <c r="AK4" s="16">
        <v>0.65</v>
      </c>
      <c r="AL4" s="18"/>
      <c r="AM4" s="18"/>
      <c r="AN4" s="18"/>
      <c r="AO4" s="18"/>
      <c r="AP4" s="18"/>
      <c r="AQ4" s="18"/>
    </row>
    <row r="5" spans="1:43" ht="17.25" customHeight="1" x14ac:dyDescent="0.45">
      <c r="A5" s="46" t="s">
        <v>10</v>
      </c>
      <c r="B5" s="8">
        <v>32000</v>
      </c>
      <c r="C5" s="8">
        <f t="shared" ref="C5:K5" si="2">B5*107/100</f>
        <v>34240</v>
      </c>
      <c r="D5" s="8">
        <f t="shared" si="2"/>
        <v>36636.800000000003</v>
      </c>
      <c r="E5" s="8">
        <f t="shared" si="2"/>
        <v>39201.376000000004</v>
      </c>
      <c r="F5" s="8">
        <f t="shared" si="2"/>
        <v>41945.472320000008</v>
      </c>
      <c r="G5" s="8">
        <f t="shared" si="2"/>
        <v>44881.655382400008</v>
      </c>
      <c r="H5" s="8">
        <f t="shared" si="2"/>
        <v>48023.371259168001</v>
      </c>
      <c r="I5" s="8">
        <f t="shared" si="2"/>
        <v>51385.007247309761</v>
      </c>
      <c r="J5" s="8">
        <f t="shared" si="2"/>
        <v>54981.957754621442</v>
      </c>
      <c r="K5" s="13">
        <f t="shared" si="2"/>
        <v>58830.694797444943</v>
      </c>
      <c r="L5" s="47" t="s">
        <v>11</v>
      </c>
      <c r="M5" s="123">
        <f t="shared" si="1"/>
        <v>5184000</v>
      </c>
      <c r="N5" s="123">
        <f t="shared" si="1"/>
        <v>6933600</v>
      </c>
      <c r="O5" s="123">
        <f t="shared" si="1"/>
        <v>8902742.4000000004</v>
      </c>
      <c r="P5" s="123">
        <f t="shared" si="1"/>
        <v>11113590.096000001</v>
      </c>
      <c r="Q5" s="123">
        <f t="shared" si="1"/>
        <v>13590333.031680003</v>
      </c>
      <c r="R5" s="123">
        <f t="shared" si="1"/>
        <v>16359363.386884803</v>
      </c>
      <c r="S5" s="123">
        <f t="shared" si="1"/>
        <v>19449465.359963041</v>
      </c>
      <c r="T5" s="123">
        <f t="shared" si="1"/>
        <v>22892020.728676502</v>
      </c>
      <c r="U5" s="123">
        <f t="shared" si="1"/>
        <v>26721231.468746021</v>
      </c>
      <c r="V5" s="123">
        <f t="shared" si="1"/>
        <v>30974360.810854763</v>
      </c>
      <c r="X5" s="14" t="s">
        <v>6</v>
      </c>
      <c r="Y5" s="14">
        <v>10</v>
      </c>
      <c r="Z5" s="14">
        <v>27</v>
      </c>
      <c r="AA5" s="14">
        <f>Y5*Z5</f>
        <v>270</v>
      </c>
      <c r="AB5" s="14">
        <f>AA5*AB4</f>
        <v>54</v>
      </c>
      <c r="AC5" s="45">
        <f>AA5*AC4</f>
        <v>67.5</v>
      </c>
      <c r="AD5" s="14">
        <f>AA5*AD4</f>
        <v>81</v>
      </c>
      <c r="AE5" s="45">
        <f>AA5*AE4</f>
        <v>94.5</v>
      </c>
      <c r="AF5" s="14">
        <f>AA5*AF4</f>
        <v>108</v>
      </c>
      <c r="AG5" s="71">
        <f>AA5*AG4</f>
        <v>121.5</v>
      </c>
      <c r="AH5" s="14">
        <f>AA5*AH4</f>
        <v>135</v>
      </c>
      <c r="AI5" s="45">
        <f>AA5*AI4</f>
        <v>148.5</v>
      </c>
      <c r="AJ5" s="14">
        <f>AA5*AJ4</f>
        <v>162</v>
      </c>
      <c r="AK5" s="45">
        <f>AA5*AK4</f>
        <v>175.5</v>
      </c>
      <c r="AL5" s="20"/>
      <c r="AM5" s="20"/>
      <c r="AN5" s="20"/>
      <c r="AO5" s="20"/>
      <c r="AP5" s="20"/>
      <c r="AQ5" s="20"/>
    </row>
    <row r="6" spans="1:43" ht="17.25" customHeight="1" x14ac:dyDescent="0.45">
      <c r="A6" s="46" t="s">
        <v>12</v>
      </c>
      <c r="B6" s="8">
        <v>34000</v>
      </c>
      <c r="C6" s="8">
        <f t="shared" ref="C6:K6" si="3">B6*107/100</f>
        <v>36380</v>
      </c>
      <c r="D6" s="8">
        <f t="shared" si="3"/>
        <v>38926.6</v>
      </c>
      <c r="E6" s="8">
        <f t="shared" si="3"/>
        <v>41651.462</v>
      </c>
      <c r="F6" s="8">
        <f t="shared" si="3"/>
        <v>44567.064340000004</v>
      </c>
      <c r="G6" s="8">
        <f t="shared" si="3"/>
        <v>47686.758843800009</v>
      </c>
      <c r="H6" s="8">
        <f t="shared" si="3"/>
        <v>51024.83196286601</v>
      </c>
      <c r="I6" s="8">
        <f t="shared" si="3"/>
        <v>54596.570200266637</v>
      </c>
      <c r="J6" s="8">
        <f t="shared" si="3"/>
        <v>58418.330114285302</v>
      </c>
      <c r="K6" s="13">
        <f t="shared" si="3"/>
        <v>62507.613222285276</v>
      </c>
      <c r="L6" s="47" t="s">
        <v>13</v>
      </c>
      <c r="M6" s="123">
        <f t="shared" si="1"/>
        <v>2754000</v>
      </c>
      <c r="N6" s="123">
        <f t="shared" si="1"/>
        <v>3683475</v>
      </c>
      <c r="O6" s="123">
        <f t="shared" si="1"/>
        <v>4729581.8999999994</v>
      </c>
      <c r="P6" s="123">
        <f t="shared" si="1"/>
        <v>5904094.7385</v>
      </c>
      <c r="Q6" s="123">
        <f t="shared" si="1"/>
        <v>7219864.423080001</v>
      </c>
      <c r="R6" s="123">
        <f t="shared" si="1"/>
        <v>8690911.7992825508</v>
      </c>
      <c r="S6" s="123">
        <f t="shared" si="1"/>
        <v>10332528.472480368</v>
      </c>
      <c r="T6" s="123">
        <f t="shared" si="1"/>
        <v>12161386.012109395</v>
      </c>
      <c r="U6" s="123">
        <f t="shared" si="1"/>
        <v>14195654.217771329</v>
      </c>
      <c r="V6" s="123">
        <f t="shared" si="1"/>
        <v>16455129.180766599</v>
      </c>
      <c r="X6" s="14" t="s">
        <v>11</v>
      </c>
      <c r="Y6" s="14">
        <v>30</v>
      </c>
      <c r="Z6" s="14">
        <v>27</v>
      </c>
      <c r="AA6" s="14">
        <f>Y6*Z6</f>
        <v>810</v>
      </c>
      <c r="AB6" s="14">
        <f>AA6*AB4</f>
        <v>162</v>
      </c>
      <c r="AC6" s="14">
        <f>AA6*AC4</f>
        <v>202.5</v>
      </c>
      <c r="AD6" s="14">
        <f>AA6*AD4</f>
        <v>243</v>
      </c>
      <c r="AE6" s="14">
        <f>AA6*AE4</f>
        <v>283.5</v>
      </c>
      <c r="AF6" s="14">
        <f>AA6*AF4</f>
        <v>324</v>
      </c>
      <c r="AG6" s="19">
        <f>AA6*AG4</f>
        <v>364.5</v>
      </c>
      <c r="AH6" s="14">
        <f>AA6*AH4</f>
        <v>405</v>
      </c>
      <c r="AI6" s="14">
        <f>AA6*AI4</f>
        <v>445.50000000000006</v>
      </c>
      <c r="AJ6" s="14">
        <f>AA6*AJ4</f>
        <v>486</v>
      </c>
      <c r="AK6" s="45">
        <f>AA6*AK4</f>
        <v>526.5</v>
      </c>
      <c r="AL6" s="20"/>
      <c r="AM6" s="20"/>
      <c r="AN6" s="20"/>
      <c r="AO6" s="20"/>
      <c r="AP6" s="20"/>
      <c r="AQ6" s="20"/>
    </row>
    <row r="7" spans="1:43" ht="17.25" customHeight="1" x14ac:dyDescent="0.45">
      <c r="A7" s="46" t="s">
        <v>14</v>
      </c>
      <c r="B7" s="8">
        <v>36000</v>
      </c>
      <c r="C7" s="8">
        <f t="shared" ref="C7:K7" si="4">B7*107/100</f>
        <v>38520</v>
      </c>
      <c r="D7" s="8">
        <f t="shared" si="4"/>
        <v>41216.400000000001</v>
      </c>
      <c r="E7" s="8">
        <f t="shared" si="4"/>
        <v>44101.547999999995</v>
      </c>
      <c r="F7" s="8">
        <f t="shared" si="4"/>
        <v>47188.656360000001</v>
      </c>
      <c r="G7" s="8">
        <f t="shared" si="4"/>
        <v>50491.862305199997</v>
      </c>
      <c r="H7" s="8">
        <f t="shared" si="4"/>
        <v>54026.292666563997</v>
      </c>
      <c r="I7" s="8">
        <f t="shared" si="4"/>
        <v>57808.133153223476</v>
      </c>
      <c r="J7" s="8">
        <f t="shared" si="4"/>
        <v>61854.702473949117</v>
      </c>
      <c r="K7" s="13">
        <f t="shared" si="4"/>
        <v>66184.53164712555</v>
      </c>
      <c r="L7" s="47" t="s">
        <v>15</v>
      </c>
      <c r="M7" s="123">
        <f t="shared" si="1"/>
        <v>2916000</v>
      </c>
      <c r="N7" s="123">
        <f t="shared" si="1"/>
        <v>3900150</v>
      </c>
      <c r="O7" s="123">
        <f t="shared" si="1"/>
        <v>5007792.6000000006</v>
      </c>
      <c r="P7" s="123">
        <f t="shared" si="1"/>
        <v>6251394.4289999995</v>
      </c>
      <c r="Q7" s="123">
        <f t="shared" si="1"/>
        <v>7644562.3303199997</v>
      </c>
      <c r="R7" s="123">
        <f t="shared" si="1"/>
        <v>9202141.9051226992</v>
      </c>
      <c r="S7" s="123">
        <f t="shared" si="1"/>
        <v>10940324.26497921</v>
      </c>
      <c r="T7" s="123">
        <f t="shared" si="1"/>
        <v>12876761.65988053</v>
      </c>
      <c r="U7" s="123">
        <f t="shared" si="1"/>
        <v>15030692.701169636</v>
      </c>
      <c r="V7" s="123">
        <f t="shared" si="1"/>
        <v>17423077.956105802</v>
      </c>
      <c r="X7" s="14" t="s">
        <v>13</v>
      </c>
      <c r="Y7" s="14">
        <v>15</v>
      </c>
      <c r="Z7" s="14">
        <v>27</v>
      </c>
      <c r="AA7" s="14">
        <f>Y7*Z7</f>
        <v>405</v>
      </c>
      <c r="AB7" s="14">
        <f>AA7*AB4</f>
        <v>81</v>
      </c>
      <c r="AC7" s="45">
        <f>AA7*AC4</f>
        <v>101.25</v>
      </c>
      <c r="AD7" s="45">
        <f>AA7*AD4</f>
        <v>121.5</v>
      </c>
      <c r="AE7" s="45">
        <f>AA7*AE4</f>
        <v>141.75</v>
      </c>
      <c r="AF7" s="14">
        <f>AA7*AF4</f>
        <v>162</v>
      </c>
      <c r="AG7" s="71">
        <f>AA7*AG4</f>
        <v>182.25</v>
      </c>
      <c r="AH7" s="45">
        <f>AA7*AH4</f>
        <v>202.5</v>
      </c>
      <c r="AI7" s="45">
        <f>AA7*AI4</f>
        <v>222.75000000000003</v>
      </c>
      <c r="AJ7" s="14">
        <f>AA7*AJ4</f>
        <v>243</v>
      </c>
      <c r="AK7" s="45">
        <f>AA7*AK4</f>
        <v>263.25</v>
      </c>
      <c r="AL7" s="20"/>
      <c r="AM7" s="20"/>
      <c r="AN7" s="20"/>
      <c r="AO7" s="20"/>
      <c r="AP7" s="20"/>
      <c r="AQ7" s="20"/>
    </row>
    <row r="8" spans="1:43" ht="17.25" customHeight="1" x14ac:dyDescent="0.45">
      <c r="A8" s="132" t="s">
        <v>16</v>
      </c>
      <c r="B8" s="133"/>
      <c r="C8" s="133"/>
      <c r="D8" s="133"/>
      <c r="E8" s="133"/>
      <c r="F8" s="133"/>
      <c r="G8" s="133"/>
      <c r="H8" s="133"/>
      <c r="I8" s="133"/>
      <c r="J8" s="133"/>
      <c r="K8" s="134"/>
      <c r="L8" s="50" t="s">
        <v>17</v>
      </c>
      <c r="M8" s="123">
        <f t="shared" ref="M8:V8" si="5">SUM(M4:M7)</f>
        <v>12474000</v>
      </c>
      <c r="N8" s="123">
        <f t="shared" si="5"/>
        <v>16683975</v>
      </c>
      <c r="O8" s="123">
        <f t="shared" si="5"/>
        <v>21422223.900000002</v>
      </c>
      <c r="P8" s="123">
        <f t="shared" si="5"/>
        <v>26742076.168499999</v>
      </c>
      <c r="Q8" s="123">
        <f t="shared" si="5"/>
        <v>32701738.857480004</v>
      </c>
      <c r="R8" s="123">
        <f t="shared" si="5"/>
        <v>39364718.149691552</v>
      </c>
      <c r="S8" s="123">
        <f t="shared" si="5"/>
        <v>46800276.022411078</v>
      </c>
      <c r="T8" s="123">
        <f t="shared" si="5"/>
        <v>55083924.87837784</v>
      </c>
      <c r="U8" s="123">
        <f t="shared" si="5"/>
        <v>64297963.221670121</v>
      </c>
      <c r="V8" s="123">
        <f t="shared" si="5"/>
        <v>74532055.701119274</v>
      </c>
      <c r="W8" s="3"/>
      <c r="X8" s="14" t="s">
        <v>15</v>
      </c>
      <c r="Y8" s="14">
        <v>15</v>
      </c>
      <c r="Z8" s="14">
        <v>27</v>
      </c>
      <c r="AA8" s="14">
        <f>Y8*Z8</f>
        <v>405</v>
      </c>
      <c r="AB8" s="14">
        <f>AA8*AB4</f>
        <v>81</v>
      </c>
      <c r="AC8" s="45">
        <f>AA8*AC4</f>
        <v>101.25</v>
      </c>
      <c r="AD8" s="45">
        <f>AA8*AD4</f>
        <v>121.5</v>
      </c>
      <c r="AE8" s="45">
        <f>AA8*AE4</f>
        <v>141.75</v>
      </c>
      <c r="AF8" s="14">
        <f>AA8*AF4</f>
        <v>162</v>
      </c>
      <c r="AG8" s="71">
        <f>AA8*AG4</f>
        <v>182.25</v>
      </c>
      <c r="AH8" s="45">
        <f>AA8*AH4</f>
        <v>202.5</v>
      </c>
      <c r="AI8" s="45">
        <f>AA8*AI4</f>
        <v>222.75000000000003</v>
      </c>
      <c r="AJ8" s="14">
        <f>AA8*AJ4</f>
        <v>243</v>
      </c>
      <c r="AK8" s="45">
        <f>AA8*AK4</f>
        <v>263.25</v>
      </c>
      <c r="AL8" s="20"/>
      <c r="AM8" s="20"/>
      <c r="AN8" s="20"/>
      <c r="AO8" s="20"/>
      <c r="AP8" s="20"/>
      <c r="AQ8" s="20"/>
    </row>
    <row r="9" spans="1:43" ht="17.25" customHeight="1" x14ac:dyDescent="0.45">
      <c r="A9" s="46" t="s">
        <v>2</v>
      </c>
      <c r="B9" s="6" t="s">
        <v>18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7">
        <v>10</v>
      </c>
      <c r="L9" s="138" t="s">
        <v>19</v>
      </c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0"/>
      <c r="X9" s="14" t="s">
        <v>17</v>
      </c>
      <c r="Y9" s="14">
        <f t="shared" ref="Y9:AK9" si="6">SUM(Y5:Y8)</f>
        <v>70</v>
      </c>
      <c r="Z9" s="14">
        <f t="shared" si="6"/>
        <v>108</v>
      </c>
      <c r="AA9" s="14">
        <f t="shared" si="6"/>
        <v>1890</v>
      </c>
      <c r="AB9" s="14">
        <f t="shared" si="6"/>
        <v>378</v>
      </c>
      <c r="AC9" s="14">
        <f t="shared" si="6"/>
        <v>472.5</v>
      </c>
      <c r="AD9" s="14">
        <f t="shared" si="6"/>
        <v>567</v>
      </c>
      <c r="AE9" s="45">
        <f t="shared" si="6"/>
        <v>661.5</v>
      </c>
      <c r="AF9" s="14">
        <f t="shared" si="6"/>
        <v>756</v>
      </c>
      <c r="AG9" s="45">
        <f t="shared" si="6"/>
        <v>850.5</v>
      </c>
      <c r="AH9" s="14">
        <f t="shared" si="6"/>
        <v>945</v>
      </c>
      <c r="AI9" s="14">
        <f t="shared" si="6"/>
        <v>1039.5</v>
      </c>
      <c r="AJ9" s="14">
        <f t="shared" si="6"/>
        <v>1134</v>
      </c>
      <c r="AK9" s="14">
        <f t="shared" si="6"/>
        <v>1228.5</v>
      </c>
      <c r="AL9" s="20"/>
      <c r="AM9" s="20"/>
      <c r="AN9" s="20"/>
      <c r="AO9" s="20"/>
      <c r="AP9" s="20"/>
      <c r="AQ9" s="20"/>
    </row>
    <row r="10" spans="1:43" ht="17.25" customHeight="1" x14ac:dyDescent="0.45">
      <c r="A10" s="46" t="s">
        <v>5</v>
      </c>
      <c r="B10" s="8">
        <v>2000</v>
      </c>
      <c r="C10" s="8">
        <f t="shared" ref="C10:K10" si="7">B10*107/100</f>
        <v>2140</v>
      </c>
      <c r="D10" s="8">
        <f t="shared" si="7"/>
        <v>2289.8000000000002</v>
      </c>
      <c r="E10" s="8">
        <f t="shared" si="7"/>
        <v>2450.0860000000002</v>
      </c>
      <c r="F10" s="8">
        <f t="shared" si="7"/>
        <v>2621.5920200000005</v>
      </c>
      <c r="G10" s="8">
        <f t="shared" si="7"/>
        <v>2805.1034614000005</v>
      </c>
      <c r="H10" s="8">
        <f t="shared" si="7"/>
        <v>3001.4607036980001</v>
      </c>
      <c r="I10" s="8">
        <f t="shared" si="7"/>
        <v>3211.56295295686</v>
      </c>
      <c r="J10" s="8">
        <f t="shared" si="7"/>
        <v>3436.3723596638401</v>
      </c>
      <c r="K10" s="13">
        <f t="shared" si="7"/>
        <v>3676.9184248403089</v>
      </c>
      <c r="L10" s="46" t="s">
        <v>3</v>
      </c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AK10" s="3"/>
      <c r="AL10" s="20"/>
      <c r="AM10" s="20"/>
      <c r="AN10" s="20"/>
      <c r="AO10" s="20"/>
      <c r="AP10" s="20"/>
      <c r="AQ10" s="20"/>
    </row>
    <row r="11" spans="1:43" ht="17.25" customHeight="1" x14ac:dyDescent="0.45">
      <c r="A11" s="46" t="s">
        <v>10</v>
      </c>
      <c r="B11" s="8">
        <v>2250</v>
      </c>
      <c r="C11" s="8">
        <f t="shared" ref="C11:K11" si="8">B11*107/100</f>
        <v>2407.5</v>
      </c>
      <c r="D11" s="8">
        <f t="shared" si="8"/>
        <v>2576.0250000000001</v>
      </c>
      <c r="E11" s="8">
        <f t="shared" si="8"/>
        <v>2756.3467499999997</v>
      </c>
      <c r="F11" s="8">
        <f t="shared" si="8"/>
        <v>2949.2910225000001</v>
      </c>
      <c r="G11" s="8">
        <f t="shared" si="8"/>
        <v>3155.7413940749998</v>
      </c>
      <c r="H11" s="8">
        <f t="shared" si="8"/>
        <v>3376.6432916602498</v>
      </c>
      <c r="I11" s="8">
        <f t="shared" si="8"/>
        <v>3613.0083220764673</v>
      </c>
      <c r="J11" s="8">
        <f t="shared" si="8"/>
        <v>3865.9189046218198</v>
      </c>
      <c r="K11" s="13">
        <f t="shared" si="8"/>
        <v>4136.5332279453469</v>
      </c>
      <c r="L11" s="47" t="s">
        <v>6</v>
      </c>
      <c r="M11" s="15">
        <f t="shared" ref="M11:V14" si="9">B10*AB5</f>
        <v>108000</v>
      </c>
      <c r="N11" s="15">
        <f t="shared" si="9"/>
        <v>144450</v>
      </c>
      <c r="O11" s="15">
        <f t="shared" si="9"/>
        <v>185473.80000000002</v>
      </c>
      <c r="P11" s="15">
        <f t="shared" si="9"/>
        <v>231533.12700000004</v>
      </c>
      <c r="Q11" s="15">
        <f t="shared" si="9"/>
        <v>283131.93816000008</v>
      </c>
      <c r="R11" s="15">
        <f t="shared" si="9"/>
        <v>340820.07056010008</v>
      </c>
      <c r="S11" s="15">
        <f t="shared" si="9"/>
        <v>405197.19499923004</v>
      </c>
      <c r="T11" s="15">
        <f t="shared" si="9"/>
        <v>476917.09851409373</v>
      </c>
      <c r="U11" s="15">
        <f t="shared" si="9"/>
        <v>556692.32226554211</v>
      </c>
      <c r="V11" s="15">
        <f t="shared" si="9"/>
        <v>645299.18355947419</v>
      </c>
      <c r="AL11" s="20"/>
      <c r="AM11" s="20"/>
      <c r="AN11" s="20"/>
      <c r="AO11" s="20"/>
      <c r="AP11" s="20"/>
      <c r="AQ11" s="20"/>
    </row>
    <row r="12" spans="1:43" ht="17.25" customHeight="1" x14ac:dyDescent="0.45">
      <c r="A12" s="46" t="s">
        <v>12</v>
      </c>
      <c r="B12" s="8">
        <v>2500</v>
      </c>
      <c r="C12" s="8">
        <f t="shared" ref="C12:K12" si="10">B12*107/100</f>
        <v>2675</v>
      </c>
      <c r="D12" s="8">
        <f t="shared" si="10"/>
        <v>2862.25</v>
      </c>
      <c r="E12" s="8">
        <f t="shared" si="10"/>
        <v>3062.6075000000001</v>
      </c>
      <c r="F12" s="8">
        <f t="shared" si="10"/>
        <v>3276.9900250000001</v>
      </c>
      <c r="G12" s="8">
        <f t="shared" si="10"/>
        <v>3506.37932675</v>
      </c>
      <c r="H12" s="8">
        <f t="shared" si="10"/>
        <v>3751.8258796225</v>
      </c>
      <c r="I12" s="8">
        <f t="shared" si="10"/>
        <v>4014.4536911960749</v>
      </c>
      <c r="J12" s="8">
        <f t="shared" si="10"/>
        <v>4295.4654495798004</v>
      </c>
      <c r="K12" s="13">
        <f t="shared" si="10"/>
        <v>4596.1480310503866</v>
      </c>
      <c r="L12" s="47" t="s">
        <v>11</v>
      </c>
      <c r="M12" s="15">
        <f t="shared" si="9"/>
        <v>364500</v>
      </c>
      <c r="N12" s="15">
        <f t="shared" si="9"/>
        <v>487518.75</v>
      </c>
      <c r="O12" s="15">
        <f t="shared" si="9"/>
        <v>625974.07500000007</v>
      </c>
      <c r="P12" s="15">
        <f t="shared" si="9"/>
        <v>781424.30362499994</v>
      </c>
      <c r="Q12" s="15">
        <f t="shared" si="9"/>
        <v>955570.29128999996</v>
      </c>
      <c r="R12" s="15">
        <f t="shared" si="9"/>
        <v>1150267.7381403374</v>
      </c>
      <c r="S12" s="15">
        <f t="shared" si="9"/>
        <v>1367540.5331224012</v>
      </c>
      <c r="T12" s="15">
        <f t="shared" si="9"/>
        <v>1609595.2074850663</v>
      </c>
      <c r="U12" s="15">
        <f t="shared" si="9"/>
        <v>1878836.5876462045</v>
      </c>
      <c r="V12" s="15">
        <f t="shared" si="9"/>
        <v>2177884.7445132253</v>
      </c>
      <c r="X12" s="20"/>
      <c r="AK12" s="21"/>
      <c r="AL12" s="20"/>
      <c r="AM12" s="20"/>
      <c r="AN12" s="20"/>
      <c r="AO12" s="20"/>
      <c r="AP12" s="20"/>
      <c r="AQ12" s="20"/>
    </row>
    <row r="13" spans="1:43" ht="17.25" customHeight="1" x14ac:dyDescent="0.45">
      <c r="A13" s="46" t="s">
        <v>14</v>
      </c>
      <c r="B13" s="8">
        <v>2750</v>
      </c>
      <c r="C13" s="8">
        <f t="shared" ref="C13:K13" si="11">B13*107/100</f>
        <v>2942.5</v>
      </c>
      <c r="D13" s="8">
        <f t="shared" si="11"/>
        <v>3148.4749999999999</v>
      </c>
      <c r="E13" s="8">
        <f t="shared" si="11"/>
        <v>3368.86825</v>
      </c>
      <c r="F13" s="8">
        <f t="shared" si="11"/>
        <v>3604.6890275000001</v>
      </c>
      <c r="G13" s="8">
        <f t="shared" si="11"/>
        <v>3857.0172594249998</v>
      </c>
      <c r="H13" s="8">
        <f t="shared" si="11"/>
        <v>4127.0084675847502</v>
      </c>
      <c r="I13" s="8">
        <f t="shared" si="11"/>
        <v>4415.8990603156826</v>
      </c>
      <c r="J13" s="8">
        <f t="shared" si="11"/>
        <v>4725.0119945377801</v>
      </c>
      <c r="K13" s="13">
        <f t="shared" si="11"/>
        <v>5055.7628341554246</v>
      </c>
      <c r="L13" s="47" t="s">
        <v>13</v>
      </c>
      <c r="M13" s="15">
        <f t="shared" si="9"/>
        <v>202500</v>
      </c>
      <c r="N13" s="15">
        <f t="shared" si="9"/>
        <v>270843.75</v>
      </c>
      <c r="O13" s="15">
        <f t="shared" si="9"/>
        <v>347763.375</v>
      </c>
      <c r="P13" s="15">
        <f t="shared" si="9"/>
        <v>434124.61312500003</v>
      </c>
      <c r="Q13" s="15">
        <f t="shared" si="9"/>
        <v>530872.38404999999</v>
      </c>
      <c r="R13" s="15">
        <f t="shared" si="9"/>
        <v>639037.63230018748</v>
      </c>
      <c r="S13" s="15">
        <f t="shared" si="9"/>
        <v>759744.74062355619</v>
      </c>
      <c r="T13" s="15">
        <f t="shared" si="9"/>
        <v>894219.55971392582</v>
      </c>
      <c r="U13" s="15">
        <f t="shared" si="9"/>
        <v>1043798.1042478915</v>
      </c>
      <c r="V13" s="15">
        <f t="shared" si="9"/>
        <v>1209935.9691740142</v>
      </c>
      <c r="X13" s="20"/>
      <c r="Z13" s="22">
        <v>53</v>
      </c>
      <c r="AA13" s="22">
        <v>83</v>
      </c>
      <c r="AB13" s="22">
        <v>113</v>
      </c>
      <c r="AC13" s="22">
        <v>113</v>
      </c>
      <c r="AD13" s="22">
        <v>113</v>
      </c>
      <c r="AE13" s="23">
        <v>150</v>
      </c>
      <c r="AK13" s="21"/>
      <c r="AL13" s="20"/>
      <c r="AM13" s="20"/>
      <c r="AN13" s="20"/>
      <c r="AO13" s="20"/>
      <c r="AP13" s="20"/>
      <c r="AQ13" s="20"/>
    </row>
    <row r="14" spans="1:43" ht="17.25" customHeight="1" x14ac:dyDescent="0.45">
      <c r="A14" s="136" t="s">
        <v>20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47" t="s">
        <v>15</v>
      </c>
      <c r="M14" s="15">
        <f t="shared" si="9"/>
        <v>222750</v>
      </c>
      <c r="N14" s="15">
        <f t="shared" si="9"/>
        <v>297928.125</v>
      </c>
      <c r="O14" s="15">
        <f t="shared" si="9"/>
        <v>382539.71249999997</v>
      </c>
      <c r="P14" s="15">
        <f t="shared" si="9"/>
        <v>477537.07443749998</v>
      </c>
      <c r="Q14" s="15">
        <f t="shared" si="9"/>
        <v>583959.62245500006</v>
      </c>
      <c r="R14" s="15">
        <f t="shared" si="9"/>
        <v>702941.39553020627</v>
      </c>
      <c r="S14" s="15">
        <f t="shared" si="9"/>
        <v>835719.21468591189</v>
      </c>
      <c r="T14" s="15">
        <f t="shared" si="9"/>
        <v>983641.51568531839</v>
      </c>
      <c r="U14" s="15">
        <f t="shared" si="9"/>
        <v>1148177.9146726807</v>
      </c>
      <c r="V14" s="15">
        <f t="shared" si="9"/>
        <v>1330929.5660914155</v>
      </c>
      <c r="W14" s="3"/>
      <c r="Z14" s="24">
        <v>53</v>
      </c>
      <c r="AA14" s="24">
        <v>83</v>
      </c>
      <c r="AB14" s="24">
        <v>113</v>
      </c>
      <c r="AC14" s="24">
        <v>113</v>
      </c>
      <c r="AD14" s="24">
        <v>113</v>
      </c>
      <c r="AE14" s="25">
        <v>150</v>
      </c>
      <c r="AK14" s="21"/>
      <c r="AL14" s="20"/>
      <c r="AM14" s="20"/>
      <c r="AN14" s="20"/>
      <c r="AO14" s="20"/>
      <c r="AP14" s="20"/>
      <c r="AQ14" s="20"/>
    </row>
    <row r="15" spans="1:43" ht="17.25" customHeight="1" x14ac:dyDescent="0.45">
      <c r="A15" s="46" t="s">
        <v>2</v>
      </c>
      <c r="B15" s="6" t="s">
        <v>18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7">
        <v>10</v>
      </c>
      <c r="L15" s="50" t="s">
        <v>17</v>
      </c>
      <c r="M15" s="26">
        <f t="shared" ref="M15:V15" si="12">SUM(M11:M14)</f>
        <v>897750</v>
      </c>
      <c r="N15" s="26">
        <f t="shared" si="12"/>
        <v>1200740.625</v>
      </c>
      <c r="O15" s="26">
        <f t="shared" si="12"/>
        <v>1541750.9624999999</v>
      </c>
      <c r="P15" s="26">
        <f t="shared" si="12"/>
        <v>1924619.1181875002</v>
      </c>
      <c r="Q15" s="26">
        <f t="shared" si="12"/>
        <v>2353534.2359549999</v>
      </c>
      <c r="R15" s="26">
        <f t="shared" si="12"/>
        <v>2833066.8365308312</v>
      </c>
      <c r="S15" s="15">
        <f t="shared" si="12"/>
        <v>3368201.6834310992</v>
      </c>
      <c r="T15" s="15">
        <f t="shared" si="12"/>
        <v>3964373.3813984045</v>
      </c>
      <c r="U15" s="15">
        <f t="shared" si="12"/>
        <v>4627504.9288323186</v>
      </c>
      <c r="V15" s="15">
        <f t="shared" si="12"/>
        <v>5364049.4633381292</v>
      </c>
      <c r="W15" s="10"/>
      <c r="Z15" s="27">
        <f t="shared" ref="Z15:AE15" si="13">SUM(Z13:Z14)</f>
        <v>106</v>
      </c>
      <c r="AA15" s="27">
        <f t="shared" si="13"/>
        <v>166</v>
      </c>
      <c r="AB15" s="27">
        <f t="shared" si="13"/>
        <v>226</v>
      </c>
      <c r="AC15" s="27">
        <f t="shared" si="13"/>
        <v>226</v>
      </c>
      <c r="AD15" s="27">
        <f t="shared" si="13"/>
        <v>226</v>
      </c>
      <c r="AE15" s="27">
        <f t="shared" si="13"/>
        <v>300</v>
      </c>
      <c r="AG15">
        <v>8</v>
      </c>
      <c r="AK15" s="21"/>
      <c r="AL15" s="20"/>
      <c r="AM15" s="20"/>
      <c r="AN15" s="20"/>
      <c r="AO15" s="20"/>
      <c r="AP15" s="20"/>
      <c r="AQ15" s="20"/>
    </row>
    <row r="16" spans="1:43" ht="17.25" customHeight="1" x14ac:dyDescent="0.45">
      <c r="A16" s="52" t="s">
        <v>5</v>
      </c>
      <c r="B16" s="8">
        <v>4000</v>
      </c>
      <c r="C16" s="8">
        <f t="shared" ref="C16:K16" si="14">B16*107/100</f>
        <v>4280</v>
      </c>
      <c r="D16" s="8">
        <f t="shared" si="14"/>
        <v>4579.6000000000004</v>
      </c>
      <c r="E16" s="8">
        <f t="shared" si="14"/>
        <v>4900.1720000000005</v>
      </c>
      <c r="F16" s="8">
        <f t="shared" si="14"/>
        <v>5243.184040000001</v>
      </c>
      <c r="G16" s="8">
        <f t="shared" si="14"/>
        <v>5610.2069228000009</v>
      </c>
      <c r="H16" s="8">
        <f t="shared" si="14"/>
        <v>6002.9214073960002</v>
      </c>
      <c r="I16" s="8">
        <f t="shared" si="14"/>
        <v>6423.1259059137201</v>
      </c>
      <c r="J16" s="8">
        <f t="shared" si="14"/>
        <v>6872.7447193276803</v>
      </c>
      <c r="K16" s="13">
        <f t="shared" si="14"/>
        <v>7353.8368496806179</v>
      </c>
      <c r="L16" s="138" t="s">
        <v>21</v>
      </c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Z16" s="24">
        <v>53</v>
      </c>
      <c r="AA16" s="24">
        <v>83</v>
      </c>
      <c r="AB16" s="24">
        <v>113</v>
      </c>
      <c r="AC16" s="24">
        <v>113</v>
      </c>
      <c r="AD16" s="24">
        <v>113</v>
      </c>
      <c r="AE16" s="25">
        <v>150</v>
      </c>
      <c r="AK16" s="21"/>
      <c r="AL16" s="20"/>
      <c r="AM16" s="20"/>
      <c r="AN16" s="20"/>
      <c r="AO16" s="20"/>
      <c r="AP16" s="20"/>
      <c r="AQ16" s="20"/>
    </row>
    <row r="17" spans="1:43" ht="17.25" customHeight="1" x14ac:dyDescent="0.45">
      <c r="A17" s="52" t="s">
        <v>10</v>
      </c>
      <c r="B17" s="8">
        <v>4500</v>
      </c>
      <c r="C17" s="8">
        <f t="shared" ref="C17:K17" si="15">B17*107/100</f>
        <v>4815</v>
      </c>
      <c r="D17" s="8">
        <f t="shared" si="15"/>
        <v>5152.05</v>
      </c>
      <c r="E17" s="8">
        <f t="shared" si="15"/>
        <v>5512.6934999999994</v>
      </c>
      <c r="F17" s="8">
        <f t="shared" si="15"/>
        <v>5898.5820450000001</v>
      </c>
      <c r="G17" s="8">
        <f t="shared" si="15"/>
        <v>6311.4827881499996</v>
      </c>
      <c r="H17" s="8">
        <f t="shared" si="15"/>
        <v>6753.2865833204996</v>
      </c>
      <c r="I17" s="8">
        <f t="shared" si="15"/>
        <v>7226.0166441529345</v>
      </c>
      <c r="J17" s="8">
        <f t="shared" si="15"/>
        <v>7731.8378092436396</v>
      </c>
      <c r="K17" s="13">
        <f t="shared" si="15"/>
        <v>8273.0664558906938</v>
      </c>
      <c r="L17" s="46" t="s">
        <v>3</v>
      </c>
      <c r="M17" s="6">
        <v>1</v>
      </c>
      <c r="N17" s="6">
        <v>2</v>
      </c>
      <c r="O17" s="6">
        <v>3</v>
      </c>
      <c r="P17" s="6">
        <v>4</v>
      </c>
      <c r="Q17" s="6">
        <v>5</v>
      </c>
      <c r="R17" s="9">
        <v>6</v>
      </c>
      <c r="S17" s="9">
        <v>7</v>
      </c>
      <c r="T17" s="9">
        <v>8</v>
      </c>
      <c r="U17" s="9">
        <v>9</v>
      </c>
      <c r="V17" s="9">
        <v>10</v>
      </c>
      <c r="Z17" s="24">
        <v>53</v>
      </c>
      <c r="AA17" s="24">
        <v>83</v>
      </c>
      <c r="AB17" s="24">
        <v>113</v>
      </c>
      <c r="AC17" s="24">
        <v>113</v>
      </c>
      <c r="AD17" s="24">
        <v>113</v>
      </c>
      <c r="AE17" s="25">
        <v>150</v>
      </c>
      <c r="AK17" s="3"/>
      <c r="AL17" s="20"/>
      <c r="AM17" s="20"/>
      <c r="AN17" s="20"/>
      <c r="AO17" s="20"/>
      <c r="AP17" s="20"/>
      <c r="AQ17" s="20"/>
    </row>
    <row r="18" spans="1:43" ht="17.25" customHeight="1" x14ac:dyDescent="0.45">
      <c r="A18" s="52" t="s">
        <v>12</v>
      </c>
      <c r="B18" s="8">
        <v>5000</v>
      </c>
      <c r="C18" s="8">
        <f t="shared" ref="C18:K18" si="16">B18*107/100</f>
        <v>5350</v>
      </c>
      <c r="D18" s="8">
        <f t="shared" si="16"/>
        <v>5724.5</v>
      </c>
      <c r="E18" s="8">
        <f t="shared" si="16"/>
        <v>6125.2150000000001</v>
      </c>
      <c r="F18" s="8">
        <f t="shared" si="16"/>
        <v>6553.9800500000001</v>
      </c>
      <c r="G18" s="8">
        <f t="shared" si="16"/>
        <v>7012.7586535</v>
      </c>
      <c r="H18" s="8">
        <f t="shared" si="16"/>
        <v>7503.651759245</v>
      </c>
      <c r="I18" s="8">
        <f t="shared" si="16"/>
        <v>8028.9073823921499</v>
      </c>
      <c r="J18" s="8">
        <f t="shared" si="16"/>
        <v>8590.9308991596008</v>
      </c>
      <c r="K18" s="13">
        <f t="shared" si="16"/>
        <v>9192.2960621007733</v>
      </c>
      <c r="L18" s="47" t="s">
        <v>6</v>
      </c>
      <c r="M18" s="15">
        <f t="shared" ref="M18:V21" si="17">B16*AB5</f>
        <v>216000</v>
      </c>
      <c r="N18" s="15">
        <f t="shared" si="17"/>
        <v>288900</v>
      </c>
      <c r="O18" s="15">
        <f t="shared" si="17"/>
        <v>370947.60000000003</v>
      </c>
      <c r="P18" s="15">
        <f t="shared" si="17"/>
        <v>463066.25400000007</v>
      </c>
      <c r="Q18" s="15">
        <f t="shared" si="17"/>
        <v>566263.87632000016</v>
      </c>
      <c r="R18" s="15">
        <f t="shared" si="17"/>
        <v>681640.14112020016</v>
      </c>
      <c r="S18" s="15">
        <f t="shared" si="17"/>
        <v>810394.38999846007</v>
      </c>
      <c r="T18" s="15">
        <f t="shared" si="17"/>
        <v>953834.19702818745</v>
      </c>
      <c r="U18" s="15">
        <f t="shared" si="17"/>
        <v>1113384.6445310842</v>
      </c>
      <c r="V18" s="15">
        <f t="shared" si="17"/>
        <v>1290598.3671189484</v>
      </c>
      <c r="Z18" s="24">
        <v>53</v>
      </c>
      <c r="AA18" s="24">
        <v>83</v>
      </c>
      <c r="AB18" s="24">
        <v>113</v>
      </c>
      <c r="AC18" s="24">
        <v>113</v>
      </c>
      <c r="AD18" s="24">
        <v>113</v>
      </c>
      <c r="AE18" s="25">
        <v>150</v>
      </c>
      <c r="AL18" s="20"/>
      <c r="AM18" s="20"/>
      <c r="AN18" s="20"/>
      <c r="AO18" s="20"/>
      <c r="AP18" s="20"/>
      <c r="AQ18" s="20"/>
    </row>
    <row r="19" spans="1:43" ht="17.25" customHeight="1" x14ac:dyDescent="0.45">
      <c r="A19" s="52" t="s">
        <v>14</v>
      </c>
      <c r="B19" s="8">
        <v>5500</v>
      </c>
      <c r="C19" s="8">
        <f t="shared" ref="C19:K19" si="18">B19*107/100</f>
        <v>5885</v>
      </c>
      <c r="D19" s="8">
        <f t="shared" si="18"/>
        <v>6296.95</v>
      </c>
      <c r="E19" s="8">
        <f t="shared" si="18"/>
        <v>6737.7365</v>
      </c>
      <c r="F19" s="8">
        <f t="shared" si="18"/>
        <v>7209.3780550000001</v>
      </c>
      <c r="G19" s="8">
        <f t="shared" si="18"/>
        <v>7714.0345188499996</v>
      </c>
      <c r="H19" s="8">
        <f t="shared" si="18"/>
        <v>8254.0169351695004</v>
      </c>
      <c r="I19" s="8">
        <f t="shared" si="18"/>
        <v>8831.7981206313652</v>
      </c>
      <c r="J19" s="8">
        <f t="shared" si="18"/>
        <v>9450.0239890755602</v>
      </c>
      <c r="K19" s="13">
        <f t="shared" si="18"/>
        <v>10111.525668310849</v>
      </c>
      <c r="L19" s="47" t="s">
        <v>11</v>
      </c>
      <c r="M19" s="15">
        <f t="shared" si="17"/>
        <v>729000</v>
      </c>
      <c r="N19" s="15">
        <f t="shared" si="17"/>
        <v>975037.5</v>
      </c>
      <c r="O19" s="15">
        <f t="shared" si="17"/>
        <v>1251948.1500000001</v>
      </c>
      <c r="P19" s="15">
        <f t="shared" si="17"/>
        <v>1562848.6072499999</v>
      </c>
      <c r="Q19" s="15">
        <f t="shared" si="17"/>
        <v>1911140.5825799999</v>
      </c>
      <c r="R19" s="15">
        <f t="shared" si="17"/>
        <v>2300535.4762806748</v>
      </c>
      <c r="S19" s="15">
        <f t="shared" si="17"/>
        <v>2735081.0662448024</v>
      </c>
      <c r="T19" s="15">
        <f t="shared" si="17"/>
        <v>3219190.4149701325</v>
      </c>
      <c r="U19" s="15">
        <f t="shared" si="17"/>
        <v>3757673.175292409</v>
      </c>
      <c r="V19" s="15">
        <f t="shared" si="17"/>
        <v>4355769.4890264506</v>
      </c>
      <c r="Z19" s="24">
        <v>53</v>
      </c>
      <c r="AA19" s="24">
        <v>83</v>
      </c>
      <c r="AB19" s="24">
        <v>113</v>
      </c>
      <c r="AC19" s="24">
        <v>113</v>
      </c>
      <c r="AD19" s="24">
        <v>113</v>
      </c>
      <c r="AE19" s="25">
        <v>150</v>
      </c>
      <c r="AK19" s="20"/>
      <c r="AL19" s="20"/>
      <c r="AM19" s="20"/>
      <c r="AN19" s="20"/>
      <c r="AO19" s="20"/>
      <c r="AP19" s="20"/>
      <c r="AQ19" s="20"/>
    </row>
    <row r="20" spans="1:43" ht="17.25" customHeight="1" x14ac:dyDescent="0.45">
      <c r="A20" s="136" t="s">
        <v>22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47" t="s">
        <v>13</v>
      </c>
      <c r="M20" s="15">
        <f t="shared" si="17"/>
        <v>405000</v>
      </c>
      <c r="N20" s="15">
        <f t="shared" si="17"/>
        <v>541687.5</v>
      </c>
      <c r="O20" s="15">
        <f t="shared" si="17"/>
        <v>695526.75</v>
      </c>
      <c r="P20" s="15">
        <f t="shared" si="17"/>
        <v>868249.22625000007</v>
      </c>
      <c r="Q20" s="15">
        <f t="shared" si="17"/>
        <v>1061744.7681</v>
      </c>
      <c r="R20" s="15">
        <f t="shared" si="17"/>
        <v>1278075.264600375</v>
      </c>
      <c r="S20" s="15">
        <f t="shared" si="17"/>
        <v>1519489.4812471124</v>
      </c>
      <c r="T20" s="15">
        <f t="shared" si="17"/>
        <v>1788439.1194278516</v>
      </c>
      <c r="U20" s="15">
        <f t="shared" si="17"/>
        <v>2087596.2084957829</v>
      </c>
      <c r="V20" s="15">
        <f t="shared" si="17"/>
        <v>2419871.9383480283</v>
      </c>
      <c r="W20" s="3"/>
      <c r="Z20" s="24">
        <v>53</v>
      </c>
      <c r="AA20" s="24">
        <v>83</v>
      </c>
      <c r="AB20" s="24">
        <v>113</v>
      </c>
      <c r="AC20" s="24">
        <v>113</v>
      </c>
      <c r="AD20" s="24">
        <v>113</v>
      </c>
      <c r="AE20" s="25">
        <v>150</v>
      </c>
      <c r="AK20" s="20"/>
      <c r="AL20" s="20"/>
      <c r="AM20" s="20"/>
      <c r="AN20" s="20"/>
      <c r="AO20" s="20"/>
      <c r="AP20" s="20"/>
      <c r="AQ20" s="20"/>
    </row>
    <row r="21" spans="1:43" ht="17.25" customHeight="1" x14ac:dyDescent="0.45">
      <c r="A21" s="46" t="s">
        <v>2</v>
      </c>
      <c r="B21" s="6" t="s">
        <v>18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7">
        <v>10</v>
      </c>
      <c r="L21" s="47" t="s">
        <v>15</v>
      </c>
      <c r="M21" s="15">
        <f t="shared" si="17"/>
        <v>445500</v>
      </c>
      <c r="N21" s="15">
        <f t="shared" si="17"/>
        <v>595856.25</v>
      </c>
      <c r="O21" s="15">
        <f t="shared" si="17"/>
        <v>765079.42499999993</v>
      </c>
      <c r="P21" s="15">
        <f t="shared" si="17"/>
        <v>955074.14887499996</v>
      </c>
      <c r="Q21" s="15">
        <f t="shared" si="17"/>
        <v>1167919.2449100001</v>
      </c>
      <c r="R21" s="15">
        <f t="shared" si="17"/>
        <v>1405882.7910604125</v>
      </c>
      <c r="S21" s="15">
        <f t="shared" si="17"/>
        <v>1671438.4293718238</v>
      </c>
      <c r="T21" s="15">
        <f t="shared" si="17"/>
        <v>1967283.0313706368</v>
      </c>
      <c r="U21" s="15">
        <f t="shared" si="17"/>
        <v>2296355.8293453613</v>
      </c>
      <c r="V21" s="15">
        <f t="shared" si="17"/>
        <v>2661859.1321828309</v>
      </c>
      <c r="W21" s="10"/>
      <c r="Z21" s="24">
        <v>53</v>
      </c>
      <c r="AA21" s="24">
        <v>83</v>
      </c>
      <c r="AB21" s="24">
        <v>113</v>
      </c>
      <c r="AC21" s="24">
        <v>113</v>
      </c>
      <c r="AD21" s="24">
        <v>113</v>
      </c>
      <c r="AE21" s="25">
        <v>150</v>
      </c>
      <c r="AK21" s="20"/>
      <c r="AL21" s="20"/>
      <c r="AM21" s="20"/>
      <c r="AN21" s="20"/>
      <c r="AO21" s="20"/>
      <c r="AP21" s="20"/>
      <c r="AQ21" s="20"/>
    </row>
    <row r="22" spans="1:43" ht="17.25" customHeight="1" x14ac:dyDescent="0.45">
      <c r="A22" s="46" t="s">
        <v>5</v>
      </c>
      <c r="B22" s="8">
        <v>1000</v>
      </c>
      <c r="C22" s="8">
        <f t="shared" ref="C22:K22" si="19">B22*107/100</f>
        <v>1070</v>
      </c>
      <c r="D22" s="8">
        <f t="shared" si="19"/>
        <v>1144.9000000000001</v>
      </c>
      <c r="E22" s="8">
        <f t="shared" si="19"/>
        <v>1225.0430000000001</v>
      </c>
      <c r="F22" s="8">
        <f t="shared" si="19"/>
        <v>1310.7960100000003</v>
      </c>
      <c r="G22" s="8">
        <f t="shared" si="19"/>
        <v>1402.5517307000002</v>
      </c>
      <c r="H22" s="8">
        <f t="shared" si="19"/>
        <v>1500.730351849</v>
      </c>
      <c r="I22" s="8">
        <f t="shared" si="19"/>
        <v>1605.78147647843</v>
      </c>
      <c r="J22" s="8">
        <f t="shared" si="19"/>
        <v>1718.1861798319201</v>
      </c>
      <c r="K22" s="13">
        <f t="shared" si="19"/>
        <v>1838.4592124201545</v>
      </c>
      <c r="L22" s="50" t="s">
        <v>17</v>
      </c>
      <c r="M22" s="26">
        <f t="shared" ref="M22:V22" si="20">SUM(M18:M21)</f>
        <v>1795500</v>
      </c>
      <c r="N22" s="26">
        <f t="shared" si="20"/>
        <v>2401481.25</v>
      </c>
      <c r="O22" s="26">
        <f t="shared" si="20"/>
        <v>3083501.9249999998</v>
      </c>
      <c r="P22" s="26">
        <f t="shared" si="20"/>
        <v>3849238.2363750003</v>
      </c>
      <c r="Q22" s="26">
        <f t="shared" si="20"/>
        <v>4707068.4719099998</v>
      </c>
      <c r="R22" s="26">
        <f t="shared" si="20"/>
        <v>5666133.6730616624</v>
      </c>
      <c r="S22" s="15">
        <f t="shared" si="20"/>
        <v>6736403.3668621983</v>
      </c>
      <c r="T22" s="15">
        <f t="shared" si="20"/>
        <v>7928746.762796809</v>
      </c>
      <c r="U22" s="15">
        <f t="shared" si="20"/>
        <v>9255009.8576646373</v>
      </c>
      <c r="V22" s="15">
        <f t="shared" si="20"/>
        <v>10728098.926676258</v>
      </c>
      <c r="Z22" s="27">
        <f t="shared" ref="Z22:AE22" si="21">SUM(Z16:Z21)</f>
        <v>318</v>
      </c>
      <c r="AA22" s="27">
        <f t="shared" si="21"/>
        <v>498</v>
      </c>
      <c r="AB22" s="27">
        <f t="shared" si="21"/>
        <v>678</v>
      </c>
      <c r="AC22" s="27">
        <f t="shared" si="21"/>
        <v>678</v>
      </c>
      <c r="AD22" s="27">
        <f t="shared" si="21"/>
        <v>678</v>
      </c>
      <c r="AE22" s="27">
        <f t="shared" si="21"/>
        <v>900</v>
      </c>
      <c r="AK22" s="20"/>
      <c r="AL22" s="20"/>
      <c r="AM22" s="20"/>
      <c r="AN22" s="20"/>
      <c r="AO22" s="20"/>
      <c r="AP22" s="20"/>
      <c r="AQ22" s="20"/>
    </row>
    <row r="23" spans="1:43" ht="17.25" customHeight="1" x14ac:dyDescent="0.45">
      <c r="A23" s="46" t="s">
        <v>10</v>
      </c>
      <c r="B23" s="8">
        <v>1250</v>
      </c>
      <c r="C23" s="8">
        <f t="shared" ref="C23:K23" si="22">B23*107/100</f>
        <v>1337.5</v>
      </c>
      <c r="D23" s="8">
        <f t="shared" si="22"/>
        <v>1431.125</v>
      </c>
      <c r="E23" s="8">
        <f t="shared" si="22"/>
        <v>1531.30375</v>
      </c>
      <c r="F23" s="8">
        <f t="shared" si="22"/>
        <v>1638.4950125</v>
      </c>
      <c r="G23" s="8">
        <f t="shared" si="22"/>
        <v>1753.189663375</v>
      </c>
      <c r="H23" s="8">
        <f t="shared" si="22"/>
        <v>1875.91293981125</v>
      </c>
      <c r="I23" s="8">
        <f t="shared" si="22"/>
        <v>2007.2268455980375</v>
      </c>
      <c r="J23" s="8">
        <f t="shared" si="22"/>
        <v>2147.7327247899002</v>
      </c>
      <c r="K23" s="13">
        <f t="shared" si="22"/>
        <v>2298.0740155251933</v>
      </c>
      <c r="L23" s="138" t="s">
        <v>23</v>
      </c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Z23" s="24">
        <v>53</v>
      </c>
      <c r="AA23" s="24">
        <v>83</v>
      </c>
      <c r="AB23" s="24">
        <v>113</v>
      </c>
      <c r="AC23" s="24">
        <v>113</v>
      </c>
      <c r="AD23" s="24">
        <v>113</v>
      </c>
      <c r="AE23" s="25">
        <v>150</v>
      </c>
      <c r="AK23" s="20"/>
      <c r="AL23" s="20"/>
      <c r="AM23" s="20"/>
      <c r="AN23" s="20"/>
      <c r="AO23" s="20"/>
      <c r="AP23" s="20"/>
      <c r="AQ23" s="20"/>
    </row>
    <row r="24" spans="1:43" ht="17.25" customHeight="1" x14ac:dyDescent="0.2">
      <c r="A24" s="46" t="s">
        <v>12</v>
      </c>
      <c r="B24" s="8">
        <v>1500</v>
      </c>
      <c r="C24" s="8">
        <f t="shared" ref="C24:K24" si="23">B24*107/100</f>
        <v>1605</v>
      </c>
      <c r="D24" s="8">
        <f t="shared" si="23"/>
        <v>1717.35</v>
      </c>
      <c r="E24" s="8">
        <f t="shared" si="23"/>
        <v>1837.5644999999997</v>
      </c>
      <c r="F24" s="8">
        <f t="shared" si="23"/>
        <v>1966.1940149999998</v>
      </c>
      <c r="G24" s="8">
        <f t="shared" si="23"/>
        <v>2103.8275960499996</v>
      </c>
      <c r="H24" s="8">
        <f t="shared" si="23"/>
        <v>2251.0955277734993</v>
      </c>
      <c r="I24" s="8">
        <f t="shared" si="23"/>
        <v>2408.6722147176442</v>
      </c>
      <c r="J24" s="8">
        <f t="shared" si="23"/>
        <v>2577.2792697478794</v>
      </c>
      <c r="K24" s="13">
        <f t="shared" si="23"/>
        <v>2757.6888186302308</v>
      </c>
      <c r="L24" s="46" t="s">
        <v>3</v>
      </c>
      <c r="M24" s="6">
        <v>1</v>
      </c>
      <c r="N24" s="6">
        <v>2</v>
      </c>
      <c r="O24" s="6">
        <v>3</v>
      </c>
      <c r="P24" s="6">
        <v>4</v>
      </c>
      <c r="Q24" s="6">
        <v>5</v>
      </c>
      <c r="R24" s="9">
        <v>6</v>
      </c>
      <c r="S24" s="9">
        <v>7</v>
      </c>
      <c r="T24" s="9">
        <v>8</v>
      </c>
      <c r="U24" s="9">
        <v>9</v>
      </c>
      <c r="V24" s="9">
        <v>10</v>
      </c>
      <c r="Z24" s="24">
        <v>53</v>
      </c>
      <c r="AA24" s="24">
        <v>83</v>
      </c>
      <c r="AB24" s="24">
        <v>113</v>
      </c>
      <c r="AC24" s="24">
        <v>113</v>
      </c>
      <c r="AD24" s="24">
        <v>113</v>
      </c>
      <c r="AE24" s="25">
        <v>150</v>
      </c>
      <c r="AK24" s="3"/>
    </row>
    <row r="25" spans="1:43" ht="17.25" customHeight="1" x14ac:dyDescent="0.2">
      <c r="A25" s="46" t="s">
        <v>14</v>
      </c>
      <c r="B25" s="8">
        <v>1850</v>
      </c>
      <c r="C25" s="8">
        <f t="shared" ref="C25:K25" si="24">B25*107/100</f>
        <v>1979.5</v>
      </c>
      <c r="D25" s="8">
        <f t="shared" si="24"/>
        <v>2118.0650000000001</v>
      </c>
      <c r="E25" s="8">
        <f t="shared" si="24"/>
        <v>2266.3295500000004</v>
      </c>
      <c r="F25" s="8">
        <f t="shared" si="24"/>
        <v>2424.9726185000004</v>
      </c>
      <c r="G25" s="8">
        <f t="shared" si="24"/>
        <v>2594.7207017950004</v>
      </c>
      <c r="H25" s="8">
        <f t="shared" si="24"/>
        <v>2776.3511509206505</v>
      </c>
      <c r="I25" s="8">
        <f t="shared" si="24"/>
        <v>2970.6957314850961</v>
      </c>
      <c r="J25" s="8">
        <f t="shared" si="24"/>
        <v>3178.6444326890528</v>
      </c>
      <c r="K25" s="13">
        <f t="shared" si="24"/>
        <v>3401.1495429772867</v>
      </c>
      <c r="L25" s="48" t="s">
        <v>6</v>
      </c>
      <c r="M25" s="15">
        <f t="shared" ref="M25:V28" si="25">AB5*35/100*B28</f>
        <v>170100</v>
      </c>
      <c r="N25" s="15">
        <f t="shared" si="25"/>
        <v>233887.5</v>
      </c>
      <c r="O25" s="15">
        <f t="shared" si="25"/>
        <v>308731.5</v>
      </c>
      <c r="P25" s="15">
        <f t="shared" si="25"/>
        <v>396205.42500000005</v>
      </c>
      <c r="Q25" s="15">
        <f t="shared" si="25"/>
        <v>498086.81999999995</v>
      </c>
      <c r="R25" s="15">
        <f t="shared" si="25"/>
        <v>616382.43975000002</v>
      </c>
      <c r="S25" s="15">
        <f t="shared" si="25"/>
        <v>753356.31524999999</v>
      </c>
      <c r="T25" s="15">
        <f t="shared" si="25"/>
        <v>911561.14145250001</v>
      </c>
      <c r="U25" s="15">
        <f t="shared" si="25"/>
        <v>1093873.369743</v>
      </c>
      <c r="V25" s="15">
        <f t="shared" si="25"/>
        <v>1303532.432277075</v>
      </c>
      <c r="Z25" s="24">
        <v>53</v>
      </c>
      <c r="AA25" s="24">
        <v>83</v>
      </c>
      <c r="AB25" s="24">
        <v>113</v>
      </c>
      <c r="AC25" s="24">
        <v>113</v>
      </c>
      <c r="AD25" s="24">
        <v>113</v>
      </c>
      <c r="AE25" s="25">
        <v>150</v>
      </c>
      <c r="AL25" s="3"/>
      <c r="AM25" s="3"/>
      <c r="AN25" s="3"/>
      <c r="AO25" s="3"/>
      <c r="AP25" s="3"/>
      <c r="AQ25" s="3"/>
    </row>
    <row r="26" spans="1:43" ht="17.25" customHeight="1" x14ac:dyDescent="0.45">
      <c r="A26" s="136" t="s">
        <v>24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48" t="s">
        <v>11</v>
      </c>
      <c r="M26" s="15">
        <f t="shared" si="25"/>
        <v>510300</v>
      </c>
      <c r="N26" s="15">
        <f t="shared" si="25"/>
        <v>701662.5</v>
      </c>
      <c r="O26" s="15">
        <f t="shared" si="25"/>
        <v>926194.5</v>
      </c>
      <c r="P26" s="15">
        <f t="shared" si="25"/>
        <v>1188616.2749999999</v>
      </c>
      <c r="Q26" s="15">
        <f t="shared" si="25"/>
        <v>1494260.46</v>
      </c>
      <c r="R26" s="15">
        <f t="shared" si="25"/>
        <v>1849147.3192500002</v>
      </c>
      <c r="S26" s="15">
        <f t="shared" si="25"/>
        <v>2260068.94575</v>
      </c>
      <c r="T26" s="15">
        <f t="shared" si="25"/>
        <v>2734683.4243575004</v>
      </c>
      <c r="U26" s="15">
        <f t="shared" si="25"/>
        <v>3281620.1092289998</v>
      </c>
      <c r="V26" s="15">
        <f t="shared" si="25"/>
        <v>3910597.296831225</v>
      </c>
      <c r="Z26">
        <f t="shared" ref="Z26:AE26" si="26">SUM(Z23:Z25)</f>
        <v>159</v>
      </c>
      <c r="AA26">
        <f t="shared" si="26"/>
        <v>249</v>
      </c>
      <c r="AB26">
        <f t="shared" si="26"/>
        <v>339</v>
      </c>
      <c r="AC26">
        <f t="shared" si="26"/>
        <v>339</v>
      </c>
      <c r="AD26">
        <f t="shared" si="26"/>
        <v>339</v>
      </c>
      <c r="AE26">
        <f t="shared" si="26"/>
        <v>450</v>
      </c>
      <c r="AK26" s="20"/>
      <c r="AL26" s="12"/>
      <c r="AM26" s="12"/>
      <c r="AN26" s="12"/>
      <c r="AO26" s="12"/>
      <c r="AP26" s="12"/>
      <c r="AQ26" s="12"/>
    </row>
    <row r="27" spans="1:43" ht="17.25" customHeight="1" x14ac:dyDescent="0.45">
      <c r="A27" s="46" t="s">
        <v>2</v>
      </c>
      <c r="B27" s="6" t="s">
        <v>18</v>
      </c>
      <c r="C27" s="6">
        <v>2</v>
      </c>
      <c r="D27" s="6">
        <v>3</v>
      </c>
      <c r="E27" s="6">
        <v>4</v>
      </c>
      <c r="F27" s="6">
        <v>5</v>
      </c>
      <c r="G27" s="6">
        <v>6</v>
      </c>
      <c r="H27" s="6">
        <v>7</v>
      </c>
      <c r="I27" s="6">
        <v>8</v>
      </c>
      <c r="J27" s="6">
        <v>9</v>
      </c>
      <c r="K27" s="7">
        <v>10</v>
      </c>
      <c r="L27" s="48" t="s">
        <v>13</v>
      </c>
      <c r="M27" s="15">
        <f t="shared" si="25"/>
        <v>255150</v>
      </c>
      <c r="N27" s="15">
        <f t="shared" si="25"/>
        <v>350831.25</v>
      </c>
      <c r="O27" s="15">
        <f t="shared" si="25"/>
        <v>463097.25</v>
      </c>
      <c r="P27" s="15">
        <f t="shared" si="25"/>
        <v>594308.13749999995</v>
      </c>
      <c r="Q27" s="15">
        <f t="shared" si="25"/>
        <v>747130.23</v>
      </c>
      <c r="R27" s="15">
        <f t="shared" si="25"/>
        <v>924573.65962500009</v>
      </c>
      <c r="S27" s="15">
        <f t="shared" si="25"/>
        <v>1130034.472875</v>
      </c>
      <c r="T27" s="15">
        <f t="shared" si="25"/>
        <v>1367341.7121787502</v>
      </c>
      <c r="U27" s="15">
        <f t="shared" si="25"/>
        <v>1640810.0546144999</v>
      </c>
      <c r="V27" s="15">
        <f t="shared" si="25"/>
        <v>1955298.6484156125</v>
      </c>
      <c r="Z27" s="24">
        <v>53</v>
      </c>
      <c r="AA27" s="24">
        <v>83</v>
      </c>
      <c r="AB27" s="24">
        <v>113</v>
      </c>
      <c r="AC27" s="24">
        <v>113</v>
      </c>
      <c r="AD27" s="24">
        <v>113</v>
      </c>
      <c r="AE27" s="25">
        <v>150</v>
      </c>
      <c r="AK27" s="20"/>
      <c r="AL27" s="29"/>
      <c r="AM27" s="29"/>
      <c r="AN27" s="29"/>
      <c r="AO27" s="29"/>
      <c r="AP27" s="29"/>
      <c r="AQ27" s="29"/>
    </row>
    <row r="28" spans="1:43" ht="17.25" customHeight="1" x14ac:dyDescent="0.45">
      <c r="A28" s="46" t="s">
        <v>5</v>
      </c>
      <c r="B28" s="8">
        <v>9000</v>
      </c>
      <c r="C28" s="8">
        <f t="shared" ref="C28:K28" si="27">B28*110/100</f>
        <v>9900</v>
      </c>
      <c r="D28" s="8">
        <f t="shared" si="27"/>
        <v>10890</v>
      </c>
      <c r="E28" s="8">
        <f t="shared" si="27"/>
        <v>11979</v>
      </c>
      <c r="F28" s="8">
        <f t="shared" si="27"/>
        <v>13176.9</v>
      </c>
      <c r="G28" s="8">
        <f t="shared" si="27"/>
        <v>14494.59</v>
      </c>
      <c r="H28" s="8">
        <f t="shared" si="27"/>
        <v>15944.048999999999</v>
      </c>
      <c r="I28" s="8">
        <f t="shared" si="27"/>
        <v>17538.4539</v>
      </c>
      <c r="J28" s="8">
        <f t="shared" si="27"/>
        <v>19292.299289999999</v>
      </c>
      <c r="K28" s="8">
        <f t="shared" si="27"/>
        <v>21221.529219</v>
      </c>
      <c r="L28" s="49" t="s">
        <v>15</v>
      </c>
      <c r="M28" s="15">
        <f t="shared" si="25"/>
        <v>255150</v>
      </c>
      <c r="N28" s="15">
        <f t="shared" si="25"/>
        <v>350831.25</v>
      </c>
      <c r="O28" s="15">
        <f t="shared" si="25"/>
        <v>463097.25</v>
      </c>
      <c r="P28" s="15">
        <f t="shared" si="25"/>
        <v>594308.13749999995</v>
      </c>
      <c r="Q28" s="15">
        <f t="shared" si="25"/>
        <v>747130.23</v>
      </c>
      <c r="R28" s="15">
        <f t="shared" si="25"/>
        <v>924573.65962500009</v>
      </c>
      <c r="S28" s="15">
        <f t="shared" si="25"/>
        <v>1130034.472875</v>
      </c>
      <c r="T28" s="15">
        <f t="shared" si="25"/>
        <v>1367341.7121787502</v>
      </c>
      <c r="U28" s="15">
        <f t="shared" si="25"/>
        <v>1640810.0546144999</v>
      </c>
      <c r="V28" s="15">
        <f t="shared" si="25"/>
        <v>1955298.6484156125</v>
      </c>
      <c r="Z28" s="24">
        <v>53</v>
      </c>
      <c r="AA28" s="24">
        <v>83</v>
      </c>
      <c r="AB28" s="24">
        <v>113</v>
      </c>
      <c r="AC28" s="24">
        <v>113</v>
      </c>
      <c r="AD28" s="24">
        <v>113</v>
      </c>
      <c r="AE28" s="25">
        <v>150</v>
      </c>
      <c r="AK28" s="20"/>
      <c r="AL28" s="29"/>
      <c r="AM28" s="29"/>
      <c r="AN28" s="29"/>
      <c r="AO28" s="29"/>
      <c r="AP28" s="29"/>
      <c r="AQ28" s="29"/>
    </row>
    <row r="29" spans="1:43" ht="17.25" customHeight="1" x14ac:dyDescent="0.45">
      <c r="A29" s="46" t="s">
        <v>10</v>
      </c>
      <c r="B29" s="8">
        <v>9000</v>
      </c>
      <c r="C29" s="8">
        <f t="shared" ref="C29:K29" si="28">B29*110/100</f>
        <v>9900</v>
      </c>
      <c r="D29" s="8">
        <f t="shared" si="28"/>
        <v>10890</v>
      </c>
      <c r="E29" s="8">
        <f t="shared" si="28"/>
        <v>11979</v>
      </c>
      <c r="F29" s="8">
        <f t="shared" si="28"/>
        <v>13176.9</v>
      </c>
      <c r="G29" s="8">
        <f t="shared" si="28"/>
        <v>14494.59</v>
      </c>
      <c r="H29" s="8">
        <f t="shared" si="28"/>
        <v>15944.048999999999</v>
      </c>
      <c r="I29" s="8">
        <f t="shared" si="28"/>
        <v>17538.4539</v>
      </c>
      <c r="J29" s="8">
        <f t="shared" si="28"/>
        <v>19292.299289999999</v>
      </c>
      <c r="K29" s="8">
        <f t="shared" si="28"/>
        <v>21221.529219</v>
      </c>
      <c r="L29" s="51" t="s">
        <v>17</v>
      </c>
      <c r="M29" s="26">
        <f t="shared" ref="M29:V29" si="29">SUM(M25:M28)</f>
        <v>1190700</v>
      </c>
      <c r="N29" s="26">
        <f t="shared" si="29"/>
        <v>1637212.5</v>
      </c>
      <c r="O29" s="26">
        <f t="shared" si="29"/>
        <v>2161120.5</v>
      </c>
      <c r="P29" s="26">
        <f t="shared" si="29"/>
        <v>2773437.9749999996</v>
      </c>
      <c r="Q29" s="26">
        <f t="shared" si="29"/>
        <v>3486607.7399999998</v>
      </c>
      <c r="R29" s="26">
        <f t="shared" si="29"/>
        <v>4314677.0782500003</v>
      </c>
      <c r="S29" s="15">
        <f t="shared" si="29"/>
        <v>5273494.2067499999</v>
      </c>
      <c r="T29" s="15">
        <f t="shared" si="29"/>
        <v>6380927.9901675005</v>
      </c>
      <c r="U29" s="15">
        <f t="shared" si="29"/>
        <v>7657113.5882010004</v>
      </c>
      <c r="V29" s="15">
        <f t="shared" si="29"/>
        <v>9124727.0259395242</v>
      </c>
      <c r="Z29" s="24">
        <v>53</v>
      </c>
      <c r="AA29" s="24">
        <v>83</v>
      </c>
      <c r="AB29" s="24">
        <v>113</v>
      </c>
      <c r="AC29" s="24">
        <v>113</v>
      </c>
      <c r="AD29" s="24">
        <v>113</v>
      </c>
      <c r="AE29" s="25">
        <v>150</v>
      </c>
      <c r="AK29" s="20"/>
      <c r="AL29" s="29"/>
      <c r="AM29" s="29"/>
      <c r="AN29" s="29"/>
      <c r="AO29" s="29"/>
      <c r="AP29" s="29"/>
      <c r="AQ29" s="29"/>
    </row>
    <row r="30" spans="1:43" ht="17.25" customHeight="1" x14ac:dyDescent="0.45">
      <c r="A30" s="46" t="s">
        <v>12</v>
      </c>
      <c r="B30" s="8">
        <v>9000</v>
      </c>
      <c r="C30" s="8">
        <f t="shared" ref="C30:K30" si="30">B30*110/100</f>
        <v>9900</v>
      </c>
      <c r="D30" s="8">
        <f t="shared" si="30"/>
        <v>10890</v>
      </c>
      <c r="E30" s="8">
        <f t="shared" si="30"/>
        <v>11979</v>
      </c>
      <c r="F30" s="8">
        <f t="shared" si="30"/>
        <v>13176.9</v>
      </c>
      <c r="G30" s="8">
        <f t="shared" si="30"/>
        <v>14494.59</v>
      </c>
      <c r="H30" s="8">
        <f t="shared" si="30"/>
        <v>15944.048999999999</v>
      </c>
      <c r="I30" s="8">
        <f t="shared" si="30"/>
        <v>17538.4539</v>
      </c>
      <c r="J30" s="8">
        <f t="shared" si="30"/>
        <v>19292.299289999999</v>
      </c>
      <c r="K30" s="8">
        <f t="shared" si="30"/>
        <v>21221.529219</v>
      </c>
      <c r="L30" s="138" t="s">
        <v>25</v>
      </c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Z30">
        <f t="shared" ref="Z30:AE30" si="31">SUM(Z27:Z29)</f>
        <v>159</v>
      </c>
      <c r="AA30">
        <f t="shared" si="31"/>
        <v>249</v>
      </c>
      <c r="AB30">
        <f t="shared" si="31"/>
        <v>339</v>
      </c>
      <c r="AC30">
        <f t="shared" si="31"/>
        <v>339</v>
      </c>
      <c r="AD30">
        <f t="shared" si="31"/>
        <v>339</v>
      </c>
      <c r="AE30">
        <f t="shared" si="31"/>
        <v>450</v>
      </c>
      <c r="AK30" s="20"/>
      <c r="AL30" s="29"/>
      <c r="AM30" s="29"/>
      <c r="AN30" s="29"/>
      <c r="AO30" s="29"/>
      <c r="AP30" s="29"/>
      <c r="AQ30" s="29"/>
    </row>
    <row r="31" spans="1:43" ht="17.25" customHeight="1" x14ac:dyDescent="0.2">
      <c r="A31" s="46" t="s">
        <v>14</v>
      </c>
      <c r="B31" s="8">
        <v>9000</v>
      </c>
      <c r="C31" s="8">
        <f t="shared" ref="C31:K31" si="32">B31*110/100</f>
        <v>9900</v>
      </c>
      <c r="D31" s="8">
        <f t="shared" si="32"/>
        <v>10890</v>
      </c>
      <c r="E31" s="8">
        <f t="shared" si="32"/>
        <v>11979</v>
      </c>
      <c r="F31" s="8">
        <f t="shared" si="32"/>
        <v>13176.9</v>
      </c>
      <c r="G31" s="8">
        <f t="shared" si="32"/>
        <v>14494.59</v>
      </c>
      <c r="H31" s="8">
        <f t="shared" si="32"/>
        <v>15944.048999999999</v>
      </c>
      <c r="I31" s="8">
        <f t="shared" si="32"/>
        <v>17538.4539</v>
      </c>
      <c r="J31" s="8">
        <f t="shared" si="32"/>
        <v>19292.299289999999</v>
      </c>
      <c r="K31" s="8">
        <f t="shared" si="32"/>
        <v>21221.529219</v>
      </c>
      <c r="L31" s="46" t="s">
        <v>3</v>
      </c>
      <c r="M31" s="6">
        <v>1</v>
      </c>
      <c r="N31" s="6">
        <v>2</v>
      </c>
      <c r="O31" s="6">
        <v>3</v>
      </c>
      <c r="P31" s="6">
        <v>4</v>
      </c>
      <c r="Q31" s="6">
        <v>5</v>
      </c>
      <c r="R31" s="9">
        <v>6</v>
      </c>
      <c r="S31" s="9">
        <v>7</v>
      </c>
      <c r="T31" s="9">
        <v>8</v>
      </c>
      <c r="U31" s="9">
        <v>9</v>
      </c>
      <c r="V31" s="9">
        <v>10</v>
      </c>
      <c r="AK31" s="3"/>
      <c r="AL31" s="29"/>
      <c r="AM31" s="29"/>
      <c r="AN31" s="29"/>
      <c r="AO31" s="29"/>
      <c r="AP31" s="29"/>
      <c r="AQ31" s="29"/>
    </row>
    <row r="32" spans="1:43" ht="17.25" customHeight="1" x14ac:dyDescent="0.2">
      <c r="L32" s="47" t="s">
        <v>6</v>
      </c>
      <c r="M32" s="15">
        <f t="shared" ref="M32:V35" si="33">B22*AB5</f>
        <v>54000</v>
      </c>
      <c r="N32" s="15">
        <f t="shared" si="33"/>
        <v>72225</v>
      </c>
      <c r="O32" s="15">
        <f t="shared" si="33"/>
        <v>92736.900000000009</v>
      </c>
      <c r="P32" s="15">
        <f t="shared" si="33"/>
        <v>115766.56350000002</v>
      </c>
      <c r="Q32" s="15">
        <f t="shared" si="33"/>
        <v>141565.96908000004</v>
      </c>
      <c r="R32" s="15">
        <f t="shared" si="33"/>
        <v>170410.03528005004</v>
      </c>
      <c r="S32" s="15">
        <f t="shared" si="33"/>
        <v>202598.59749961502</v>
      </c>
      <c r="T32" s="15">
        <f t="shared" si="33"/>
        <v>238458.54925704686</v>
      </c>
      <c r="U32" s="15">
        <f t="shared" si="33"/>
        <v>278346.16113277106</v>
      </c>
      <c r="V32" s="15">
        <f t="shared" si="33"/>
        <v>322649.59177973709</v>
      </c>
      <c r="AL32" s="3"/>
      <c r="AM32" s="3"/>
      <c r="AN32" s="3"/>
      <c r="AO32" s="3"/>
      <c r="AP32" s="3"/>
      <c r="AQ32" s="3"/>
    </row>
    <row r="33" spans="12:43" ht="17.25" customHeight="1" x14ac:dyDescent="0.45">
      <c r="L33" s="47" t="s">
        <v>11</v>
      </c>
      <c r="M33" s="15">
        <f t="shared" si="33"/>
        <v>202500</v>
      </c>
      <c r="N33" s="15">
        <f t="shared" si="33"/>
        <v>270843.75</v>
      </c>
      <c r="O33" s="15">
        <f t="shared" si="33"/>
        <v>347763.375</v>
      </c>
      <c r="P33" s="15">
        <f t="shared" si="33"/>
        <v>434124.61312500003</v>
      </c>
      <c r="Q33" s="15">
        <f t="shared" si="33"/>
        <v>530872.38404999999</v>
      </c>
      <c r="R33" s="15">
        <f t="shared" si="33"/>
        <v>639037.63230018748</v>
      </c>
      <c r="S33" s="15">
        <f t="shared" si="33"/>
        <v>759744.74062355619</v>
      </c>
      <c r="T33" s="15">
        <f t="shared" si="33"/>
        <v>894219.55971392582</v>
      </c>
      <c r="U33" s="15">
        <f t="shared" si="33"/>
        <v>1043798.1042478915</v>
      </c>
      <c r="V33" s="15">
        <f t="shared" si="33"/>
        <v>1209935.9691740142</v>
      </c>
      <c r="AK33" s="21"/>
      <c r="AL33" s="12"/>
      <c r="AM33" s="12"/>
      <c r="AN33" s="12"/>
      <c r="AO33" s="12"/>
      <c r="AP33" s="12"/>
      <c r="AQ33" s="12"/>
    </row>
    <row r="34" spans="12:43" ht="17.25" customHeight="1" x14ac:dyDescent="0.45">
      <c r="L34" s="47" t="s">
        <v>13</v>
      </c>
      <c r="M34" s="15">
        <f t="shared" si="33"/>
        <v>121500</v>
      </c>
      <c r="N34" s="15">
        <f t="shared" si="33"/>
        <v>162506.25</v>
      </c>
      <c r="O34" s="15">
        <f t="shared" si="33"/>
        <v>208658.02499999999</v>
      </c>
      <c r="P34" s="15">
        <f t="shared" si="33"/>
        <v>260474.76787499996</v>
      </c>
      <c r="Q34" s="15">
        <f t="shared" si="33"/>
        <v>318523.43042999995</v>
      </c>
      <c r="R34" s="15">
        <f t="shared" si="33"/>
        <v>383422.57938011241</v>
      </c>
      <c r="S34" s="15">
        <f t="shared" si="33"/>
        <v>455846.84437413362</v>
      </c>
      <c r="T34" s="15">
        <f t="shared" si="33"/>
        <v>536531.7358283553</v>
      </c>
      <c r="U34" s="15">
        <f t="shared" si="33"/>
        <v>626278.86254873464</v>
      </c>
      <c r="V34" s="15">
        <f t="shared" si="33"/>
        <v>725961.58150440827</v>
      </c>
      <c r="AK34" s="21"/>
      <c r="AL34" s="20"/>
      <c r="AM34" s="29"/>
      <c r="AN34" s="29"/>
      <c r="AO34" s="29"/>
      <c r="AP34" s="29"/>
      <c r="AQ34" s="29"/>
    </row>
    <row r="35" spans="12:43" ht="17.25" customHeight="1" x14ac:dyDescent="0.45">
      <c r="L35" s="47" t="s">
        <v>15</v>
      </c>
      <c r="M35" s="15">
        <f t="shared" si="33"/>
        <v>149850</v>
      </c>
      <c r="N35" s="15">
        <f t="shared" si="33"/>
        <v>200424.375</v>
      </c>
      <c r="O35" s="15">
        <f t="shared" si="33"/>
        <v>257344.89750000002</v>
      </c>
      <c r="P35" s="15">
        <f t="shared" si="33"/>
        <v>321252.21371250006</v>
      </c>
      <c r="Q35" s="15">
        <f t="shared" si="33"/>
        <v>392845.56419700006</v>
      </c>
      <c r="R35" s="15">
        <f t="shared" si="33"/>
        <v>472887.84790213883</v>
      </c>
      <c r="S35" s="15">
        <f t="shared" si="33"/>
        <v>562211.10806143167</v>
      </c>
      <c r="T35" s="15">
        <f t="shared" si="33"/>
        <v>661722.4741883052</v>
      </c>
      <c r="U35" s="15">
        <f t="shared" si="33"/>
        <v>772410.59714343981</v>
      </c>
      <c r="V35" s="15">
        <f t="shared" si="33"/>
        <v>895352.61718877067</v>
      </c>
      <c r="AK35" s="21"/>
      <c r="AL35" s="20"/>
      <c r="AM35" s="29"/>
      <c r="AN35" s="29"/>
      <c r="AO35" s="29"/>
      <c r="AP35" s="29"/>
      <c r="AQ35" s="29"/>
    </row>
    <row r="36" spans="12:43" ht="17.25" customHeight="1" x14ac:dyDescent="0.45">
      <c r="L36" s="53" t="s">
        <v>17</v>
      </c>
      <c r="M36" s="26">
        <f t="shared" ref="M36:V36" si="34">SUM(M32:M35)</f>
        <v>527850</v>
      </c>
      <c r="N36" s="26">
        <f t="shared" si="34"/>
        <v>705999.375</v>
      </c>
      <c r="O36" s="26">
        <f t="shared" si="34"/>
        <v>906503.19750000001</v>
      </c>
      <c r="P36" s="26">
        <f t="shared" si="34"/>
        <v>1131618.1582125002</v>
      </c>
      <c r="Q36" s="26">
        <f t="shared" si="34"/>
        <v>1383807.347757</v>
      </c>
      <c r="R36" s="26">
        <f t="shared" si="34"/>
        <v>1665758.0948624886</v>
      </c>
      <c r="S36" s="15">
        <f t="shared" si="34"/>
        <v>1980401.2905587365</v>
      </c>
      <c r="T36" s="15">
        <f t="shared" si="34"/>
        <v>2330932.3189876331</v>
      </c>
      <c r="U36" s="15">
        <f t="shared" si="34"/>
        <v>2720833.7250728365</v>
      </c>
      <c r="V36" s="15">
        <f t="shared" si="34"/>
        <v>3153899.7596469303</v>
      </c>
      <c r="AK36" s="21"/>
      <c r="AL36" s="20"/>
      <c r="AM36" s="29"/>
      <c r="AN36" s="29"/>
      <c r="AO36" s="29"/>
      <c r="AP36" s="29"/>
      <c r="AQ36" s="29"/>
    </row>
    <row r="37" spans="12:43" ht="17.25" customHeight="1" x14ac:dyDescent="0.45">
      <c r="L37" s="29"/>
      <c r="M37" s="29"/>
      <c r="N37" s="29"/>
      <c r="O37" s="29"/>
      <c r="P37" s="29"/>
      <c r="U37" s="21"/>
      <c r="V37" s="29"/>
      <c r="AK37" s="21"/>
      <c r="AL37" s="20"/>
      <c r="AM37" s="29"/>
      <c r="AN37" s="29"/>
      <c r="AO37" s="29"/>
      <c r="AP37" s="29"/>
      <c r="AQ37" s="29"/>
    </row>
    <row r="38" spans="12:43" ht="17.25" customHeight="1" x14ac:dyDescent="0.25">
      <c r="L38" s="139" t="s">
        <v>26</v>
      </c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AK38" s="3"/>
      <c r="AM38" s="29"/>
      <c r="AN38" s="29"/>
      <c r="AO38" s="29"/>
      <c r="AP38" s="29"/>
      <c r="AQ38" s="29"/>
    </row>
    <row r="39" spans="12:43" ht="17.25" customHeight="1" x14ac:dyDescent="0.2">
      <c r="L39" s="46" t="s">
        <v>17</v>
      </c>
      <c r="M39" s="30">
        <f t="shared" ref="M39:V39" si="35">SUM(M36,M29,M22,M15,M8)</f>
        <v>16885800</v>
      </c>
      <c r="N39" s="30">
        <f t="shared" si="35"/>
        <v>22629408.75</v>
      </c>
      <c r="O39" s="30">
        <f t="shared" si="35"/>
        <v>29115100.484999999</v>
      </c>
      <c r="P39" s="30">
        <f t="shared" si="35"/>
        <v>36420989.656274997</v>
      </c>
      <c r="Q39" s="30">
        <f t="shared" si="35"/>
        <v>44632756.653102003</v>
      </c>
      <c r="R39" s="30">
        <f t="shared" si="35"/>
        <v>53844353.832396537</v>
      </c>
      <c r="S39" s="31">
        <f t="shared" si="35"/>
        <v>64158776.570013113</v>
      </c>
      <c r="T39" s="31">
        <f t="shared" si="35"/>
        <v>75688905.33172819</v>
      </c>
      <c r="U39" s="31">
        <f t="shared" si="35"/>
        <v>88558425.321440905</v>
      </c>
      <c r="V39" s="31">
        <f t="shared" si="35"/>
        <v>102902830.87672012</v>
      </c>
      <c r="AL39" s="3"/>
      <c r="AM39" s="3"/>
      <c r="AN39" s="3"/>
      <c r="AO39" s="3"/>
      <c r="AP39" s="3"/>
      <c r="AQ39" s="3"/>
    </row>
  </sheetData>
  <mergeCells count="14">
    <mergeCell ref="L30:V30"/>
    <mergeCell ref="L38:V38"/>
    <mergeCell ref="L9:V9"/>
    <mergeCell ref="A14:K14"/>
    <mergeCell ref="L16:V16"/>
    <mergeCell ref="A20:K20"/>
    <mergeCell ref="L23:V23"/>
    <mergeCell ref="X2:AK2"/>
    <mergeCell ref="X3:AA3"/>
    <mergeCell ref="A8:K8"/>
    <mergeCell ref="A1:F1"/>
    <mergeCell ref="A26:K26"/>
    <mergeCell ref="A2:K2"/>
    <mergeCell ref="L2:V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rightToLeft="1" topLeftCell="A31" zoomScaleNormal="100" workbookViewId="0">
      <selection activeCell="F68" sqref="F68"/>
    </sheetView>
  </sheetViews>
  <sheetFormatPr defaultRowHeight="14.25" x14ac:dyDescent="0.2"/>
  <cols>
    <col min="1" max="1" width="5.125" customWidth="1"/>
    <col min="2" max="2" width="17.625" customWidth="1"/>
    <col min="3" max="3" width="18.875" style="32" customWidth="1"/>
    <col min="4" max="4" width="12.75" customWidth="1"/>
    <col min="5" max="5" width="14.125" customWidth="1"/>
    <col min="6" max="6" width="12.875" customWidth="1"/>
    <col min="7" max="7" width="12.75" customWidth="1"/>
    <col min="8" max="8" width="15.75" customWidth="1"/>
    <col min="9" max="9" width="18" customWidth="1"/>
    <col min="10" max="10" width="12.875" customWidth="1"/>
    <col min="11" max="11" width="12.75" customWidth="1"/>
    <col min="12" max="12" width="14.125" customWidth="1"/>
    <col min="13" max="13" width="12.75" customWidth="1"/>
    <col min="14" max="14" width="16.375" customWidth="1"/>
    <col min="15" max="19" width="8.5" customWidth="1"/>
    <col min="20" max="20" width="11.75" customWidth="1"/>
    <col min="21" max="1025" width="8.5" customWidth="1"/>
  </cols>
  <sheetData>
    <row r="1" spans="1:8" x14ac:dyDescent="0.2">
      <c r="A1" t="s">
        <v>27</v>
      </c>
    </row>
    <row r="2" spans="1:8" ht="15.75" x14ac:dyDescent="0.25">
      <c r="A2" s="135" t="s">
        <v>201</v>
      </c>
      <c r="B2" s="135"/>
      <c r="C2" s="135"/>
      <c r="D2" s="135"/>
      <c r="E2" s="135"/>
      <c r="F2" s="135"/>
    </row>
    <row r="3" spans="1:8" s="56" customFormat="1" ht="15.75" x14ac:dyDescent="0.25">
      <c r="A3" s="54" t="s">
        <v>28</v>
      </c>
      <c r="B3" s="54" t="s">
        <v>29</v>
      </c>
      <c r="C3" s="55" t="s">
        <v>30</v>
      </c>
      <c r="D3" s="54" t="s">
        <v>31</v>
      </c>
      <c r="E3" s="54" t="s">
        <v>32</v>
      </c>
      <c r="F3" s="54" t="s">
        <v>33</v>
      </c>
      <c r="G3" s="54" t="s">
        <v>34</v>
      </c>
      <c r="H3" s="54" t="s">
        <v>35</v>
      </c>
    </row>
    <row r="4" spans="1:8" ht="15" customHeight="1" x14ac:dyDescent="0.2">
      <c r="A4" s="8">
        <v>1</v>
      </c>
      <c r="B4" s="8" t="s">
        <v>36</v>
      </c>
      <c r="C4" s="140" t="s">
        <v>37</v>
      </c>
      <c r="D4" s="8">
        <v>1</v>
      </c>
      <c r="E4" s="8">
        <v>14000</v>
      </c>
      <c r="F4" s="8">
        <f t="shared" ref="F4:F35" si="0">E4*D4</f>
        <v>14000</v>
      </c>
      <c r="G4" s="8">
        <v>850</v>
      </c>
      <c r="H4" s="8">
        <f t="shared" ref="H4:H35" si="1">D4*G4</f>
        <v>850</v>
      </c>
    </row>
    <row r="5" spans="1:8" x14ac:dyDescent="0.2">
      <c r="A5" s="8">
        <v>2</v>
      </c>
      <c r="B5" s="8" t="s">
        <v>38</v>
      </c>
      <c r="C5" s="140"/>
      <c r="D5" s="8">
        <v>1</v>
      </c>
      <c r="E5" s="8">
        <v>9000</v>
      </c>
      <c r="F5" s="8">
        <f t="shared" si="0"/>
        <v>9000</v>
      </c>
      <c r="G5" s="8">
        <v>850</v>
      </c>
      <c r="H5" s="8">
        <f t="shared" si="1"/>
        <v>850</v>
      </c>
    </row>
    <row r="6" spans="1:8" x14ac:dyDescent="0.2">
      <c r="A6" s="8">
        <v>3</v>
      </c>
      <c r="B6" s="8" t="s">
        <v>39</v>
      </c>
      <c r="C6" s="141" t="s">
        <v>40</v>
      </c>
      <c r="D6" s="8">
        <v>1</v>
      </c>
      <c r="E6" s="8">
        <v>5000</v>
      </c>
      <c r="F6" s="8">
        <f t="shared" si="0"/>
        <v>5000</v>
      </c>
      <c r="G6" s="8">
        <v>850</v>
      </c>
      <c r="H6" s="8">
        <f t="shared" si="1"/>
        <v>850</v>
      </c>
    </row>
    <row r="7" spans="1:8" x14ac:dyDescent="0.2">
      <c r="A7" s="8">
        <v>4</v>
      </c>
      <c r="B7" s="8" t="s">
        <v>41</v>
      </c>
      <c r="C7" s="141"/>
      <c r="D7" s="8">
        <v>1</v>
      </c>
      <c r="E7" s="8">
        <v>5000</v>
      </c>
      <c r="F7" s="8">
        <f t="shared" si="0"/>
        <v>5000</v>
      </c>
      <c r="G7" s="8">
        <v>850</v>
      </c>
      <c r="H7" s="8">
        <f t="shared" si="1"/>
        <v>850</v>
      </c>
    </row>
    <row r="8" spans="1:8" x14ac:dyDescent="0.2">
      <c r="A8" s="8">
        <v>5</v>
      </c>
      <c r="B8" s="8" t="s">
        <v>42</v>
      </c>
      <c r="C8" s="141"/>
      <c r="D8" s="8">
        <v>1</v>
      </c>
      <c r="E8" s="8">
        <v>6000</v>
      </c>
      <c r="F8" s="8">
        <f t="shared" si="0"/>
        <v>6000</v>
      </c>
      <c r="G8" s="8">
        <v>850</v>
      </c>
      <c r="H8" s="8">
        <f t="shared" si="1"/>
        <v>850</v>
      </c>
    </row>
    <row r="9" spans="1:8" x14ac:dyDescent="0.2">
      <c r="A9" s="8">
        <v>6</v>
      </c>
      <c r="B9" s="8" t="s">
        <v>43</v>
      </c>
      <c r="C9" s="141"/>
      <c r="D9" s="8">
        <v>1</v>
      </c>
      <c r="E9" s="8">
        <v>11000</v>
      </c>
      <c r="F9" s="8">
        <f t="shared" si="0"/>
        <v>11000</v>
      </c>
      <c r="G9" s="8">
        <v>850</v>
      </c>
      <c r="H9" s="8">
        <f t="shared" si="1"/>
        <v>850</v>
      </c>
    </row>
    <row r="10" spans="1:8" x14ac:dyDescent="0.2">
      <c r="A10" s="8">
        <v>7</v>
      </c>
      <c r="B10" s="8" t="s">
        <v>44</v>
      </c>
      <c r="C10" s="141"/>
      <c r="D10" s="8">
        <v>1</v>
      </c>
      <c r="E10" s="8">
        <v>8000</v>
      </c>
      <c r="F10" s="8">
        <f t="shared" si="0"/>
        <v>8000</v>
      </c>
      <c r="G10" s="8">
        <v>850</v>
      </c>
      <c r="H10" s="8">
        <f t="shared" si="1"/>
        <v>850</v>
      </c>
    </row>
    <row r="11" spans="1:8" x14ac:dyDescent="0.2">
      <c r="A11" s="8">
        <v>8</v>
      </c>
      <c r="B11" s="8" t="s">
        <v>45</v>
      </c>
      <c r="C11" s="141"/>
      <c r="D11" s="8">
        <v>2</v>
      </c>
      <c r="E11" s="8">
        <v>4000</v>
      </c>
      <c r="F11" s="8">
        <f t="shared" si="0"/>
        <v>8000</v>
      </c>
      <c r="G11" s="8">
        <v>850</v>
      </c>
      <c r="H11" s="8">
        <f t="shared" si="1"/>
        <v>1700</v>
      </c>
    </row>
    <row r="12" spans="1:8" x14ac:dyDescent="0.2">
      <c r="A12" s="8">
        <v>9</v>
      </c>
      <c r="B12" s="8" t="s">
        <v>46</v>
      </c>
      <c r="C12" s="141"/>
      <c r="D12" s="8">
        <v>1</v>
      </c>
      <c r="E12" s="8">
        <v>5000</v>
      </c>
      <c r="F12" s="8">
        <f t="shared" si="0"/>
        <v>5000</v>
      </c>
      <c r="G12" s="8">
        <v>850</v>
      </c>
      <c r="H12" s="8">
        <f t="shared" si="1"/>
        <v>850</v>
      </c>
    </row>
    <row r="13" spans="1:8" x14ac:dyDescent="0.2">
      <c r="A13" s="8">
        <v>10</v>
      </c>
      <c r="B13" s="8" t="s">
        <v>47</v>
      </c>
      <c r="C13" s="141"/>
      <c r="D13" s="8">
        <v>1</v>
      </c>
      <c r="E13" s="8">
        <v>12000</v>
      </c>
      <c r="F13" s="8">
        <f t="shared" si="0"/>
        <v>12000</v>
      </c>
      <c r="G13" s="8">
        <v>850</v>
      </c>
      <c r="H13" s="8">
        <f t="shared" si="1"/>
        <v>850</v>
      </c>
    </row>
    <row r="14" spans="1:8" x14ac:dyDescent="0.2">
      <c r="A14" s="8">
        <v>11</v>
      </c>
      <c r="B14" s="8" t="s">
        <v>48</v>
      </c>
      <c r="C14" s="141"/>
      <c r="D14" s="8">
        <v>1</v>
      </c>
      <c r="E14" s="8">
        <v>12000</v>
      </c>
      <c r="F14" s="8">
        <f t="shared" si="0"/>
        <v>12000</v>
      </c>
      <c r="G14" s="8">
        <v>850</v>
      </c>
      <c r="H14" s="8">
        <f t="shared" si="1"/>
        <v>850</v>
      </c>
    </row>
    <row r="15" spans="1:8" x14ac:dyDescent="0.2">
      <c r="A15" s="8">
        <v>12</v>
      </c>
      <c r="B15" s="8" t="s">
        <v>49</v>
      </c>
      <c r="C15" s="141"/>
      <c r="D15" s="8">
        <v>1</v>
      </c>
      <c r="E15" s="8">
        <v>12000</v>
      </c>
      <c r="F15" s="8">
        <f t="shared" si="0"/>
        <v>12000</v>
      </c>
      <c r="G15" s="8">
        <v>850</v>
      </c>
      <c r="H15" s="8">
        <f t="shared" si="1"/>
        <v>850</v>
      </c>
    </row>
    <row r="16" spans="1:8" x14ac:dyDescent="0.2">
      <c r="A16" s="8">
        <v>13</v>
      </c>
      <c r="B16" s="8" t="s">
        <v>50</v>
      </c>
      <c r="C16" s="141"/>
      <c r="D16" s="8">
        <v>1</v>
      </c>
      <c r="E16" s="8">
        <v>8000</v>
      </c>
      <c r="F16" s="8">
        <f t="shared" si="0"/>
        <v>8000</v>
      </c>
      <c r="G16" s="8">
        <v>850</v>
      </c>
      <c r="H16" s="8">
        <f t="shared" si="1"/>
        <v>850</v>
      </c>
    </row>
    <row r="17" spans="1:8" x14ac:dyDescent="0.2">
      <c r="A17" s="8">
        <v>14</v>
      </c>
      <c r="B17" s="8" t="s">
        <v>51</v>
      </c>
      <c r="C17" s="141"/>
      <c r="D17" s="8">
        <v>1</v>
      </c>
      <c r="E17" s="8">
        <v>4400</v>
      </c>
      <c r="F17" s="8">
        <f t="shared" si="0"/>
        <v>4400</v>
      </c>
      <c r="G17" s="8">
        <v>850</v>
      </c>
      <c r="H17" s="8">
        <f t="shared" si="1"/>
        <v>850</v>
      </c>
    </row>
    <row r="18" spans="1:8" ht="15" customHeight="1" x14ac:dyDescent="0.2">
      <c r="A18" s="8">
        <v>15</v>
      </c>
      <c r="B18" s="8" t="s">
        <v>52</v>
      </c>
      <c r="C18" s="140" t="s">
        <v>53</v>
      </c>
      <c r="D18" s="8">
        <v>1</v>
      </c>
      <c r="E18" s="8">
        <v>14000</v>
      </c>
      <c r="F18" s="8">
        <f t="shared" si="0"/>
        <v>14000</v>
      </c>
      <c r="G18" s="8">
        <v>850</v>
      </c>
      <c r="H18" s="8">
        <f t="shared" si="1"/>
        <v>850</v>
      </c>
    </row>
    <row r="19" spans="1:8" x14ac:dyDescent="0.2">
      <c r="A19" s="8">
        <v>16</v>
      </c>
      <c r="B19" s="8" t="s">
        <v>54</v>
      </c>
      <c r="C19" s="140"/>
      <c r="D19" s="8">
        <v>1</v>
      </c>
      <c r="E19" s="8">
        <v>11000</v>
      </c>
      <c r="F19" s="8">
        <f t="shared" si="0"/>
        <v>11000</v>
      </c>
      <c r="G19" s="8">
        <v>850</v>
      </c>
      <c r="H19" s="8">
        <f t="shared" si="1"/>
        <v>850</v>
      </c>
    </row>
    <row r="20" spans="1:8" x14ac:dyDescent="0.2">
      <c r="A20" s="8">
        <v>17</v>
      </c>
      <c r="B20" s="8" t="s">
        <v>55</v>
      </c>
      <c r="C20" s="140"/>
      <c r="D20" s="8">
        <v>1</v>
      </c>
      <c r="E20" s="8">
        <v>8000</v>
      </c>
      <c r="F20" s="8">
        <f t="shared" si="0"/>
        <v>8000</v>
      </c>
      <c r="G20" s="8">
        <v>850</v>
      </c>
      <c r="H20" s="8">
        <f t="shared" si="1"/>
        <v>850</v>
      </c>
    </row>
    <row r="21" spans="1:8" x14ac:dyDescent="0.2">
      <c r="A21" s="8">
        <v>18</v>
      </c>
      <c r="B21" s="8" t="s">
        <v>56</v>
      </c>
      <c r="C21" s="140"/>
      <c r="D21" s="8">
        <v>1</v>
      </c>
      <c r="E21" s="8">
        <v>5000</v>
      </c>
      <c r="F21" s="8">
        <f t="shared" si="0"/>
        <v>5000</v>
      </c>
      <c r="G21" s="8">
        <v>850</v>
      </c>
      <c r="H21" s="8">
        <f t="shared" si="1"/>
        <v>850</v>
      </c>
    </row>
    <row r="22" spans="1:8" x14ac:dyDescent="0.2">
      <c r="A22" s="8">
        <v>19</v>
      </c>
      <c r="B22" s="8" t="s">
        <v>57</v>
      </c>
      <c r="C22" s="140"/>
      <c r="D22" s="8">
        <v>1</v>
      </c>
      <c r="E22" s="8">
        <v>12000</v>
      </c>
      <c r="F22" s="8">
        <f t="shared" si="0"/>
        <v>12000</v>
      </c>
      <c r="G22" s="8">
        <v>850</v>
      </c>
      <c r="H22" s="8">
        <f t="shared" si="1"/>
        <v>850</v>
      </c>
    </row>
    <row r="23" spans="1:8" x14ac:dyDescent="0.2">
      <c r="A23" s="8">
        <v>20</v>
      </c>
      <c r="B23" s="8" t="s">
        <v>58</v>
      </c>
      <c r="C23" s="140"/>
      <c r="D23" s="8">
        <v>1</v>
      </c>
      <c r="E23" s="8">
        <v>6000</v>
      </c>
      <c r="F23" s="8">
        <f t="shared" si="0"/>
        <v>6000</v>
      </c>
      <c r="G23" s="8">
        <v>850</v>
      </c>
      <c r="H23" s="8">
        <f t="shared" si="1"/>
        <v>850</v>
      </c>
    </row>
    <row r="24" spans="1:8" x14ac:dyDescent="0.2">
      <c r="A24" s="8">
        <v>21</v>
      </c>
      <c r="B24" s="8" t="s">
        <v>59</v>
      </c>
      <c r="C24" s="140"/>
      <c r="D24" s="8">
        <v>1</v>
      </c>
      <c r="E24" s="8">
        <v>15000</v>
      </c>
      <c r="F24" s="8">
        <f t="shared" si="0"/>
        <v>15000</v>
      </c>
      <c r="G24" s="8">
        <v>850</v>
      </c>
      <c r="H24" s="8">
        <f t="shared" si="1"/>
        <v>850</v>
      </c>
    </row>
    <row r="25" spans="1:8" x14ac:dyDescent="0.2">
      <c r="A25" s="8">
        <v>22</v>
      </c>
      <c r="B25" s="8" t="s">
        <v>60</v>
      </c>
      <c r="C25" s="140"/>
      <c r="D25" s="8">
        <v>1</v>
      </c>
      <c r="E25" s="8">
        <v>12000</v>
      </c>
      <c r="F25" s="8">
        <f t="shared" si="0"/>
        <v>12000</v>
      </c>
      <c r="G25" s="8">
        <v>850</v>
      </c>
      <c r="H25" s="8">
        <f t="shared" si="1"/>
        <v>850</v>
      </c>
    </row>
    <row r="26" spans="1:8" x14ac:dyDescent="0.2">
      <c r="A26" s="8">
        <v>23</v>
      </c>
      <c r="B26" s="8" t="s">
        <v>61</v>
      </c>
      <c r="C26" s="140"/>
      <c r="D26" s="8">
        <v>1</v>
      </c>
      <c r="E26" s="8">
        <v>12000</v>
      </c>
      <c r="F26" s="8">
        <f t="shared" si="0"/>
        <v>12000</v>
      </c>
      <c r="G26" s="8">
        <v>850</v>
      </c>
      <c r="H26" s="8">
        <f t="shared" si="1"/>
        <v>850</v>
      </c>
    </row>
    <row r="27" spans="1:8" x14ac:dyDescent="0.2">
      <c r="A27" s="8">
        <v>24</v>
      </c>
      <c r="B27" s="8" t="s">
        <v>62</v>
      </c>
      <c r="C27" s="140"/>
      <c r="D27" s="8">
        <v>1</v>
      </c>
      <c r="E27" s="8">
        <v>12000</v>
      </c>
      <c r="F27" s="8">
        <f t="shared" si="0"/>
        <v>12000</v>
      </c>
      <c r="G27" s="8">
        <v>850</v>
      </c>
      <c r="H27" s="8">
        <f t="shared" si="1"/>
        <v>850</v>
      </c>
    </row>
    <row r="28" spans="1:8" x14ac:dyDescent="0.2">
      <c r="A28" s="8">
        <v>25</v>
      </c>
      <c r="B28" s="8" t="s">
        <v>63</v>
      </c>
      <c r="C28" s="140"/>
      <c r="D28" s="8">
        <v>1</v>
      </c>
      <c r="E28" s="8">
        <v>7000</v>
      </c>
      <c r="F28" s="8">
        <f t="shared" si="0"/>
        <v>7000</v>
      </c>
      <c r="G28" s="8">
        <v>850</v>
      </c>
      <c r="H28" s="8">
        <f t="shared" si="1"/>
        <v>850</v>
      </c>
    </row>
    <row r="29" spans="1:8" x14ac:dyDescent="0.2">
      <c r="A29" s="8">
        <v>26</v>
      </c>
      <c r="B29" s="8" t="s">
        <v>64</v>
      </c>
      <c r="C29" s="140"/>
      <c r="D29" s="8">
        <v>1</v>
      </c>
      <c r="E29" s="8">
        <v>5000</v>
      </c>
      <c r="F29" s="8">
        <f t="shared" si="0"/>
        <v>5000</v>
      </c>
      <c r="G29" s="8">
        <v>850</v>
      </c>
      <c r="H29" s="8">
        <f t="shared" si="1"/>
        <v>850</v>
      </c>
    </row>
    <row r="30" spans="1:8" x14ac:dyDescent="0.2">
      <c r="A30" s="8">
        <v>27</v>
      </c>
      <c r="B30" s="8" t="s">
        <v>65</v>
      </c>
      <c r="C30" s="140"/>
      <c r="D30" s="8">
        <v>1</v>
      </c>
      <c r="E30" s="8">
        <v>3000</v>
      </c>
      <c r="F30" s="8">
        <f t="shared" si="0"/>
        <v>3000</v>
      </c>
      <c r="G30" s="8">
        <v>850</v>
      </c>
      <c r="H30" s="8">
        <f t="shared" si="1"/>
        <v>850</v>
      </c>
    </row>
    <row r="31" spans="1:8" x14ac:dyDescent="0.2">
      <c r="A31" s="8">
        <v>28</v>
      </c>
      <c r="B31" s="8" t="s">
        <v>66</v>
      </c>
      <c r="C31" s="140"/>
      <c r="D31" s="8">
        <v>1</v>
      </c>
      <c r="E31" s="8">
        <v>6400</v>
      </c>
      <c r="F31" s="8">
        <f t="shared" si="0"/>
        <v>6400</v>
      </c>
      <c r="G31" s="8">
        <v>850</v>
      </c>
      <c r="H31" s="8">
        <f t="shared" si="1"/>
        <v>850</v>
      </c>
    </row>
    <row r="32" spans="1:8" ht="15" customHeight="1" x14ac:dyDescent="0.2">
      <c r="A32" s="8">
        <v>29</v>
      </c>
      <c r="B32" s="8" t="s">
        <v>67</v>
      </c>
      <c r="C32" s="140" t="s">
        <v>68</v>
      </c>
      <c r="D32" s="8">
        <v>2</v>
      </c>
      <c r="E32" s="8">
        <v>10000</v>
      </c>
      <c r="F32" s="8">
        <f t="shared" si="0"/>
        <v>20000</v>
      </c>
      <c r="G32" s="8">
        <v>850</v>
      </c>
      <c r="H32" s="8">
        <f t="shared" si="1"/>
        <v>1700</v>
      </c>
    </row>
    <row r="33" spans="1:8" x14ac:dyDescent="0.2">
      <c r="A33" s="8">
        <v>30</v>
      </c>
      <c r="B33" s="8" t="s">
        <v>69</v>
      </c>
      <c r="C33" s="140"/>
      <c r="D33" s="8">
        <v>2</v>
      </c>
      <c r="E33" s="8">
        <v>5000</v>
      </c>
      <c r="F33" s="8">
        <f t="shared" si="0"/>
        <v>10000</v>
      </c>
      <c r="G33" s="8">
        <v>850</v>
      </c>
      <c r="H33" s="8">
        <f t="shared" si="1"/>
        <v>1700</v>
      </c>
    </row>
    <row r="34" spans="1:8" x14ac:dyDescent="0.2">
      <c r="A34" s="8">
        <v>31</v>
      </c>
      <c r="B34" s="8" t="s">
        <v>70</v>
      </c>
      <c r="C34" s="140"/>
      <c r="D34" s="8">
        <v>1</v>
      </c>
      <c r="E34" s="8">
        <v>9000</v>
      </c>
      <c r="F34" s="8">
        <f t="shared" si="0"/>
        <v>9000</v>
      </c>
      <c r="G34" s="8">
        <v>850</v>
      </c>
      <c r="H34" s="8">
        <f t="shared" si="1"/>
        <v>850</v>
      </c>
    </row>
    <row r="35" spans="1:8" x14ac:dyDescent="0.2">
      <c r="A35" s="8">
        <v>32</v>
      </c>
      <c r="B35" s="8" t="s">
        <v>71</v>
      </c>
      <c r="C35" s="140"/>
      <c r="D35" s="8">
        <v>1</v>
      </c>
      <c r="E35" s="8">
        <v>3000</v>
      </c>
      <c r="F35" s="8">
        <f t="shared" si="0"/>
        <v>3000</v>
      </c>
      <c r="G35" s="8">
        <v>850</v>
      </c>
      <c r="H35" s="8">
        <f t="shared" si="1"/>
        <v>850</v>
      </c>
    </row>
    <row r="36" spans="1:8" x14ac:dyDescent="0.2">
      <c r="A36" s="8">
        <v>33</v>
      </c>
      <c r="B36" s="8" t="s">
        <v>72</v>
      </c>
      <c r="C36" s="140"/>
      <c r="D36" s="8">
        <v>2</v>
      </c>
      <c r="E36" s="8">
        <v>4400</v>
      </c>
      <c r="F36" s="8">
        <f t="shared" ref="F36:F62" si="2">E36*D36</f>
        <v>8800</v>
      </c>
      <c r="G36" s="8">
        <v>850</v>
      </c>
      <c r="H36" s="8">
        <f t="shared" ref="H36:H62" si="3">D36*G36</f>
        <v>1700</v>
      </c>
    </row>
    <row r="37" spans="1:8" x14ac:dyDescent="0.2">
      <c r="A37" s="8">
        <v>34</v>
      </c>
      <c r="B37" s="8" t="s">
        <v>73</v>
      </c>
      <c r="C37" s="140"/>
      <c r="D37" s="8">
        <v>1</v>
      </c>
      <c r="E37" s="8">
        <v>4400</v>
      </c>
      <c r="F37" s="8">
        <f t="shared" si="2"/>
        <v>4400</v>
      </c>
      <c r="G37" s="8">
        <v>850</v>
      </c>
      <c r="H37" s="8">
        <f t="shared" si="3"/>
        <v>850</v>
      </c>
    </row>
    <row r="38" spans="1:8" x14ac:dyDescent="0.2">
      <c r="A38" s="8">
        <v>35</v>
      </c>
      <c r="B38" s="8" t="s">
        <v>74</v>
      </c>
      <c r="C38" s="140"/>
      <c r="D38" s="8">
        <v>1</v>
      </c>
      <c r="E38" s="8">
        <v>4400</v>
      </c>
      <c r="F38" s="8">
        <f t="shared" si="2"/>
        <v>4400</v>
      </c>
      <c r="G38" s="8">
        <v>850</v>
      </c>
      <c r="H38" s="8">
        <f t="shared" si="3"/>
        <v>850</v>
      </c>
    </row>
    <row r="39" spans="1:8" ht="15" customHeight="1" x14ac:dyDescent="0.2">
      <c r="A39" s="8">
        <v>36</v>
      </c>
      <c r="B39" s="8" t="s">
        <v>67</v>
      </c>
      <c r="C39" s="140" t="s">
        <v>75</v>
      </c>
      <c r="D39" s="8">
        <v>4</v>
      </c>
      <c r="E39" s="8">
        <v>9000</v>
      </c>
      <c r="F39" s="8">
        <f t="shared" si="2"/>
        <v>36000</v>
      </c>
      <c r="G39" s="8">
        <v>850</v>
      </c>
      <c r="H39" s="8">
        <f t="shared" si="3"/>
        <v>3400</v>
      </c>
    </row>
    <row r="40" spans="1:8" x14ac:dyDescent="0.2">
      <c r="A40" s="8">
        <v>37</v>
      </c>
      <c r="B40" s="8" t="s">
        <v>69</v>
      </c>
      <c r="C40" s="140"/>
      <c r="D40" s="8">
        <v>8</v>
      </c>
      <c r="E40" s="8">
        <v>6000</v>
      </c>
      <c r="F40" s="8">
        <f t="shared" si="2"/>
        <v>48000</v>
      </c>
      <c r="G40" s="8">
        <v>850</v>
      </c>
      <c r="H40" s="8">
        <f t="shared" si="3"/>
        <v>6800</v>
      </c>
    </row>
    <row r="41" spans="1:8" x14ac:dyDescent="0.2">
      <c r="A41" s="8">
        <v>38</v>
      </c>
      <c r="B41" s="8" t="s">
        <v>76</v>
      </c>
      <c r="C41" s="140"/>
      <c r="D41" s="8">
        <v>2</v>
      </c>
      <c r="E41" s="8">
        <v>7000</v>
      </c>
      <c r="F41" s="8">
        <f t="shared" si="2"/>
        <v>14000</v>
      </c>
      <c r="G41" s="8">
        <v>850</v>
      </c>
      <c r="H41" s="8">
        <f t="shared" si="3"/>
        <v>1700</v>
      </c>
    </row>
    <row r="42" spans="1:8" x14ac:dyDescent="0.2">
      <c r="A42" s="8">
        <v>39</v>
      </c>
      <c r="B42" s="8" t="s">
        <v>70</v>
      </c>
      <c r="C42" s="140"/>
      <c r="D42" s="8">
        <v>2</v>
      </c>
      <c r="E42" s="8">
        <v>7000</v>
      </c>
      <c r="F42" s="8">
        <f t="shared" si="2"/>
        <v>14000</v>
      </c>
      <c r="G42" s="8">
        <v>850</v>
      </c>
      <c r="H42" s="8">
        <f t="shared" si="3"/>
        <v>1700</v>
      </c>
    </row>
    <row r="43" spans="1:8" x14ac:dyDescent="0.2">
      <c r="A43" s="8">
        <v>40</v>
      </c>
      <c r="B43" s="8" t="s">
        <v>77</v>
      </c>
      <c r="C43" s="140"/>
      <c r="D43" s="8">
        <v>2</v>
      </c>
      <c r="E43" s="8">
        <v>5500</v>
      </c>
      <c r="F43" s="8">
        <f t="shared" si="2"/>
        <v>11000</v>
      </c>
      <c r="G43" s="8">
        <v>850</v>
      </c>
      <c r="H43" s="8">
        <f t="shared" si="3"/>
        <v>1700</v>
      </c>
    </row>
    <row r="44" spans="1:8" x14ac:dyDescent="0.2">
      <c r="A44" s="8">
        <v>41</v>
      </c>
      <c r="B44" s="8" t="s">
        <v>72</v>
      </c>
      <c r="C44" s="140"/>
      <c r="D44" s="8">
        <v>2</v>
      </c>
      <c r="E44" s="8">
        <v>5000</v>
      </c>
      <c r="F44" s="8">
        <f t="shared" si="2"/>
        <v>10000</v>
      </c>
      <c r="G44" s="8">
        <v>850</v>
      </c>
      <c r="H44" s="8">
        <f t="shared" si="3"/>
        <v>1700</v>
      </c>
    </row>
    <row r="45" spans="1:8" x14ac:dyDescent="0.2">
      <c r="A45" s="8">
        <v>42</v>
      </c>
      <c r="B45" s="8" t="s">
        <v>73</v>
      </c>
      <c r="C45" s="140"/>
      <c r="D45" s="8">
        <v>2</v>
      </c>
      <c r="E45" s="8">
        <v>5000</v>
      </c>
      <c r="F45" s="8">
        <f t="shared" si="2"/>
        <v>10000</v>
      </c>
      <c r="G45" s="8">
        <v>850</v>
      </c>
      <c r="H45" s="8">
        <f t="shared" si="3"/>
        <v>1700</v>
      </c>
    </row>
    <row r="46" spans="1:8" x14ac:dyDescent="0.2">
      <c r="A46" s="8">
        <v>43</v>
      </c>
      <c r="B46" s="8" t="s">
        <v>74</v>
      </c>
      <c r="C46" s="140"/>
      <c r="D46" s="8">
        <v>2</v>
      </c>
      <c r="E46" s="8">
        <v>5000</v>
      </c>
      <c r="F46" s="8">
        <f t="shared" si="2"/>
        <v>10000</v>
      </c>
      <c r="G46" s="8">
        <v>850</v>
      </c>
      <c r="H46" s="8">
        <f t="shared" si="3"/>
        <v>1700</v>
      </c>
    </row>
    <row r="47" spans="1:8" ht="14.25" customHeight="1" x14ac:dyDescent="0.2">
      <c r="A47" s="8">
        <v>44</v>
      </c>
      <c r="B47" s="8" t="s">
        <v>78</v>
      </c>
      <c r="C47" s="140"/>
      <c r="D47" s="8">
        <v>2</v>
      </c>
      <c r="E47" s="8">
        <v>5000</v>
      </c>
      <c r="F47" s="8">
        <f t="shared" si="2"/>
        <v>10000</v>
      </c>
      <c r="G47" s="8">
        <v>850</v>
      </c>
      <c r="H47" s="8">
        <f t="shared" si="3"/>
        <v>1700</v>
      </c>
    </row>
    <row r="48" spans="1:8" x14ac:dyDescent="0.2">
      <c r="A48" s="8">
        <v>45</v>
      </c>
      <c r="B48" s="8" t="s">
        <v>79</v>
      </c>
      <c r="C48" s="140"/>
      <c r="D48" s="8">
        <v>2</v>
      </c>
      <c r="E48" s="8">
        <v>4400</v>
      </c>
      <c r="F48" s="8">
        <f t="shared" si="2"/>
        <v>8800</v>
      </c>
      <c r="G48" s="8">
        <v>850</v>
      </c>
      <c r="H48" s="8">
        <f t="shared" si="3"/>
        <v>1700</v>
      </c>
    </row>
    <row r="49" spans="1:8" ht="15" customHeight="1" x14ac:dyDescent="0.2">
      <c r="A49" s="8">
        <v>46</v>
      </c>
      <c r="B49" s="8" t="s">
        <v>67</v>
      </c>
      <c r="C49" s="140" t="s">
        <v>80</v>
      </c>
      <c r="D49" s="8">
        <v>2</v>
      </c>
      <c r="E49" s="8">
        <v>9000</v>
      </c>
      <c r="F49" s="8">
        <f t="shared" si="2"/>
        <v>18000</v>
      </c>
      <c r="G49" s="8">
        <v>850</v>
      </c>
      <c r="H49" s="8">
        <f t="shared" si="3"/>
        <v>1700</v>
      </c>
    </row>
    <row r="50" spans="1:8" x14ac:dyDescent="0.2">
      <c r="A50" s="8">
        <v>47</v>
      </c>
      <c r="B50" s="8" t="s">
        <v>69</v>
      </c>
      <c r="C50" s="140"/>
      <c r="D50" s="8">
        <v>3</v>
      </c>
      <c r="E50" s="8">
        <v>5600</v>
      </c>
      <c r="F50" s="8">
        <f t="shared" si="2"/>
        <v>16800</v>
      </c>
      <c r="G50" s="8">
        <v>850</v>
      </c>
      <c r="H50" s="8">
        <f t="shared" si="3"/>
        <v>2550</v>
      </c>
    </row>
    <row r="51" spans="1:8" x14ac:dyDescent="0.2">
      <c r="A51" s="8">
        <v>48</v>
      </c>
      <c r="B51" s="8" t="s">
        <v>81</v>
      </c>
      <c r="C51" s="140"/>
      <c r="D51" s="8">
        <v>2</v>
      </c>
      <c r="E51" s="8">
        <v>8000</v>
      </c>
      <c r="F51" s="8">
        <f t="shared" si="2"/>
        <v>16000</v>
      </c>
      <c r="G51" s="8">
        <v>850</v>
      </c>
      <c r="H51" s="8">
        <f t="shared" si="3"/>
        <v>1700</v>
      </c>
    </row>
    <row r="52" spans="1:8" x14ac:dyDescent="0.2">
      <c r="A52" s="8">
        <v>49</v>
      </c>
      <c r="B52" s="8" t="s">
        <v>82</v>
      </c>
      <c r="C52" s="140"/>
      <c r="D52" s="8">
        <v>2</v>
      </c>
      <c r="E52" s="8">
        <v>8000</v>
      </c>
      <c r="F52" s="8">
        <f t="shared" si="2"/>
        <v>16000</v>
      </c>
      <c r="G52" s="8">
        <v>850</v>
      </c>
      <c r="H52" s="8">
        <f t="shared" si="3"/>
        <v>1700</v>
      </c>
    </row>
    <row r="53" spans="1:8" x14ac:dyDescent="0.2">
      <c r="A53" s="8">
        <v>50</v>
      </c>
      <c r="B53" s="8" t="s">
        <v>83</v>
      </c>
      <c r="C53" s="140"/>
      <c r="D53" s="8">
        <v>2</v>
      </c>
      <c r="E53" s="8">
        <v>6000</v>
      </c>
      <c r="F53" s="8">
        <f t="shared" si="2"/>
        <v>12000</v>
      </c>
      <c r="G53" s="8">
        <v>850</v>
      </c>
      <c r="H53" s="8">
        <f t="shared" si="3"/>
        <v>1700</v>
      </c>
    </row>
    <row r="54" spans="1:8" x14ac:dyDescent="0.2">
      <c r="A54" s="8">
        <v>51</v>
      </c>
      <c r="B54" s="8" t="s">
        <v>84</v>
      </c>
      <c r="C54" s="140"/>
      <c r="D54" s="8">
        <v>2</v>
      </c>
      <c r="E54" s="8">
        <v>12000</v>
      </c>
      <c r="F54" s="8">
        <f t="shared" si="2"/>
        <v>24000</v>
      </c>
      <c r="G54" s="8">
        <v>850</v>
      </c>
      <c r="H54" s="8">
        <f t="shared" si="3"/>
        <v>1700</v>
      </c>
    </row>
    <row r="55" spans="1:8" x14ac:dyDescent="0.2">
      <c r="A55" s="8">
        <v>52</v>
      </c>
      <c r="B55" s="8" t="s">
        <v>77</v>
      </c>
      <c r="C55" s="140"/>
      <c r="D55" s="8">
        <v>2</v>
      </c>
      <c r="E55" s="8">
        <v>12000</v>
      </c>
      <c r="F55" s="8">
        <f t="shared" si="2"/>
        <v>24000</v>
      </c>
      <c r="G55" s="8">
        <v>850</v>
      </c>
      <c r="H55" s="8">
        <f t="shared" si="3"/>
        <v>1700</v>
      </c>
    </row>
    <row r="56" spans="1:8" x14ac:dyDescent="0.2">
      <c r="A56" s="8">
        <v>53</v>
      </c>
      <c r="B56" s="8" t="s">
        <v>85</v>
      </c>
      <c r="C56" s="140"/>
      <c r="D56" s="8">
        <v>2</v>
      </c>
      <c r="E56" s="8">
        <v>7000</v>
      </c>
      <c r="F56" s="8">
        <f t="shared" si="2"/>
        <v>14000</v>
      </c>
      <c r="G56" s="8">
        <v>850</v>
      </c>
      <c r="H56" s="8">
        <f t="shared" si="3"/>
        <v>1700</v>
      </c>
    </row>
    <row r="57" spans="1:8" ht="15" customHeight="1" x14ac:dyDescent="0.2">
      <c r="A57" s="8">
        <v>54</v>
      </c>
      <c r="B57" s="8" t="s">
        <v>86</v>
      </c>
      <c r="C57" s="140" t="s">
        <v>87</v>
      </c>
      <c r="D57" s="8">
        <v>4</v>
      </c>
      <c r="E57" s="8">
        <v>3000</v>
      </c>
      <c r="F57" s="8">
        <f t="shared" si="2"/>
        <v>12000</v>
      </c>
      <c r="G57" s="8">
        <v>850</v>
      </c>
      <c r="H57" s="8">
        <f t="shared" si="3"/>
        <v>3400</v>
      </c>
    </row>
    <row r="58" spans="1:8" x14ac:dyDescent="0.2">
      <c r="A58" s="8">
        <v>55</v>
      </c>
      <c r="B58" s="8" t="s">
        <v>88</v>
      </c>
      <c r="C58" s="140"/>
      <c r="D58" s="8">
        <v>30</v>
      </c>
      <c r="E58" s="8">
        <v>2000</v>
      </c>
      <c r="F58" s="8">
        <f t="shared" si="2"/>
        <v>60000</v>
      </c>
      <c r="G58" s="8">
        <v>850</v>
      </c>
      <c r="H58" s="8">
        <f t="shared" si="3"/>
        <v>25500</v>
      </c>
    </row>
    <row r="59" spans="1:8" x14ac:dyDescent="0.2">
      <c r="A59" s="8">
        <v>56</v>
      </c>
      <c r="B59" s="8" t="s">
        <v>89</v>
      </c>
      <c r="C59" s="140"/>
      <c r="D59" s="8">
        <v>6</v>
      </c>
      <c r="E59" s="8">
        <v>3400</v>
      </c>
      <c r="F59" s="8">
        <f t="shared" si="2"/>
        <v>20400</v>
      </c>
      <c r="G59" s="8">
        <v>850</v>
      </c>
      <c r="H59" s="8">
        <f t="shared" si="3"/>
        <v>5100</v>
      </c>
    </row>
    <row r="60" spans="1:8" x14ac:dyDescent="0.2">
      <c r="A60" s="8">
        <v>57</v>
      </c>
      <c r="B60" s="8" t="s">
        <v>90</v>
      </c>
      <c r="C60" s="140"/>
      <c r="D60" s="8">
        <v>5</v>
      </c>
      <c r="E60" s="8">
        <v>2000</v>
      </c>
      <c r="F60" s="8">
        <f t="shared" si="2"/>
        <v>10000</v>
      </c>
      <c r="G60" s="8">
        <v>850</v>
      </c>
      <c r="H60" s="8">
        <f t="shared" si="3"/>
        <v>4250</v>
      </c>
    </row>
    <row r="61" spans="1:8" x14ac:dyDescent="0.2">
      <c r="A61" s="8">
        <v>58</v>
      </c>
      <c r="B61" s="8" t="s">
        <v>91</v>
      </c>
      <c r="C61" s="140"/>
      <c r="D61" s="8">
        <v>2</v>
      </c>
      <c r="E61" s="8">
        <v>3000</v>
      </c>
      <c r="F61" s="8">
        <f t="shared" si="2"/>
        <v>6000</v>
      </c>
      <c r="G61" s="8">
        <v>850</v>
      </c>
      <c r="H61" s="8">
        <f t="shared" si="3"/>
        <v>1700</v>
      </c>
    </row>
    <row r="62" spans="1:8" x14ac:dyDescent="0.2">
      <c r="A62" s="8">
        <v>59</v>
      </c>
      <c r="B62" s="8" t="s">
        <v>92</v>
      </c>
      <c r="C62" s="140"/>
      <c r="D62" s="8">
        <v>2</v>
      </c>
      <c r="E62" s="8">
        <v>3000</v>
      </c>
      <c r="F62" s="8">
        <f t="shared" si="2"/>
        <v>6000</v>
      </c>
      <c r="G62" s="8">
        <v>850</v>
      </c>
      <c r="H62" s="8">
        <f t="shared" si="3"/>
        <v>1700</v>
      </c>
    </row>
    <row r="63" spans="1:8" x14ac:dyDescent="0.2">
      <c r="A63" s="8">
        <v>60</v>
      </c>
      <c r="B63" s="142" t="s">
        <v>17</v>
      </c>
      <c r="C63" s="142"/>
      <c r="D63" s="8">
        <f>SUM(D4:D62)</f>
        <v>133</v>
      </c>
      <c r="E63" s="8">
        <f>SUM(E4:E62)</f>
        <v>426900</v>
      </c>
      <c r="F63" s="15">
        <f>SUM(F4:F62)</f>
        <v>734400</v>
      </c>
      <c r="G63" s="8">
        <v>850</v>
      </c>
      <c r="H63" s="8">
        <f>SUM(H4:H62)</f>
        <v>113050</v>
      </c>
    </row>
    <row r="65" spans="2:14" x14ac:dyDescent="0.2">
      <c r="M65">
        <f>61850+61850+49162.5</f>
        <v>172862.5</v>
      </c>
    </row>
    <row r="66" spans="2:14" x14ac:dyDescent="0.2">
      <c r="B66" s="143" t="s">
        <v>93</v>
      </c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</row>
    <row r="67" spans="2:14" x14ac:dyDescent="0.2">
      <c r="B67" s="8"/>
      <c r="C67" s="33" t="s">
        <v>94</v>
      </c>
      <c r="D67" s="13" t="s">
        <v>95</v>
      </c>
      <c r="E67" s="8" t="s">
        <v>184</v>
      </c>
      <c r="F67" s="8" t="s">
        <v>185</v>
      </c>
      <c r="G67" s="8" t="s">
        <v>186</v>
      </c>
      <c r="H67" s="8" t="s">
        <v>187</v>
      </c>
      <c r="I67" s="8" t="s">
        <v>188</v>
      </c>
      <c r="J67" s="8" t="s">
        <v>189</v>
      </c>
      <c r="K67" s="8" t="s">
        <v>190</v>
      </c>
      <c r="L67" s="8" t="s">
        <v>191</v>
      </c>
      <c r="M67" s="8" t="s">
        <v>192</v>
      </c>
      <c r="N67" s="8" t="s">
        <v>193</v>
      </c>
    </row>
    <row r="68" spans="2:14" x14ac:dyDescent="0.2">
      <c r="B68" s="8" t="s">
        <v>96</v>
      </c>
      <c r="C68" s="34">
        <f>F63</f>
        <v>734400</v>
      </c>
      <c r="D68" s="35">
        <f>C68*12</f>
        <v>8812800</v>
      </c>
      <c r="E68" s="26">
        <f>D68</f>
        <v>8812800</v>
      </c>
      <c r="F68" s="26">
        <f t="shared" ref="F68:N68" si="4">E68*110/100</f>
        <v>9694080</v>
      </c>
      <c r="G68" s="26">
        <f t="shared" si="4"/>
        <v>10663488</v>
      </c>
      <c r="H68" s="26">
        <f t="shared" si="4"/>
        <v>11729836.800000001</v>
      </c>
      <c r="I68" s="26">
        <f t="shared" si="4"/>
        <v>12902820.48</v>
      </c>
      <c r="J68" s="26">
        <f t="shared" si="4"/>
        <v>14193102.527999999</v>
      </c>
      <c r="K68" s="15">
        <f t="shared" si="4"/>
        <v>15612412.7808</v>
      </c>
      <c r="L68" s="15">
        <f t="shared" si="4"/>
        <v>17173654.058880001</v>
      </c>
      <c r="M68" s="15">
        <f t="shared" si="4"/>
        <v>18891019.464768004</v>
      </c>
      <c r="N68" s="15">
        <f t="shared" si="4"/>
        <v>20780121.411244806</v>
      </c>
    </row>
    <row r="69" spans="2:14" x14ac:dyDescent="0.2">
      <c r="B69" s="8" t="s">
        <v>35</v>
      </c>
      <c r="C69" s="33">
        <f>H63</f>
        <v>113050</v>
      </c>
      <c r="D69" s="8">
        <f>C69*12</f>
        <v>1356600</v>
      </c>
      <c r="E69" s="15">
        <f>D69</f>
        <v>1356600</v>
      </c>
      <c r="F69" s="15">
        <f t="shared" ref="F69:L69" si="5">E69*107/100</f>
        <v>1451562</v>
      </c>
      <c r="G69" s="15">
        <f t="shared" si="5"/>
        <v>1553171.34</v>
      </c>
      <c r="H69" s="15">
        <f t="shared" si="5"/>
        <v>1661893.3337999999</v>
      </c>
      <c r="I69" s="15">
        <f t="shared" si="5"/>
        <v>1778225.867166</v>
      </c>
      <c r="J69" s="15">
        <f t="shared" si="5"/>
        <v>1902701.67786762</v>
      </c>
      <c r="K69" s="15">
        <f t="shared" si="5"/>
        <v>2035890.7953183535</v>
      </c>
      <c r="L69" s="15">
        <f t="shared" si="5"/>
        <v>2178403.150990638</v>
      </c>
      <c r="M69" s="15">
        <f t="shared" ref="M69" si="6">L69*108/100</f>
        <v>2352675.4030698892</v>
      </c>
      <c r="N69" s="15">
        <f>M69*107/100</f>
        <v>2517362.6812847815</v>
      </c>
    </row>
    <row r="77" spans="2:14" x14ac:dyDescent="0.2">
      <c r="F77">
        <f>E68+(E68*10%)</f>
        <v>9694080</v>
      </c>
    </row>
  </sheetData>
  <mergeCells count="10">
    <mergeCell ref="C39:C48"/>
    <mergeCell ref="C49:C56"/>
    <mergeCell ref="C57:C62"/>
    <mergeCell ref="B63:C63"/>
    <mergeCell ref="B66:N66"/>
    <mergeCell ref="A2:F2"/>
    <mergeCell ref="C4:C5"/>
    <mergeCell ref="C6:C17"/>
    <mergeCell ref="C18:C31"/>
    <mergeCell ref="C32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rightToLeft="1" zoomScaleNormal="100" workbookViewId="0">
      <selection activeCell="B13" sqref="B13"/>
    </sheetView>
  </sheetViews>
  <sheetFormatPr defaultRowHeight="14.25" x14ac:dyDescent="0.2"/>
  <cols>
    <col min="1" max="1" width="21" style="36" customWidth="1"/>
    <col min="2" max="2" width="11.25" style="37" customWidth="1"/>
    <col min="3" max="6" width="11.75" style="37" customWidth="1"/>
    <col min="7" max="7" width="12" style="37" customWidth="1"/>
    <col min="8" max="8" width="13.125" style="36" customWidth="1"/>
    <col min="9" max="1025" width="9.125" style="36" customWidth="1"/>
  </cols>
  <sheetData>
    <row r="1" spans="1:11" ht="17.25" customHeight="1" x14ac:dyDescent="0.2">
      <c r="A1" s="144" t="s">
        <v>97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18.75" x14ac:dyDescent="0.45">
      <c r="A2" s="57" t="s">
        <v>4</v>
      </c>
      <c r="B2" s="58">
        <v>1</v>
      </c>
      <c r="C2" s="58">
        <v>2</v>
      </c>
      <c r="D2" s="58">
        <v>3</v>
      </c>
      <c r="E2" s="58">
        <v>4</v>
      </c>
      <c r="F2" s="58">
        <v>5</v>
      </c>
      <c r="G2" s="59">
        <v>6</v>
      </c>
      <c r="H2" s="59">
        <v>7</v>
      </c>
      <c r="I2" s="59">
        <v>8</v>
      </c>
      <c r="J2" s="59">
        <v>9</v>
      </c>
      <c r="K2" s="59">
        <v>10</v>
      </c>
    </row>
    <row r="3" spans="1:11" ht="18.75" x14ac:dyDescent="0.45">
      <c r="A3" s="72" t="s">
        <v>98</v>
      </c>
      <c r="B3" s="74">
        <v>150000</v>
      </c>
      <c r="C3" s="75">
        <f t="shared" ref="C3:K3" si="0">B3*110/100</f>
        <v>165000</v>
      </c>
      <c r="D3" s="75">
        <f t="shared" si="0"/>
        <v>181500</v>
      </c>
      <c r="E3" s="75">
        <f t="shared" si="0"/>
        <v>199650</v>
      </c>
      <c r="F3" s="75">
        <f t="shared" si="0"/>
        <v>219615</v>
      </c>
      <c r="G3" s="75">
        <f t="shared" si="0"/>
        <v>241576.5</v>
      </c>
      <c r="H3" s="75">
        <f t="shared" si="0"/>
        <v>265734.15000000002</v>
      </c>
      <c r="I3" s="75">
        <f t="shared" si="0"/>
        <v>292307.56500000006</v>
      </c>
      <c r="J3" s="75">
        <f t="shared" si="0"/>
        <v>321538.32150000008</v>
      </c>
      <c r="K3" s="75">
        <f t="shared" si="0"/>
        <v>353692.15365000011</v>
      </c>
    </row>
    <row r="4" spans="1:11" ht="18.75" x14ac:dyDescent="0.45">
      <c r="A4" s="72" t="s">
        <v>99</v>
      </c>
      <c r="B4" s="74">
        <v>15000</v>
      </c>
      <c r="C4" s="75">
        <f>B4*120/100</f>
        <v>18000</v>
      </c>
      <c r="D4" s="75">
        <f>C4*120/100</f>
        <v>21600</v>
      </c>
      <c r="E4" s="75">
        <f t="shared" ref="E4:K4" si="1">D4*120/100</f>
        <v>25920</v>
      </c>
      <c r="F4" s="75">
        <f t="shared" si="1"/>
        <v>31104</v>
      </c>
      <c r="G4" s="75">
        <f t="shared" si="1"/>
        <v>37324.800000000003</v>
      </c>
      <c r="H4" s="75">
        <f t="shared" si="1"/>
        <v>44789.760000000002</v>
      </c>
      <c r="I4" s="75">
        <f t="shared" si="1"/>
        <v>53747.712</v>
      </c>
      <c r="J4" s="75">
        <f t="shared" si="1"/>
        <v>64497.254399999998</v>
      </c>
      <c r="K4" s="75">
        <f t="shared" si="1"/>
        <v>77396.705279999995</v>
      </c>
    </row>
    <row r="5" spans="1:11" ht="18.75" x14ac:dyDescent="0.45">
      <c r="A5" s="73" t="s">
        <v>100</v>
      </c>
      <c r="B5" s="74">
        <f>(8*1000)+(4*100)</f>
        <v>8400</v>
      </c>
      <c r="C5" s="75">
        <f t="shared" ref="C5:K5" si="2">B5*110/100</f>
        <v>9240</v>
      </c>
      <c r="D5" s="75">
        <f t="shared" si="2"/>
        <v>10164</v>
      </c>
      <c r="E5" s="75">
        <f t="shared" si="2"/>
        <v>11180.4</v>
      </c>
      <c r="F5" s="75">
        <f t="shared" si="2"/>
        <v>12298.44</v>
      </c>
      <c r="G5" s="75">
        <f t="shared" si="2"/>
        <v>13528.284000000001</v>
      </c>
      <c r="H5" s="75">
        <f t="shared" si="2"/>
        <v>14881.112400000002</v>
      </c>
      <c r="I5" s="75">
        <f t="shared" si="2"/>
        <v>16369.223640000004</v>
      </c>
      <c r="J5" s="75">
        <f t="shared" si="2"/>
        <v>18006.146004000002</v>
      </c>
      <c r="K5" s="75">
        <f t="shared" si="2"/>
        <v>19806.760604400002</v>
      </c>
    </row>
    <row r="6" spans="1:11" ht="18.75" x14ac:dyDescent="0.45">
      <c r="A6" s="73" t="s">
        <v>101</v>
      </c>
      <c r="B6" s="74">
        <f>(8*2000)+(4*500)</f>
        <v>18000</v>
      </c>
      <c r="C6" s="75">
        <f t="shared" ref="C6:K6" si="3">B6*110/100</f>
        <v>19800</v>
      </c>
      <c r="D6" s="75">
        <f t="shared" si="3"/>
        <v>21780</v>
      </c>
      <c r="E6" s="75">
        <f t="shared" si="3"/>
        <v>23958</v>
      </c>
      <c r="F6" s="75">
        <f t="shared" si="3"/>
        <v>26353.8</v>
      </c>
      <c r="G6" s="75">
        <f t="shared" si="3"/>
        <v>28989.18</v>
      </c>
      <c r="H6" s="75">
        <f t="shared" si="3"/>
        <v>31888.097999999998</v>
      </c>
      <c r="I6" s="75">
        <f t="shared" si="3"/>
        <v>35076.907800000001</v>
      </c>
      <c r="J6" s="75">
        <f t="shared" si="3"/>
        <v>38584.598579999998</v>
      </c>
      <c r="K6" s="75">
        <f t="shared" si="3"/>
        <v>42443.058438</v>
      </c>
    </row>
    <row r="7" spans="1:11" ht="18.75" x14ac:dyDescent="0.45">
      <c r="A7" s="73" t="s">
        <v>102</v>
      </c>
      <c r="B7" s="74">
        <f>(4000*8)</f>
        <v>32000</v>
      </c>
      <c r="C7" s="75">
        <f t="shared" ref="C7:K7" si="4">B7*110/100</f>
        <v>35200</v>
      </c>
      <c r="D7" s="75">
        <f t="shared" si="4"/>
        <v>38720</v>
      </c>
      <c r="E7" s="75">
        <f t="shared" si="4"/>
        <v>42592</v>
      </c>
      <c r="F7" s="75">
        <f t="shared" si="4"/>
        <v>46851.199999999997</v>
      </c>
      <c r="G7" s="75">
        <f t="shared" si="4"/>
        <v>51536.32</v>
      </c>
      <c r="H7" s="75">
        <f t="shared" si="4"/>
        <v>56689.952000000005</v>
      </c>
      <c r="I7" s="75">
        <f t="shared" si="4"/>
        <v>62358.94720000001</v>
      </c>
      <c r="J7" s="75">
        <f t="shared" si="4"/>
        <v>68594.841920000006</v>
      </c>
      <c r="K7" s="75">
        <f t="shared" si="4"/>
        <v>75454.32611200001</v>
      </c>
    </row>
    <row r="8" spans="1:11" ht="18.75" x14ac:dyDescent="0.45">
      <c r="A8" s="73" t="s">
        <v>103</v>
      </c>
      <c r="B8" s="74">
        <v>15000</v>
      </c>
      <c r="C8" s="75">
        <f t="shared" ref="C8:K8" si="5">B8*110/100</f>
        <v>16500</v>
      </c>
      <c r="D8" s="75">
        <f t="shared" si="5"/>
        <v>18150</v>
      </c>
      <c r="E8" s="75">
        <f t="shared" si="5"/>
        <v>19965</v>
      </c>
      <c r="F8" s="75">
        <f t="shared" si="5"/>
        <v>21961.5</v>
      </c>
      <c r="G8" s="75">
        <f t="shared" si="5"/>
        <v>24157.65</v>
      </c>
      <c r="H8" s="75">
        <f t="shared" si="5"/>
        <v>26573.415000000001</v>
      </c>
      <c r="I8" s="75">
        <f t="shared" si="5"/>
        <v>29230.7565</v>
      </c>
      <c r="J8" s="75">
        <f t="shared" si="5"/>
        <v>32153.832149999998</v>
      </c>
      <c r="K8" s="75">
        <f t="shared" si="5"/>
        <v>35369.215364999996</v>
      </c>
    </row>
    <row r="9" spans="1:11" ht="18.75" x14ac:dyDescent="0.45">
      <c r="A9" s="73" t="s">
        <v>104</v>
      </c>
      <c r="B9" s="74">
        <f>المرتباب!E69*40%</f>
        <v>542640</v>
      </c>
      <c r="C9" s="74">
        <f>المرتباب!F69*40%</f>
        <v>580624.80000000005</v>
      </c>
      <c r="D9" s="74">
        <f>المرتباب!G69*40%</f>
        <v>621268.53600000008</v>
      </c>
      <c r="E9" s="74">
        <f>المرتباب!H69*40%</f>
        <v>664757.33351999999</v>
      </c>
      <c r="F9" s="74">
        <f>المرتباب!I69*40%</f>
        <v>711290.34686639998</v>
      </c>
      <c r="G9" s="74">
        <f>المرتباب!J69*40%</f>
        <v>761080.67114704801</v>
      </c>
      <c r="H9" s="74">
        <f>المرتباب!K69*40%</f>
        <v>814356.31812734145</v>
      </c>
      <c r="I9" s="74">
        <f>المرتباب!L69*40%</f>
        <v>871361.26039625518</v>
      </c>
      <c r="J9" s="74">
        <f>المرتباب!M69*40%</f>
        <v>941070.16122795572</v>
      </c>
      <c r="K9" s="74">
        <f>المرتباب!N69*40%</f>
        <v>1006945.0725139127</v>
      </c>
    </row>
    <row r="10" spans="1:11" ht="18.75" x14ac:dyDescent="0.45">
      <c r="A10" s="73" t="s">
        <v>105</v>
      </c>
      <c r="B10" s="74">
        <v>500000</v>
      </c>
      <c r="C10" s="75">
        <f t="shared" ref="C10:K10" si="6">B10*110/100</f>
        <v>550000</v>
      </c>
      <c r="D10" s="75">
        <f t="shared" si="6"/>
        <v>605000</v>
      </c>
      <c r="E10" s="75">
        <f t="shared" si="6"/>
        <v>665500</v>
      </c>
      <c r="F10" s="75">
        <f t="shared" si="6"/>
        <v>732050</v>
      </c>
      <c r="G10" s="75">
        <f t="shared" si="6"/>
        <v>805255</v>
      </c>
      <c r="H10" s="75">
        <f t="shared" si="6"/>
        <v>885780.5</v>
      </c>
      <c r="I10" s="75">
        <f t="shared" si="6"/>
        <v>974358.55</v>
      </c>
      <c r="J10" s="75">
        <f t="shared" si="6"/>
        <v>1071794.405</v>
      </c>
      <c r="K10" s="75">
        <f t="shared" si="6"/>
        <v>1178973.8455000001</v>
      </c>
    </row>
    <row r="11" spans="1:11" ht="18.75" x14ac:dyDescent="0.45">
      <c r="A11" s="72" t="s">
        <v>17</v>
      </c>
      <c r="B11" s="74">
        <f t="shared" ref="B11:K11" si="7">SUM(B3:B10)</f>
        <v>1281040</v>
      </c>
      <c r="C11" s="74">
        <f t="shared" si="7"/>
        <v>1394364.8</v>
      </c>
      <c r="D11" s="74">
        <f t="shared" si="7"/>
        <v>1518182.5360000001</v>
      </c>
      <c r="E11" s="74">
        <f t="shared" si="7"/>
        <v>1653522.73352</v>
      </c>
      <c r="F11" s="74">
        <f t="shared" si="7"/>
        <v>1801524.2868663999</v>
      </c>
      <c r="G11" s="74">
        <f t="shared" si="7"/>
        <v>1963448.4051470479</v>
      </c>
      <c r="H11" s="74">
        <f t="shared" si="7"/>
        <v>2140693.3055273416</v>
      </c>
      <c r="I11" s="74">
        <f t="shared" si="7"/>
        <v>2334810.9225362553</v>
      </c>
      <c r="J11" s="74">
        <f t="shared" si="7"/>
        <v>2556239.5607819557</v>
      </c>
      <c r="K11" s="74">
        <f t="shared" si="7"/>
        <v>2790081.1374633126</v>
      </c>
    </row>
    <row r="12" spans="1:11" ht="17.25" customHeight="1" x14ac:dyDescent="0.2"/>
    <row r="23" ht="17.25" customHeight="1" x14ac:dyDescent="0.2"/>
  </sheetData>
  <mergeCells count="1">
    <mergeCell ref="A1:K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rightToLeft="1" tabSelected="1" topLeftCell="U1" zoomScaleNormal="100" workbookViewId="0">
      <selection activeCell="AC10" sqref="AC10"/>
    </sheetView>
  </sheetViews>
  <sheetFormatPr defaultRowHeight="14.25" x14ac:dyDescent="0.2"/>
  <cols>
    <col min="1" max="1" width="11.375" customWidth="1"/>
    <col min="2" max="2" width="6.25" customWidth="1"/>
    <col min="3" max="11" width="6.125" customWidth="1"/>
    <col min="12" max="12" width="14.125" style="1" customWidth="1"/>
    <col min="13" max="20" width="13" style="1" customWidth="1"/>
    <col min="21" max="22" width="14.125" style="1" customWidth="1"/>
    <col min="23" max="23" width="1" style="1" customWidth="1"/>
    <col min="24" max="24" width="12.75" customWidth="1"/>
    <col min="25" max="25" width="8.875" customWidth="1"/>
    <col min="26" max="26" width="8.75" customWidth="1"/>
    <col min="27" max="27" width="9.625" customWidth="1"/>
    <col min="28" max="28" width="7.25" customWidth="1"/>
    <col min="29" max="32" width="4.625" customWidth="1"/>
    <col min="33" max="33" width="4.875" customWidth="1"/>
    <col min="34" max="37" width="4.875" style="1" customWidth="1"/>
    <col min="38" max="38" width="5.875" style="1" customWidth="1"/>
    <col min="39" max="39" width="14.125" style="1" customWidth="1"/>
    <col min="40" max="40" width="15" style="1" customWidth="1"/>
    <col min="41" max="41" width="14.125" style="1" customWidth="1"/>
    <col min="42" max="43" width="15.375" style="1" customWidth="1"/>
    <col min="44" max="1025" width="8.5" customWidth="1"/>
  </cols>
  <sheetData>
    <row r="1" spans="1:43" ht="18" x14ac:dyDescent="0.45">
      <c r="A1" s="147" t="s">
        <v>106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 t="s">
        <v>106</v>
      </c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3"/>
      <c r="X1" s="148" t="s">
        <v>202</v>
      </c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4"/>
      <c r="AM1" s="4"/>
      <c r="AN1" s="4"/>
      <c r="AO1" s="4"/>
      <c r="AP1" s="4"/>
      <c r="AQ1" s="4"/>
    </row>
    <row r="2" spans="1:43" ht="18" x14ac:dyDescent="0.2">
      <c r="A2" s="5" t="s">
        <v>2</v>
      </c>
      <c r="B2" s="6" t="s">
        <v>18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7">
        <v>10</v>
      </c>
      <c r="L2" s="8" t="s">
        <v>3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9">
        <v>6</v>
      </c>
      <c r="S2" s="9">
        <v>7</v>
      </c>
      <c r="T2" s="9">
        <v>8</v>
      </c>
      <c r="U2" s="9">
        <v>9</v>
      </c>
      <c r="V2" s="9">
        <v>10</v>
      </c>
      <c r="W2" s="10"/>
      <c r="X2" s="131" t="s">
        <v>4</v>
      </c>
      <c r="Y2" s="131"/>
      <c r="Z2" s="131"/>
      <c r="AA2" s="131"/>
      <c r="AB2" s="6">
        <v>1</v>
      </c>
      <c r="AC2" s="6">
        <v>2</v>
      </c>
      <c r="AD2" s="6">
        <v>3</v>
      </c>
      <c r="AE2" s="6">
        <v>4</v>
      </c>
      <c r="AF2" s="6">
        <v>5</v>
      </c>
      <c r="AG2" s="11">
        <v>6</v>
      </c>
      <c r="AH2" s="6">
        <v>7</v>
      </c>
      <c r="AI2" s="6">
        <v>8</v>
      </c>
      <c r="AJ2" s="6">
        <v>9</v>
      </c>
      <c r="AK2" s="6">
        <v>10</v>
      </c>
      <c r="AL2" s="12"/>
      <c r="AM2" s="12"/>
      <c r="AN2" s="12"/>
      <c r="AO2" s="12"/>
      <c r="AP2" s="12"/>
      <c r="AQ2" s="12"/>
    </row>
    <row r="3" spans="1:43" ht="18" x14ac:dyDescent="0.45">
      <c r="A3" s="8" t="s">
        <v>5</v>
      </c>
      <c r="B3" s="8">
        <v>1000</v>
      </c>
      <c r="C3" s="8">
        <f t="shared" ref="C3:K3" si="0">B3*107/100</f>
        <v>1070</v>
      </c>
      <c r="D3" s="8">
        <f t="shared" si="0"/>
        <v>1144.9000000000001</v>
      </c>
      <c r="E3" s="8">
        <f t="shared" si="0"/>
        <v>1225.0430000000001</v>
      </c>
      <c r="F3" s="8">
        <f t="shared" si="0"/>
        <v>1310.7960100000003</v>
      </c>
      <c r="G3" s="8">
        <f t="shared" si="0"/>
        <v>1402.5517307000002</v>
      </c>
      <c r="H3" s="8">
        <f t="shared" si="0"/>
        <v>1500.730351849</v>
      </c>
      <c r="I3" s="8">
        <f t="shared" si="0"/>
        <v>1605.78147647843</v>
      </c>
      <c r="J3" s="8">
        <f t="shared" si="0"/>
        <v>1718.1861798319201</v>
      </c>
      <c r="K3" s="13">
        <f t="shared" si="0"/>
        <v>1838.4592124201545</v>
      </c>
      <c r="L3" s="14" t="s">
        <v>6</v>
      </c>
      <c r="M3" s="15">
        <f t="shared" ref="M3:V6" si="1">B3*AB4</f>
        <v>54000</v>
      </c>
      <c r="N3" s="15">
        <f t="shared" si="1"/>
        <v>72225</v>
      </c>
      <c r="O3" s="15">
        <f t="shared" si="1"/>
        <v>92736.900000000009</v>
      </c>
      <c r="P3" s="15">
        <f t="shared" si="1"/>
        <v>115766.56350000002</v>
      </c>
      <c r="Q3" s="15">
        <f t="shared" si="1"/>
        <v>141565.96908000004</v>
      </c>
      <c r="R3" s="15">
        <f t="shared" si="1"/>
        <v>170410.03528005004</v>
      </c>
      <c r="S3" s="15">
        <f t="shared" si="1"/>
        <v>202598.59749961502</v>
      </c>
      <c r="T3" s="15">
        <f t="shared" si="1"/>
        <v>238458.54925704686</v>
      </c>
      <c r="U3" s="15">
        <f t="shared" si="1"/>
        <v>278346.16113277106</v>
      </c>
      <c r="V3" s="15">
        <f t="shared" si="1"/>
        <v>322649.59177973709</v>
      </c>
      <c r="X3" s="14" t="s">
        <v>2</v>
      </c>
      <c r="Y3" s="14" t="s">
        <v>7</v>
      </c>
      <c r="Z3" s="14" t="s">
        <v>8</v>
      </c>
      <c r="AA3" s="14" t="s">
        <v>9</v>
      </c>
      <c r="AB3" s="16">
        <v>0.2</v>
      </c>
      <c r="AC3" s="16">
        <v>0.25</v>
      </c>
      <c r="AD3" s="16">
        <v>0.3</v>
      </c>
      <c r="AE3" s="16">
        <v>0.35</v>
      </c>
      <c r="AF3" s="16">
        <v>0.4</v>
      </c>
      <c r="AG3" s="17">
        <v>0.45</v>
      </c>
      <c r="AH3" s="16">
        <v>0.5</v>
      </c>
      <c r="AI3" s="16">
        <v>0.55000000000000004</v>
      </c>
      <c r="AJ3" s="16">
        <v>0.6</v>
      </c>
      <c r="AK3" s="16">
        <v>0.65</v>
      </c>
      <c r="AL3" s="18"/>
      <c r="AM3" s="18"/>
      <c r="AN3" s="18"/>
      <c r="AO3" s="18"/>
      <c r="AP3" s="18"/>
      <c r="AQ3" s="18"/>
    </row>
    <row r="4" spans="1:43" ht="18" x14ac:dyDescent="0.45">
      <c r="A4" s="8" t="s">
        <v>10</v>
      </c>
      <c r="B4" s="8">
        <f>B3*110/100</f>
        <v>1100</v>
      </c>
      <c r="C4" s="8">
        <f t="shared" ref="C4:K4" si="2">B4*107/100</f>
        <v>1177</v>
      </c>
      <c r="D4" s="8">
        <f t="shared" si="2"/>
        <v>1259.3900000000001</v>
      </c>
      <c r="E4" s="8">
        <f t="shared" si="2"/>
        <v>1347.5473000000002</v>
      </c>
      <c r="F4" s="8">
        <f t="shared" si="2"/>
        <v>1441.8756110000002</v>
      </c>
      <c r="G4" s="8">
        <f t="shared" si="2"/>
        <v>1542.8069037700002</v>
      </c>
      <c r="H4" s="8">
        <f t="shared" si="2"/>
        <v>1650.8033870339</v>
      </c>
      <c r="I4" s="8">
        <f t="shared" si="2"/>
        <v>1766.359624126273</v>
      </c>
      <c r="J4" s="8">
        <f t="shared" si="2"/>
        <v>1890.0047978151122</v>
      </c>
      <c r="K4" s="13">
        <f t="shared" si="2"/>
        <v>2022.30513366217</v>
      </c>
      <c r="L4" s="14" t="s">
        <v>11</v>
      </c>
      <c r="M4" s="15">
        <f t="shared" si="1"/>
        <v>178200</v>
      </c>
      <c r="N4" s="15">
        <f t="shared" si="1"/>
        <v>238342.5</v>
      </c>
      <c r="O4" s="15">
        <f t="shared" si="1"/>
        <v>306031.77</v>
      </c>
      <c r="P4" s="15">
        <f t="shared" si="1"/>
        <v>76405.931909999999</v>
      </c>
      <c r="Q4" s="15">
        <f t="shared" si="1"/>
        <v>467167.69796400005</v>
      </c>
      <c r="R4" s="15">
        <f t="shared" si="1"/>
        <v>562353.11642416508</v>
      </c>
      <c r="S4" s="15">
        <f t="shared" si="1"/>
        <v>668575.37174872949</v>
      </c>
      <c r="T4" s="15">
        <f t="shared" si="1"/>
        <v>786913.21254825476</v>
      </c>
      <c r="U4" s="15">
        <f t="shared" si="1"/>
        <v>918542.33173814451</v>
      </c>
      <c r="V4" s="15">
        <f t="shared" si="1"/>
        <v>1064743.6528731324</v>
      </c>
      <c r="X4" s="14" t="s">
        <v>6</v>
      </c>
      <c r="Y4" s="14">
        <f>الايرادات!Y5</f>
        <v>10</v>
      </c>
      <c r="Z4" s="14">
        <f>الايرادات!Z5</f>
        <v>27</v>
      </c>
      <c r="AA4" s="14">
        <f>Y4*Z4</f>
        <v>270</v>
      </c>
      <c r="AB4" s="14">
        <f>AA4*AB3</f>
        <v>54</v>
      </c>
      <c r="AC4" s="45">
        <f>AA4*AC3</f>
        <v>67.5</v>
      </c>
      <c r="AD4" s="45">
        <f>AA4*AD3</f>
        <v>81</v>
      </c>
      <c r="AE4" s="45">
        <f>AA4*AE3</f>
        <v>94.5</v>
      </c>
      <c r="AF4" s="45">
        <f>AA4*AF3</f>
        <v>108</v>
      </c>
      <c r="AG4" s="45">
        <f>AA4*AG3</f>
        <v>121.5</v>
      </c>
      <c r="AH4" s="45">
        <f>AA4*AH3</f>
        <v>135</v>
      </c>
      <c r="AI4" s="45">
        <f>AA4*AI3</f>
        <v>148.5</v>
      </c>
      <c r="AJ4" s="45">
        <f>AA4*AJ3</f>
        <v>162</v>
      </c>
      <c r="AK4" s="45">
        <f>AA4*AK3</f>
        <v>175.5</v>
      </c>
      <c r="AL4" s="20"/>
      <c r="AM4" s="20"/>
      <c r="AN4" s="20"/>
      <c r="AO4" s="20"/>
      <c r="AP4" s="20"/>
      <c r="AQ4" s="20"/>
    </row>
    <row r="5" spans="1:43" ht="18" x14ac:dyDescent="0.45">
      <c r="A5" s="8" t="s">
        <v>12</v>
      </c>
      <c r="B5" s="8">
        <v>1150</v>
      </c>
      <c r="C5" s="8">
        <f t="shared" ref="C5:K5" si="3">B5*107/100</f>
        <v>1230.5</v>
      </c>
      <c r="D5" s="8">
        <f t="shared" si="3"/>
        <v>1316.635</v>
      </c>
      <c r="E5" s="8">
        <f t="shared" si="3"/>
        <v>1408.79945</v>
      </c>
      <c r="F5" s="8">
        <f t="shared" si="3"/>
        <v>1507.4154115000001</v>
      </c>
      <c r="G5" s="8">
        <f t="shared" si="3"/>
        <v>1612.9344903050003</v>
      </c>
      <c r="H5" s="8">
        <f t="shared" si="3"/>
        <v>1725.8399046263503</v>
      </c>
      <c r="I5" s="8">
        <f t="shared" si="3"/>
        <v>1846.6486979501947</v>
      </c>
      <c r="J5" s="8">
        <f t="shared" si="3"/>
        <v>1975.9141068067083</v>
      </c>
      <c r="K5" s="13">
        <f t="shared" si="3"/>
        <v>2114.2280942831781</v>
      </c>
      <c r="L5" s="14" t="s">
        <v>13</v>
      </c>
      <c r="M5" s="15">
        <f t="shared" si="1"/>
        <v>93150</v>
      </c>
      <c r="N5" s="15">
        <f t="shared" si="1"/>
        <v>124588.125</v>
      </c>
      <c r="O5" s="15">
        <f t="shared" si="1"/>
        <v>159971.1525</v>
      </c>
      <c r="P5" s="15">
        <f t="shared" si="1"/>
        <v>199697.32203750001</v>
      </c>
      <c r="Q5" s="15">
        <f t="shared" si="1"/>
        <v>244201.29666300002</v>
      </c>
      <c r="R5" s="15">
        <f t="shared" si="1"/>
        <v>293957.31085808628</v>
      </c>
      <c r="S5" s="15">
        <f t="shared" si="1"/>
        <v>349482.58068683592</v>
      </c>
      <c r="T5" s="15">
        <f t="shared" si="1"/>
        <v>411340.99746840593</v>
      </c>
      <c r="U5" s="15">
        <f t="shared" si="1"/>
        <v>480147.12795403012</v>
      </c>
      <c r="V5" s="15">
        <f t="shared" si="1"/>
        <v>556570.54582004657</v>
      </c>
      <c r="X5" s="14" t="s">
        <v>11</v>
      </c>
      <c r="Y5" s="14">
        <f>الايرادات!Y6</f>
        <v>30</v>
      </c>
      <c r="Z5" s="14">
        <f>الايرادات!Z6</f>
        <v>27</v>
      </c>
      <c r="AA5" s="14">
        <f t="shared" ref="AA5:AA7" si="4">Y5*Z5</f>
        <v>810</v>
      </c>
      <c r="AB5" s="14">
        <f>AA5*AB3</f>
        <v>162</v>
      </c>
      <c r="AC5" s="45">
        <f>AA5*AC3</f>
        <v>202.5</v>
      </c>
      <c r="AD5" s="45">
        <f>AA5*AD3</f>
        <v>243</v>
      </c>
      <c r="AE5" s="45">
        <f>AB5*AE3</f>
        <v>56.699999999999996</v>
      </c>
      <c r="AF5" s="45">
        <f>AA5*AF3</f>
        <v>324</v>
      </c>
      <c r="AG5" s="45">
        <f>AA5*AG3</f>
        <v>364.5</v>
      </c>
      <c r="AH5" s="45">
        <f>AA5*AH3</f>
        <v>405</v>
      </c>
      <c r="AI5" s="45">
        <f>AA5*AI3</f>
        <v>445.50000000000006</v>
      </c>
      <c r="AJ5" s="45">
        <f>AA5*AJ3</f>
        <v>486</v>
      </c>
      <c r="AK5" s="45">
        <f>AA5*AK3</f>
        <v>526.5</v>
      </c>
      <c r="AL5" s="20"/>
      <c r="AM5" s="20"/>
      <c r="AN5" s="20"/>
      <c r="AO5" s="20"/>
      <c r="AP5" s="20"/>
      <c r="AQ5" s="20"/>
    </row>
    <row r="6" spans="1:43" ht="18" x14ac:dyDescent="0.45">
      <c r="A6" s="8" t="s">
        <v>14</v>
      </c>
      <c r="B6" s="8">
        <v>1150</v>
      </c>
      <c r="C6" s="8">
        <f t="shared" ref="C6:K6" si="5">B6*107/100</f>
        <v>1230.5</v>
      </c>
      <c r="D6" s="8">
        <f t="shared" si="5"/>
        <v>1316.635</v>
      </c>
      <c r="E6" s="8">
        <f t="shared" si="5"/>
        <v>1408.79945</v>
      </c>
      <c r="F6" s="8">
        <f t="shared" si="5"/>
        <v>1507.4154115000001</v>
      </c>
      <c r="G6" s="8">
        <f t="shared" si="5"/>
        <v>1612.9344903050003</v>
      </c>
      <c r="H6" s="8">
        <f t="shared" si="5"/>
        <v>1725.8399046263503</v>
      </c>
      <c r="I6" s="8">
        <f t="shared" si="5"/>
        <v>1846.6486979501947</v>
      </c>
      <c r="J6" s="8">
        <f t="shared" si="5"/>
        <v>1975.9141068067083</v>
      </c>
      <c r="K6" s="13">
        <f t="shared" si="5"/>
        <v>2114.2280942831781</v>
      </c>
      <c r="L6" s="14" t="s">
        <v>15</v>
      </c>
      <c r="M6" s="15">
        <f t="shared" si="1"/>
        <v>93150</v>
      </c>
      <c r="N6" s="15">
        <f t="shared" si="1"/>
        <v>124588.125</v>
      </c>
      <c r="O6" s="15">
        <f t="shared" si="1"/>
        <v>159971.1525</v>
      </c>
      <c r="P6" s="15">
        <f t="shared" si="1"/>
        <v>199697.32203750001</v>
      </c>
      <c r="Q6" s="15">
        <f t="shared" si="1"/>
        <v>244201.29666300002</v>
      </c>
      <c r="R6" s="15">
        <f t="shared" si="1"/>
        <v>293957.31085808628</v>
      </c>
      <c r="S6" s="15">
        <f t="shared" si="1"/>
        <v>349482.58068683592</v>
      </c>
      <c r="T6" s="15">
        <f t="shared" si="1"/>
        <v>411340.99746840593</v>
      </c>
      <c r="U6" s="15">
        <f t="shared" si="1"/>
        <v>480147.12795403012</v>
      </c>
      <c r="V6" s="15">
        <f t="shared" si="1"/>
        <v>556570.54582004657</v>
      </c>
      <c r="X6" s="14" t="s">
        <v>13</v>
      </c>
      <c r="Y6" s="14">
        <f>الايرادات!Y7</f>
        <v>15</v>
      </c>
      <c r="Z6" s="14">
        <f>الايرادات!Z7</f>
        <v>27</v>
      </c>
      <c r="AA6" s="14">
        <f t="shared" si="4"/>
        <v>405</v>
      </c>
      <c r="AB6" s="14">
        <f>AA6*AB3</f>
        <v>81</v>
      </c>
      <c r="AC6" s="45">
        <f>AA6*AC3</f>
        <v>101.25</v>
      </c>
      <c r="AD6" s="45">
        <f>AA6*AD3</f>
        <v>121.5</v>
      </c>
      <c r="AE6" s="45">
        <f>AA6*AE3</f>
        <v>141.75</v>
      </c>
      <c r="AF6" s="45">
        <f>AA6*AF3</f>
        <v>162</v>
      </c>
      <c r="AG6" s="45">
        <f>AA6*AG3</f>
        <v>182.25</v>
      </c>
      <c r="AH6" s="45">
        <f>AA6*AH3</f>
        <v>202.5</v>
      </c>
      <c r="AI6" s="45">
        <f>AA6*AI3</f>
        <v>222.75000000000003</v>
      </c>
      <c r="AJ6" s="45">
        <f>AA6*AJ3</f>
        <v>243</v>
      </c>
      <c r="AK6" s="45">
        <f>AA6*AK3</f>
        <v>263.25</v>
      </c>
      <c r="AL6" s="20"/>
      <c r="AM6" s="20"/>
      <c r="AN6" s="20"/>
      <c r="AO6" s="20"/>
      <c r="AP6" s="20"/>
      <c r="AQ6" s="20"/>
    </row>
    <row r="7" spans="1:43" ht="18" x14ac:dyDescent="0.45">
      <c r="A7" s="146" t="s">
        <v>107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" t="s">
        <v>17</v>
      </c>
      <c r="M7" s="26">
        <f t="shared" ref="M7:V7" si="6">SUM(M3:M6)</f>
        <v>418500</v>
      </c>
      <c r="N7" s="26">
        <f t="shared" si="6"/>
        <v>559743.75</v>
      </c>
      <c r="O7" s="26">
        <f t="shared" si="6"/>
        <v>718710.97499999998</v>
      </c>
      <c r="P7" s="26">
        <f t="shared" si="6"/>
        <v>591567.13948500005</v>
      </c>
      <c r="Q7" s="26">
        <f t="shared" si="6"/>
        <v>1097136.2603700003</v>
      </c>
      <c r="R7" s="26">
        <f t="shared" si="6"/>
        <v>1320677.7734203876</v>
      </c>
      <c r="S7" s="15">
        <f t="shared" si="6"/>
        <v>1570139.1306220163</v>
      </c>
      <c r="T7" s="15">
        <f t="shared" si="6"/>
        <v>1848053.7567421135</v>
      </c>
      <c r="U7" s="15">
        <f t="shared" si="6"/>
        <v>2157182.748778976</v>
      </c>
      <c r="V7" s="15">
        <f t="shared" si="6"/>
        <v>2500534.3362929625</v>
      </c>
      <c r="W7" s="3"/>
      <c r="X7" s="14" t="s">
        <v>15</v>
      </c>
      <c r="Y7" s="14">
        <f>الايرادات!Y8</f>
        <v>15</v>
      </c>
      <c r="Z7" s="14">
        <f>الايرادات!Z8</f>
        <v>27</v>
      </c>
      <c r="AA7" s="14">
        <f t="shared" si="4"/>
        <v>405</v>
      </c>
      <c r="AB7" s="14">
        <f>AA7*AB3</f>
        <v>81</v>
      </c>
      <c r="AC7" s="45">
        <f>AA7*AC3</f>
        <v>101.25</v>
      </c>
      <c r="AD7" s="45">
        <f>AA7*AD3</f>
        <v>121.5</v>
      </c>
      <c r="AE7" s="45">
        <f>AA7*AE3</f>
        <v>141.75</v>
      </c>
      <c r="AF7" s="45">
        <f>AA7*AF3</f>
        <v>162</v>
      </c>
      <c r="AG7" s="45">
        <f>AA7*AG3</f>
        <v>182.25</v>
      </c>
      <c r="AH7" s="45">
        <f>AA7*AH3</f>
        <v>202.5</v>
      </c>
      <c r="AI7" s="45">
        <f>AA7*AI3</f>
        <v>222.75000000000003</v>
      </c>
      <c r="AJ7" s="45">
        <f>AA7*AJ3</f>
        <v>243</v>
      </c>
      <c r="AK7" s="45">
        <f>AA7*AK3</f>
        <v>263.25</v>
      </c>
      <c r="AL7" s="20"/>
      <c r="AM7" s="20"/>
      <c r="AN7" s="20"/>
      <c r="AO7" s="20"/>
      <c r="AP7" s="20"/>
      <c r="AQ7" s="20"/>
    </row>
    <row r="8" spans="1:43" ht="18" x14ac:dyDescent="0.45">
      <c r="A8" s="5" t="s">
        <v>2</v>
      </c>
      <c r="B8" s="6" t="s">
        <v>18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7">
        <v>10</v>
      </c>
      <c r="L8" s="147" t="s">
        <v>107</v>
      </c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0"/>
      <c r="X8" s="14" t="s">
        <v>17</v>
      </c>
      <c r="Y8" s="14">
        <f>الايرادات!Y9</f>
        <v>70</v>
      </c>
      <c r="Z8" s="14">
        <f>الايرادات!Z9</f>
        <v>108</v>
      </c>
      <c r="AA8" s="14">
        <f>الايرادات!AA9</f>
        <v>1890</v>
      </c>
      <c r="AB8" s="14">
        <f t="shared" ref="AB8:AK8" si="7">SUM(AB4:AB7)</f>
        <v>378</v>
      </c>
      <c r="AC8" s="45">
        <f t="shared" si="7"/>
        <v>472.5</v>
      </c>
      <c r="AD8" s="45">
        <f t="shared" si="7"/>
        <v>567</v>
      </c>
      <c r="AE8" s="45">
        <f t="shared" si="7"/>
        <v>434.7</v>
      </c>
      <c r="AF8" s="45">
        <f t="shared" si="7"/>
        <v>756</v>
      </c>
      <c r="AG8" s="45">
        <f t="shared" si="7"/>
        <v>850.5</v>
      </c>
      <c r="AH8" s="45">
        <f t="shared" si="7"/>
        <v>945</v>
      </c>
      <c r="AI8" s="45">
        <f t="shared" si="7"/>
        <v>1039.5</v>
      </c>
      <c r="AJ8" s="45">
        <f t="shared" si="7"/>
        <v>1134</v>
      </c>
      <c r="AK8" s="45">
        <f t="shared" si="7"/>
        <v>1228.5</v>
      </c>
      <c r="AL8" s="20"/>
      <c r="AM8" s="20"/>
      <c r="AN8" s="20"/>
      <c r="AO8" s="20"/>
      <c r="AP8" s="20"/>
      <c r="AQ8" s="20"/>
    </row>
    <row r="9" spans="1:43" ht="18" x14ac:dyDescent="0.45">
      <c r="A9" s="8" t="s">
        <v>5</v>
      </c>
      <c r="B9" s="8">
        <v>1200</v>
      </c>
      <c r="C9" s="8">
        <f t="shared" ref="C9:K9" si="8">B9*107/100</f>
        <v>1284</v>
      </c>
      <c r="D9" s="8">
        <f t="shared" si="8"/>
        <v>1373.88</v>
      </c>
      <c r="E9" s="8">
        <f t="shared" si="8"/>
        <v>1470.0516</v>
      </c>
      <c r="F9" s="8">
        <f t="shared" si="8"/>
        <v>1572.9552119999998</v>
      </c>
      <c r="G9" s="8">
        <f t="shared" si="8"/>
        <v>1683.0620768399999</v>
      </c>
      <c r="H9" s="8">
        <f t="shared" si="8"/>
        <v>1800.8764222187999</v>
      </c>
      <c r="I9" s="8">
        <f t="shared" si="8"/>
        <v>1926.9377717741161</v>
      </c>
      <c r="J9" s="8">
        <f t="shared" si="8"/>
        <v>2061.8234157983043</v>
      </c>
      <c r="K9" s="13">
        <f t="shared" si="8"/>
        <v>2206.1510549041855</v>
      </c>
      <c r="L9" s="8" t="s">
        <v>3</v>
      </c>
      <c r="M9" s="6">
        <v>1</v>
      </c>
      <c r="N9" s="6">
        <v>2</v>
      </c>
      <c r="O9" s="6">
        <v>3</v>
      </c>
      <c r="P9" s="6">
        <v>4</v>
      </c>
      <c r="Q9" s="6">
        <v>5</v>
      </c>
      <c r="R9" s="9">
        <v>6</v>
      </c>
      <c r="S9" s="9">
        <v>7</v>
      </c>
      <c r="T9" s="9">
        <v>8</v>
      </c>
      <c r="U9" s="9">
        <v>9</v>
      </c>
      <c r="V9" s="9">
        <v>10</v>
      </c>
      <c r="AK9" s="3"/>
      <c r="AL9" s="20"/>
      <c r="AM9" s="20"/>
      <c r="AN9" s="20"/>
      <c r="AO9" s="20"/>
      <c r="AP9" s="20"/>
      <c r="AQ9" s="20"/>
    </row>
    <row r="10" spans="1:43" ht="18" x14ac:dyDescent="0.45">
      <c r="A10" s="8" t="s">
        <v>10</v>
      </c>
      <c r="B10" s="8">
        <v>1300</v>
      </c>
      <c r="C10" s="8">
        <f t="shared" ref="C10:K10" si="9">B10*107/100</f>
        <v>1391</v>
      </c>
      <c r="D10" s="8">
        <f t="shared" si="9"/>
        <v>1488.37</v>
      </c>
      <c r="E10" s="8">
        <f t="shared" si="9"/>
        <v>1592.5559000000001</v>
      </c>
      <c r="F10" s="8">
        <f t="shared" si="9"/>
        <v>1704.0348130000002</v>
      </c>
      <c r="G10" s="8">
        <f t="shared" si="9"/>
        <v>1823.3172499100003</v>
      </c>
      <c r="H10" s="8">
        <f t="shared" si="9"/>
        <v>1950.9494574037003</v>
      </c>
      <c r="I10" s="8">
        <f t="shared" si="9"/>
        <v>2087.5159194219591</v>
      </c>
      <c r="J10" s="8">
        <f t="shared" si="9"/>
        <v>2233.6420337814961</v>
      </c>
      <c r="K10" s="13">
        <f t="shared" si="9"/>
        <v>2389.9969761462007</v>
      </c>
      <c r="L10" s="14" t="s">
        <v>6</v>
      </c>
      <c r="M10" s="15">
        <f t="shared" ref="M10:V13" si="10">B9*AB4</f>
        <v>64800</v>
      </c>
      <c r="N10" s="15">
        <f t="shared" si="10"/>
        <v>86670</v>
      </c>
      <c r="O10" s="15">
        <f t="shared" si="10"/>
        <v>111284.28000000001</v>
      </c>
      <c r="P10" s="15">
        <f t="shared" si="10"/>
        <v>138919.8762</v>
      </c>
      <c r="Q10" s="15">
        <f t="shared" si="10"/>
        <v>169879.16289599999</v>
      </c>
      <c r="R10" s="15">
        <f t="shared" si="10"/>
        <v>204492.04233606</v>
      </c>
      <c r="S10" s="15">
        <f t="shared" si="10"/>
        <v>243118.31699953799</v>
      </c>
      <c r="T10" s="15">
        <f t="shared" si="10"/>
        <v>286150.25910845626</v>
      </c>
      <c r="U10" s="15">
        <f t="shared" si="10"/>
        <v>334015.3933593253</v>
      </c>
      <c r="V10" s="15">
        <f t="shared" si="10"/>
        <v>387179.51013568457</v>
      </c>
      <c r="AL10" s="20"/>
      <c r="AM10" s="20"/>
      <c r="AN10" s="20"/>
      <c r="AO10" s="20"/>
      <c r="AP10" s="20"/>
      <c r="AQ10" s="20"/>
    </row>
    <row r="11" spans="1:43" ht="18" x14ac:dyDescent="0.45">
      <c r="A11" s="8" t="s">
        <v>12</v>
      </c>
      <c r="B11" s="8">
        <v>1350</v>
      </c>
      <c r="C11" s="8">
        <f t="shared" ref="C11:K11" si="11">B11*107/100</f>
        <v>1444.5</v>
      </c>
      <c r="D11" s="8">
        <f t="shared" si="11"/>
        <v>1545.615</v>
      </c>
      <c r="E11" s="8">
        <f t="shared" si="11"/>
        <v>1653.8080499999999</v>
      </c>
      <c r="F11" s="8">
        <f t="shared" si="11"/>
        <v>1769.5746134999999</v>
      </c>
      <c r="G11" s="8">
        <f t="shared" si="11"/>
        <v>1893.444836445</v>
      </c>
      <c r="H11" s="8">
        <f t="shared" si="11"/>
        <v>2025.9859749961499</v>
      </c>
      <c r="I11" s="8">
        <f t="shared" si="11"/>
        <v>2167.8049932458803</v>
      </c>
      <c r="J11" s="8">
        <f t="shared" si="11"/>
        <v>2319.5513427730916</v>
      </c>
      <c r="K11" s="13">
        <f t="shared" si="11"/>
        <v>2481.9199367672081</v>
      </c>
      <c r="L11" s="14" t="s">
        <v>11</v>
      </c>
      <c r="M11" s="15">
        <f t="shared" si="10"/>
        <v>210600</v>
      </c>
      <c r="N11" s="15">
        <f t="shared" si="10"/>
        <v>281677.5</v>
      </c>
      <c r="O11" s="15">
        <f t="shared" si="10"/>
        <v>361673.91</v>
      </c>
      <c r="P11" s="15">
        <f t="shared" si="10"/>
        <v>90297.919529999999</v>
      </c>
      <c r="Q11" s="15">
        <f t="shared" si="10"/>
        <v>552107.27941200009</v>
      </c>
      <c r="R11" s="15">
        <f t="shared" si="10"/>
        <v>664599.13759219507</v>
      </c>
      <c r="S11" s="15">
        <f t="shared" si="10"/>
        <v>790134.53024849866</v>
      </c>
      <c r="T11" s="15">
        <f t="shared" si="10"/>
        <v>929988.34210248291</v>
      </c>
      <c r="U11" s="15">
        <f t="shared" si="10"/>
        <v>1085550.0284178071</v>
      </c>
      <c r="V11" s="15">
        <f t="shared" si="10"/>
        <v>1258333.4079409747</v>
      </c>
      <c r="X11" s="20"/>
      <c r="AK11" s="21"/>
      <c r="AL11" s="20"/>
      <c r="AM11" s="20"/>
      <c r="AN11" s="20"/>
      <c r="AO11" s="20"/>
      <c r="AP11" s="20"/>
      <c r="AQ11" s="20"/>
    </row>
    <row r="12" spans="1:43" ht="18" x14ac:dyDescent="0.45">
      <c r="A12" s="8" t="s">
        <v>14</v>
      </c>
      <c r="B12" s="8">
        <v>1350</v>
      </c>
      <c r="C12" s="8">
        <f t="shared" ref="C12:K12" si="12">B12*107/100</f>
        <v>1444.5</v>
      </c>
      <c r="D12" s="8">
        <f t="shared" si="12"/>
        <v>1545.615</v>
      </c>
      <c r="E12" s="8">
        <f t="shared" si="12"/>
        <v>1653.8080499999999</v>
      </c>
      <c r="F12" s="8">
        <f t="shared" si="12"/>
        <v>1769.5746134999999</v>
      </c>
      <c r="G12" s="8">
        <f t="shared" si="12"/>
        <v>1893.444836445</v>
      </c>
      <c r="H12" s="8">
        <f t="shared" si="12"/>
        <v>2025.9859749961499</v>
      </c>
      <c r="I12" s="8">
        <f t="shared" si="12"/>
        <v>2167.8049932458803</v>
      </c>
      <c r="J12" s="8">
        <f t="shared" si="12"/>
        <v>2319.5513427730916</v>
      </c>
      <c r="K12" s="13">
        <f t="shared" si="12"/>
        <v>2481.9199367672081</v>
      </c>
      <c r="L12" s="14" t="s">
        <v>13</v>
      </c>
      <c r="M12" s="15">
        <f t="shared" si="10"/>
        <v>109350</v>
      </c>
      <c r="N12" s="15">
        <f t="shared" si="10"/>
        <v>146255.625</v>
      </c>
      <c r="O12" s="15">
        <f t="shared" si="10"/>
        <v>187792.2225</v>
      </c>
      <c r="P12" s="15">
        <f t="shared" si="10"/>
        <v>234427.29108749999</v>
      </c>
      <c r="Q12" s="15">
        <f t="shared" si="10"/>
        <v>286671.08738699998</v>
      </c>
      <c r="R12" s="15">
        <f t="shared" si="10"/>
        <v>345080.32144210127</v>
      </c>
      <c r="S12" s="15">
        <f t="shared" si="10"/>
        <v>410262.15993672039</v>
      </c>
      <c r="T12" s="15">
        <f t="shared" si="10"/>
        <v>482878.56224551989</v>
      </c>
      <c r="U12" s="15">
        <f t="shared" si="10"/>
        <v>563650.97629386128</v>
      </c>
      <c r="V12" s="15">
        <f t="shared" si="10"/>
        <v>653365.42335396749</v>
      </c>
      <c r="X12" s="20"/>
      <c r="AK12" s="21"/>
      <c r="AL12" s="20"/>
      <c r="AM12" s="20"/>
      <c r="AN12" s="20"/>
      <c r="AO12" s="20"/>
      <c r="AP12" s="20"/>
      <c r="AQ12" s="20"/>
    </row>
    <row r="13" spans="1:43" ht="18" x14ac:dyDescent="0.45">
      <c r="A13" s="146" t="s">
        <v>108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" t="s">
        <v>15</v>
      </c>
      <c r="M13" s="15">
        <f t="shared" si="10"/>
        <v>109350</v>
      </c>
      <c r="N13" s="15">
        <f t="shared" si="10"/>
        <v>146255.625</v>
      </c>
      <c r="O13" s="15">
        <f t="shared" si="10"/>
        <v>187792.2225</v>
      </c>
      <c r="P13" s="15">
        <f t="shared" si="10"/>
        <v>234427.29108749999</v>
      </c>
      <c r="Q13" s="15">
        <f t="shared" si="10"/>
        <v>286671.08738699998</v>
      </c>
      <c r="R13" s="15">
        <f t="shared" si="10"/>
        <v>345080.32144210127</v>
      </c>
      <c r="S13" s="15">
        <f t="shared" si="10"/>
        <v>410262.15993672039</v>
      </c>
      <c r="T13" s="15">
        <f t="shared" si="10"/>
        <v>482878.56224551989</v>
      </c>
      <c r="U13" s="15">
        <f t="shared" si="10"/>
        <v>563650.97629386128</v>
      </c>
      <c r="V13" s="15">
        <f t="shared" si="10"/>
        <v>653365.42335396749</v>
      </c>
      <c r="W13" s="3"/>
      <c r="AK13" s="21"/>
      <c r="AL13" s="20"/>
      <c r="AM13" s="20"/>
      <c r="AN13" s="20"/>
      <c r="AO13" s="20"/>
      <c r="AP13" s="20"/>
      <c r="AQ13" s="20"/>
    </row>
    <row r="14" spans="1:43" ht="18" x14ac:dyDescent="0.45">
      <c r="A14" s="5" t="s">
        <v>2</v>
      </c>
      <c r="B14" s="6" t="s">
        <v>18</v>
      </c>
      <c r="C14" s="6">
        <v>2</v>
      </c>
      <c r="D14" s="6">
        <v>3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7">
        <v>10</v>
      </c>
      <c r="L14" s="14" t="s">
        <v>17</v>
      </c>
      <c r="M14" s="26">
        <f t="shared" ref="M14:V14" si="13">SUM(M10:M13)</f>
        <v>494100</v>
      </c>
      <c r="N14" s="26">
        <f t="shared" si="13"/>
        <v>660858.75</v>
      </c>
      <c r="O14" s="26">
        <f t="shared" si="13"/>
        <v>848542.63500000001</v>
      </c>
      <c r="P14" s="26">
        <f t="shared" si="13"/>
        <v>698072.377905</v>
      </c>
      <c r="Q14" s="26">
        <f t="shared" si="13"/>
        <v>1295328.617082</v>
      </c>
      <c r="R14" s="26">
        <f t="shared" si="13"/>
        <v>1559251.8228124576</v>
      </c>
      <c r="S14" s="15">
        <f t="shared" si="13"/>
        <v>1853777.1671214774</v>
      </c>
      <c r="T14" s="15">
        <f t="shared" si="13"/>
        <v>2181895.7257019789</v>
      </c>
      <c r="U14" s="15">
        <f t="shared" si="13"/>
        <v>2546867.3743648552</v>
      </c>
      <c r="V14" s="15">
        <f t="shared" si="13"/>
        <v>2952243.7647845941</v>
      </c>
      <c r="W14" s="10"/>
      <c r="AK14" s="21"/>
      <c r="AL14" s="20"/>
      <c r="AM14" s="20"/>
      <c r="AN14" s="20"/>
      <c r="AO14" s="20"/>
      <c r="AP14" s="20"/>
      <c r="AQ14" s="20"/>
    </row>
    <row r="15" spans="1:43" ht="18" x14ac:dyDescent="0.45">
      <c r="A15" s="8" t="s">
        <v>5</v>
      </c>
      <c r="B15" s="8">
        <v>1200</v>
      </c>
      <c r="C15" s="8">
        <f t="shared" ref="C15:K15" si="14">B15*107/100</f>
        <v>1284</v>
      </c>
      <c r="D15" s="8">
        <f t="shared" si="14"/>
        <v>1373.88</v>
      </c>
      <c r="E15" s="8">
        <f t="shared" si="14"/>
        <v>1470.0516</v>
      </c>
      <c r="F15" s="8">
        <f t="shared" si="14"/>
        <v>1572.9552119999998</v>
      </c>
      <c r="G15" s="8">
        <f t="shared" si="14"/>
        <v>1683.0620768399999</v>
      </c>
      <c r="H15" s="8">
        <f t="shared" si="14"/>
        <v>1800.8764222187999</v>
      </c>
      <c r="I15" s="8">
        <f t="shared" si="14"/>
        <v>1926.9377717741161</v>
      </c>
      <c r="J15" s="8">
        <f t="shared" si="14"/>
        <v>2061.8234157983043</v>
      </c>
      <c r="K15" s="13">
        <f t="shared" si="14"/>
        <v>2206.1510549041855</v>
      </c>
      <c r="L15" s="147" t="s">
        <v>109</v>
      </c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AB15" s="132" t="s">
        <v>110</v>
      </c>
      <c r="AC15" s="133"/>
      <c r="AD15" s="133"/>
      <c r="AE15" s="133"/>
      <c r="AF15" s="133"/>
      <c r="AG15" s="133"/>
      <c r="AH15" s="133"/>
      <c r="AI15" s="133"/>
      <c r="AJ15" s="133"/>
      <c r="AK15" s="134"/>
      <c r="AL15" s="20"/>
      <c r="AM15" s="20"/>
      <c r="AN15" s="20"/>
      <c r="AO15" s="20"/>
      <c r="AP15" s="20"/>
      <c r="AQ15" s="20"/>
    </row>
    <row r="16" spans="1:43" ht="18.75" x14ac:dyDescent="0.45">
      <c r="A16" s="8" t="s">
        <v>10</v>
      </c>
      <c r="B16" s="8">
        <v>300</v>
      </c>
      <c r="C16" s="8">
        <f t="shared" ref="C16:K16" si="15">B16*107/100</f>
        <v>321</v>
      </c>
      <c r="D16" s="8">
        <f t="shared" si="15"/>
        <v>343.47</v>
      </c>
      <c r="E16" s="8">
        <f t="shared" si="15"/>
        <v>367.5129</v>
      </c>
      <c r="F16" s="8">
        <f t="shared" si="15"/>
        <v>393.23880299999996</v>
      </c>
      <c r="G16" s="8">
        <f t="shared" si="15"/>
        <v>420.76551920999998</v>
      </c>
      <c r="H16" s="8">
        <f t="shared" si="15"/>
        <v>450.21910555469998</v>
      </c>
      <c r="I16" s="8">
        <f t="shared" si="15"/>
        <v>481.73444294352902</v>
      </c>
      <c r="J16" s="8">
        <f t="shared" si="15"/>
        <v>515.45585394957607</v>
      </c>
      <c r="K16" s="13">
        <f t="shared" si="15"/>
        <v>551.53776372604636</v>
      </c>
      <c r="L16" s="8" t="s">
        <v>3</v>
      </c>
      <c r="M16" s="62">
        <v>1</v>
      </c>
      <c r="N16" s="62">
        <v>2</v>
      </c>
      <c r="O16" s="62">
        <v>3</v>
      </c>
      <c r="P16" s="62">
        <v>4</v>
      </c>
      <c r="Q16" s="62">
        <v>5</v>
      </c>
      <c r="R16" s="63">
        <v>6</v>
      </c>
      <c r="S16" s="63">
        <v>7</v>
      </c>
      <c r="T16" s="63">
        <v>8</v>
      </c>
      <c r="U16" s="63">
        <v>9</v>
      </c>
      <c r="V16" s="63">
        <v>10</v>
      </c>
      <c r="AA16" s="8" t="s">
        <v>3</v>
      </c>
      <c r="AB16" s="8">
        <v>1</v>
      </c>
      <c r="AC16" s="8">
        <v>2</v>
      </c>
      <c r="AD16" s="8">
        <v>3</v>
      </c>
      <c r="AE16" s="8">
        <v>4</v>
      </c>
      <c r="AF16" s="8">
        <v>5</v>
      </c>
      <c r="AG16" s="8">
        <v>6</v>
      </c>
      <c r="AH16" s="8">
        <v>7</v>
      </c>
      <c r="AI16" s="8">
        <v>8</v>
      </c>
      <c r="AJ16" s="8">
        <v>9</v>
      </c>
      <c r="AK16" s="2">
        <v>10</v>
      </c>
      <c r="AL16" s="20"/>
      <c r="AM16" s="20"/>
      <c r="AN16" s="20"/>
      <c r="AO16" s="20"/>
      <c r="AP16" s="20"/>
      <c r="AQ16" s="20"/>
    </row>
    <row r="17" spans="1:43" ht="18" x14ac:dyDescent="0.45">
      <c r="A17" s="8" t="s">
        <v>12</v>
      </c>
      <c r="B17" s="8">
        <v>300</v>
      </c>
      <c r="C17" s="8">
        <f t="shared" ref="C17:K17" si="16">B17*107/100</f>
        <v>321</v>
      </c>
      <c r="D17" s="8">
        <f t="shared" si="16"/>
        <v>343.47</v>
      </c>
      <c r="E17" s="8">
        <f t="shared" si="16"/>
        <v>367.5129</v>
      </c>
      <c r="F17" s="8">
        <f t="shared" si="16"/>
        <v>393.23880299999996</v>
      </c>
      <c r="G17" s="8">
        <f t="shared" si="16"/>
        <v>420.76551920999998</v>
      </c>
      <c r="H17" s="8">
        <f t="shared" si="16"/>
        <v>450.21910555469998</v>
      </c>
      <c r="I17" s="8">
        <f t="shared" si="16"/>
        <v>481.73444294352902</v>
      </c>
      <c r="J17" s="8">
        <f t="shared" si="16"/>
        <v>515.45585394957607</v>
      </c>
      <c r="K17" s="13">
        <f t="shared" si="16"/>
        <v>551.53776372604636</v>
      </c>
      <c r="L17" s="28"/>
      <c r="M17" s="15"/>
      <c r="N17" s="15"/>
      <c r="O17" s="15"/>
      <c r="P17" s="15"/>
      <c r="Q17" s="15"/>
      <c r="R17" s="15"/>
      <c r="S17" s="15"/>
      <c r="T17" s="15"/>
      <c r="U17" s="15"/>
      <c r="V17" s="15"/>
      <c r="AA17" s="8" t="s">
        <v>111</v>
      </c>
      <c r="AB17" s="60">
        <f>AB8*35/100</f>
        <v>132.30000000000001</v>
      </c>
      <c r="AC17" s="8">
        <f t="shared" ref="AC17:AK17" si="17">AC8*35/100</f>
        <v>165.375</v>
      </c>
      <c r="AD17" s="8">
        <f t="shared" si="17"/>
        <v>198.45</v>
      </c>
      <c r="AE17" s="8">
        <f t="shared" si="17"/>
        <v>152.14500000000001</v>
      </c>
      <c r="AF17" s="8">
        <f t="shared" si="17"/>
        <v>264.60000000000002</v>
      </c>
      <c r="AG17" s="8">
        <f t="shared" si="17"/>
        <v>297.67500000000001</v>
      </c>
      <c r="AH17" s="8">
        <f t="shared" si="17"/>
        <v>330.75</v>
      </c>
      <c r="AI17" s="8">
        <f t="shared" si="17"/>
        <v>363.82499999999999</v>
      </c>
      <c r="AJ17" s="8">
        <f t="shared" si="17"/>
        <v>396.9</v>
      </c>
      <c r="AK17" s="8">
        <f t="shared" si="17"/>
        <v>429.97500000000002</v>
      </c>
      <c r="AL17" s="20"/>
      <c r="AM17" s="61"/>
      <c r="AN17" s="20"/>
      <c r="AO17" s="20"/>
      <c r="AP17" s="20"/>
      <c r="AQ17" s="20"/>
    </row>
    <row r="18" spans="1:43" ht="18" x14ac:dyDescent="0.45">
      <c r="A18" s="8" t="s">
        <v>14</v>
      </c>
      <c r="B18" s="8">
        <v>300</v>
      </c>
      <c r="C18" s="8">
        <f t="shared" ref="C18:K18" si="18">B18*107/100</f>
        <v>321</v>
      </c>
      <c r="D18" s="8">
        <f t="shared" si="18"/>
        <v>343.47</v>
      </c>
      <c r="E18" s="8">
        <f t="shared" si="18"/>
        <v>367.5129</v>
      </c>
      <c r="F18" s="8">
        <f t="shared" si="18"/>
        <v>393.23880299999996</v>
      </c>
      <c r="G18" s="8">
        <f t="shared" si="18"/>
        <v>420.76551920999998</v>
      </c>
      <c r="H18" s="8">
        <f t="shared" si="18"/>
        <v>450.21910555469998</v>
      </c>
      <c r="I18" s="8">
        <f t="shared" si="18"/>
        <v>481.73444294352902</v>
      </c>
      <c r="J18" s="8">
        <f t="shared" si="18"/>
        <v>515.45585394957607</v>
      </c>
      <c r="K18" s="13">
        <f t="shared" si="18"/>
        <v>551.53776372604636</v>
      </c>
      <c r="L18" s="28"/>
      <c r="M18" s="15"/>
      <c r="N18" s="15"/>
      <c r="O18" s="15"/>
      <c r="P18" s="15"/>
      <c r="Q18" s="15"/>
      <c r="R18" s="15"/>
      <c r="S18" s="15"/>
      <c r="T18" s="15"/>
      <c r="U18" s="15"/>
      <c r="V18" s="15"/>
      <c r="AA18" s="8" t="s">
        <v>112</v>
      </c>
      <c r="AB18" s="60">
        <v>9</v>
      </c>
      <c r="AC18" s="60">
        <f>AC17/28</f>
        <v>5.90625</v>
      </c>
      <c r="AD18" s="60">
        <f>AD17/28</f>
        <v>7.0874999999999995</v>
      </c>
      <c r="AE18" s="60">
        <f>AE17/28</f>
        <v>5.4337500000000007</v>
      </c>
      <c r="AF18" s="60">
        <f>AF17/28</f>
        <v>9.4500000000000011</v>
      </c>
      <c r="AG18" s="60">
        <f t="shared" ref="AG18:AK18" si="19">AG17/28</f>
        <v>10.63125</v>
      </c>
      <c r="AH18" s="60">
        <f t="shared" si="19"/>
        <v>11.8125</v>
      </c>
      <c r="AI18" s="60">
        <f t="shared" si="19"/>
        <v>12.99375</v>
      </c>
      <c r="AJ18" s="60">
        <f t="shared" si="19"/>
        <v>14.174999999999999</v>
      </c>
      <c r="AK18" s="60">
        <f t="shared" si="19"/>
        <v>15.356250000000001</v>
      </c>
      <c r="AL18" s="20"/>
      <c r="AM18" s="20"/>
      <c r="AN18" s="20"/>
      <c r="AO18" s="20"/>
      <c r="AP18" s="20"/>
      <c r="AQ18" s="20"/>
    </row>
    <row r="19" spans="1:43" ht="18" x14ac:dyDescent="0.45">
      <c r="A19" s="146" t="s">
        <v>113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2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3"/>
      <c r="AK19" s="20"/>
      <c r="AL19" s="20"/>
      <c r="AM19" s="20"/>
      <c r="AN19" s="20"/>
      <c r="AO19" s="20"/>
      <c r="AP19" s="20"/>
      <c r="AQ19" s="20"/>
    </row>
    <row r="20" spans="1:43" ht="18" x14ac:dyDescent="0.45">
      <c r="A20" s="5" t="s">
        <v>2</v>
      </c>
      <c r="B20" s="6" t="s">
        <v>18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7">
        <v>10</v>
      </c>
      <c r="L20" s="2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0"/>
      <c r="AK20" s="20"/>
      <c r="AL20" s="20"/>
      <c r="AM20" s="20"/>
      <c r="AN20" s="20"/>
      <c r="AO20" s="20"/>
      <c r="AP20" s="20"/>
      <c r="AQ20" s="20"/>
    </row>
    <row r="21" spans="1:43" ht="18" x14ac:dyDescent="0.45">
      <c r="A21" s="8" t="s">
        <v>5</v>
      </c>
      <c r="B21" s="8">
        <v>10000</v>
      </c>
      <c r="C21" s="8">
        <f t="shared" ref="C21:K21" si="20">B21*110/100</f>
        <v>11000</v>
      </c>
      <c r="D21" s="8">
        <f t="shared" si="20"/>
        <v>12100</v>
      </c>
      <c r="E21" s="8">
        <f t="shared" si="20"/>
        <v>13310</v>
      </c>
      <c r="F21" s="8">
        <f t="shared" si="20"/>
        <v>14641</v>
      </c>
      <c r="G21" s="8">
        <f t="shared" si="20"/>
        <v>16105.1</v>
      </c>
      <c r="H21" s="8">
        <f t="shared" si="20"/>
        <v>17715.61</v>
      </c>
      <c r="I21" s="8">
        <f t="shared" si="20"/>
        <v>19487.171000000002</v>
      </c>
      <c r="J21" s="8">
        <f t="shared" si="20"/>
        <v>21435.8881</v>
      </c>
      <c r="K21" s="8">
        <f t="shared" si="20"/>
        <v>23579.476910000001</v>
      </c>
      <c r="L21" s="28" t="s">
        <v>17</v>
      </c>
      <c r="M21" s="15">
        <f t="shared" ref="M21:V21" si="21">AB18*B21</f>
        <v>90000</v>
      </c>
      <c r="N21" s="15">
        <f t="shared" si="21"/>
        <v>64968.75</v>
      </c>
      <c r="O21" s="15">
        <f t="shared" si="21"/>
        <v>85758.75</v>
      </c>
      <c r="P21" s="15">
        <f t="shared" si="21"/>
        <v>72323.212500000009</v>
      </c>
      <c r="Q21" s="15">
        <f t="shared" si="21"/>
        <v>138357.45000000001</v>
      </c>
      <c r="R21" s="15">
        <f t="shared" si="21"/>
        <v>171217.34437499999</v>
      </c>
      <c r="S21" s="15">
        <f t="shared" si="21"/>
        <v>209265.643125</v>
      </c>
      <c r="T21" s="15">
        <f t="shared" si="21"/>
        <v>253211.42818125003</v>
      </c>
      <c r="U21" s="15">
        <f t="shared" si="21"/>
        <v>303853.71381749999</v>
      </c>
      <c r="V21" s="15">
        <f t="shared" si="21"/>
        <v>362092.34229918756</v>
      </c>
      <c r="AB21">
        <f>AB18*28</f>
        <v>252</v>
      </c>
      <c r="AC21">
        <f t="shared" ref="AC21:AK21" si="22">AC18*28</f>
        <v>165.375</v>
      </c>
      <c r="AD21">
        <f t="shared" si="22"/>
        <v>198.45</v>
      </c>
      <c r="AE21">
        <f t="shared" si="22"/>
        <v>152.14500000000001</v>
      </c>
      <c r="AF21">
        <f t="shared" si="22"/>
        <v>264.60000000000002</v>
      </c>
      <c r="AG21">
        <f t="shared" si="22"/>
        <v>297.67500000000001</v>
      </c>
      <c r="AH21">
        <f t="shared" si="22"/>
        <v>330.75</v>
      </c>
      <c r="AI21">
        <f t="shared" si="22"/>
        <v>363.82499999999999</v>
      </c>
      <c r="AJ21">
        <f t="shared" si="22"/>
        <v>396.9</v>
      </c>
      <c r="AK21">
        <f t="shared" si="22"/>
        <v>429.97500000000002</v>
      </c>
      <c r="AL21" s="20"/>
      <c r="AM21" s="20"/>
      <c r="AN21" s="20"/>
      <c r="AO21" s="20"/>
      <c r="AP21" s="20"/>
      <c r="AQ21" s="20"/>
    </row>
    <row r="22" spans="1:43" ht="18" x14ac:dyDescent="0.45">
      <c r="A22" s="8" t="s">
        <v>10</v>
      </c>
      <c r="B22" s="8">
        <v>10000</v>
      </c>
      <c r="C22" s="8">
        <f t="shared" ref="C22:K22" si="23">B22*110/100</f>
        <v>11000</v>
      </c>
      <c r="D22" s="8">
        <f t="shared" si="23"/>
        <v>12100</v>
      </c>
      <c r="E22" s="8">
        <f t="shared" si="23"/>
        <v>13310</v>
      </c>
      <c r="F22" s="8">
        <f t="shared" si="23"/>
        <v>14641</v>
      </c>
      <c r="G22" s="8">
        <f t="shared" si="23"/>
        <v>16105.1</v>
      </c>
      <c r="H22" s="8">
        <f t="shared" si="23"/>
        <v>17715.61</v>
      </c>
      <c r="I22" s="8">
        <f t="shared" si="23"/>
        <v>19487.171000000002</v>
      </c>
      <c r="J22" s="8">
        <f t="shared" si="23"/>
        <v>21435.8881</v>
      </c>
      <c r="K22" s="8">
        <f t="shared" si="23"/>
        <v>23579.476910000001</v>
      </c>
      <c r="L22" s="147" t="s">
        <v>108</v>
      </c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AK22" s="20"/>
      <c r="AL22" s="20"/>
      <c r="AM22" s="20"/>
      <c r="AN22" s="20"/>
      <c r="AO22" s="20"/>
      <c r="AP22" s="20"/>
      <c r="AQ22" s="20"/>
    </row>
    <row r="23" spans="1:43" ht="18" x14ac:dyDescent="0.2">
      <c r="A23" s="8" t="s">
        <v>12</v>
      </c>
      <c r="B23" s="8">
        <v>10000</v>
      </c>
      <c r="C23" s="8">
        <f t="shared" ref="C23:K23" si="24">B23*110/100</f>
        <v>11000</v>
      </c>
      <c r="D23" s="8">
        <f t="shared" si="24"/>
        <v>12100</v>
      </c>
      <c r="E23" s="8">
        <f t="shared" si="24"/>
        <v>13310</v>
      </c>
      <c r="F23" s="8">
        <f t="shared" si="24"/>
        <v>14641</v>
      </c>
      <c r="G23" s="8">
        <f t="shared" si="24"/>
        <v>16105.1</v>
      </c>
      <c r="H23" s="8">
        <f t="shared" si="24"/>
        <v>17715.61</v>
      </c>
      <c r="I23" s="8">
        <f t="shared" si="24"/>
        <v>19487.171000000002</v>
      </c>
      <c r="J23" s="8">
        <f t="shared" si="24"/>
        <v>21435.8881</v>
      </c>
      <c r="K23" s="8">
        <f t="shared" si="24"/>
        <v>23579.476910000001</v>
      </c>
      <c r="L23" s="8" t="s">
        <v>3</v>
      </c>
      <c r="M23" s="6">
        <v>1</v>
      </c>
      <c r="N23" s="6">
        <v>2</v>
      </c>
      <c r="O23" s="6">
        <v>3</v>
      </c>
      <c r="P23" s="6">
        <v>4</v>
      </c>
      <c r="Q23" s="6">
        <v>5</v>
      </c>
      <c r="R23" s="9">
        <v>6</v>
      </c>
      <c r="S23" s="9">
        <v>7</v>
      </c>
      <c r="T23" s="9">
        <v>8</v>
      </c>
      <c r="U23" s="9">
        <v>9</v>
      </c>
      <c r="V23" s="9">
        <v>10</v>
      </c>
      <c r="AK23" s="3"/>
    </row>
    <row r="24" spans="1:43" ht="18" x14ac:dyDescent="0.45">
      <c r="A24" s="8" t="s">
        <v>14</v>
      </c>
      <c r="B24" s="8">
        <v>10000</v>
      </c>
      <c r="C24" s="8">
        <f t="shared" ref="C24:K24" si="25">B24*110/100</f>
        <v>11000</v>
      </c>
      <c r="D24" s="8">
        <f t="shared" si="25"/>
        <v>12100</v>
      </c>
      <c r="E24" s="8">
        <f t="shared" si="25"/>
        <v>13310</v>
      </c>
      <c r="F24" s="8">
        <f t="shared" si="25"/>
        <v>14641</v>
      </c>
      <c r="G24" s="8">
        <f t="shared" si="25"/>
        <v>16105.1</v>
      </c>
      <c r="H24" s="8">
        <f t="shared" si="25"/>
        <v>17715.61</v>
      </c>
      <c r="I24" s="8">
        <f t="shared" si="25"/>
        <v>19487.171000000002</v>
      </c>
      <c r="J24" s="8">
        <f t="shared" si="25"/>
        <v>21435.8881</v>
      </c>
      <c r="K24" s="8">
        <f t="shared" si="25"/>
        <v>23579.476910000001</v>
      </c>
      <c r="L24" s="14" t="s">
        <v>6</v>
      </c>
      <c r="M24" s="15">
        <f t="shared" ref="M24:V27" si="26">B15*AB4</f>
        <v>64800</v>
      </c>
      <c r="N24" s="15">
        <f t="shared" si="26"/>
        <v>86670</v>
      </c>
      <c r="O24" s="15">
        <f t="shared" si="26"/>
        <v>111284.28000000001</v>
      </c>
      <c r="P24" s="15">
        <f t="shared" si="26"/>
        <v>138919.8762</v>
      </c>
      <c r="Q24" s="15">
        <f t="shared" si="26"/>
        <v>169879.16289599999</v>
      </c>
      <c r="R24" s="15">
        <f t="shared" si="26"/>
        <v>204492.04233606</v>
      </c>
      <c r="S24" s="15">
        <f t="shared" si="26"/>
        <v>243118.31699953799</v>
      </c>
      <c r="T24" s="15">
        <f t="shared" si="26"/>
        <v>286150.25910845626</v>
      </c>
      <c r="U24" s="15">
        <f t="shared" si="26"/>
        <v>334015.3933593253</v>
      </c>
      <c r="V24" s="15">
        <f t="shared" si="26"/>
        <v>387179.51013568457</v>
      </c>
      <c r="AL24" s="3"/>
      <c r="AM24" s="3"/>
      <c r="AN24" s="3"/>
      <c r="AO24" s="3"/>
      <c r="AP24" s="3"/>
      <c r="AQ24" s="3"/>
    </row>
    <row r="25" spans="1:43" ht="18" x14ac:dyDescent="0.45">
      <c r="L25" s="14" t="s">
        <v>11</v>
      </c>
      <c r="M25" s="15">
        <f t="shared" si="26"/>
        <v>48600</v>
      </c>
      <c r="N25" s="15">
        <f t="shared" si="26"/>
        <v>65002.5</v>
      </c>
      <c r="O25" s="15">
        <f t="shared" si="26"/>
        <v>83463.210000000006</v>
      </c>
      <c r="P25" s="15">
        <f t="shared" si="26"/>
        <v>20837.98143</v>
      </c>
      <c r="Q25" s="15">
        <f t="shared" si="26"/>
        <v>127409.37217199999</v>
      </c>
      <c r="R25" s="15">
        <f t="shared" si="26"/>
        <v>153369.031752045</v>
      </c>
      <c r="S25" s="15">
        <f t="shared" si="26"/>
        <v>182338.73774965349</v>
      </c>
      <c r="T25" s="15">
        <f t="shared" si="26"/>
        <v>214612.69433134221</v>
      </c>
      <c r="U25" s="15">
        <f t="shared" si="26"/>
        <v>250511.54501949396</v>
      </c>
      <c r="V25" s="15">
        <f t="shared" si="26"/>
        <v>290384.63260176341</v>
      </c>
      <c r="AK25" s="20"/>
      <c r="AL25" s="12"/>
      <c r="AM25" s="12"/>
      <c r="AN25" s="12"/>
      <c r="AO25" s="12"/>
      <c r="AP25" s="12"/>
      <c r="AQ25" s="12"/>
    </row>
    <row r="26" spans="1:43" ht="18" x14ac:dyDescent="0.45">
      <c r="L26" s="14" t="s">
        <v>13</v>
      </c>
      <c r="M26" s="15">
        <f t="shared" si="26"/>
        <v>24300</v>
      </c>
      <c r="N26" s="15">
        <f t="shared" si="26"/>
        <v>32501.25</v>
      </c>
      <c r="O26" s="15">
        <f t="shared" si="26"/>
        <v>41731.605000000003</v>
      </c>
      <c r="P26" s="15">
        <f t="shared" si="26"/>
        <v>52094.953575</v>
      </c>
      <c r="Q26" s="15">
        <f t="shared" si="26"/>
        <v>63704.686085999994</v>
      </c>
      <c r="R26" s="15">
        <f t="shared" si="26"/>
        <v>76684.515876022502</v>
      </c>
      <c r="S26" s="15">
        <f t="shared" si="26"/>
        <v>91169.368874826745</v>
      </c>
      <c r="T26" s="15">
        <f t="shared" si="26"/>
        <v>107306.3471656711</v>
      </c>
      <c r="U26" s="15">
        <f t="shared" si="26"/>
        <v>125255.77250974698</v>
      </c>
      <c r="V26" s="15">
        <f t="shared" si="26"/>
        <v>145192.31630088171</v>
      </c>
      <c r="AK26" s="20"/>
      <c r="AL26" s="29"/>
      <c r="AM26" s="29"/>
      <c r="AN26" s="29"/>
      <c r="AO26" s="29"/>
      <c r="AP26" s="29"/>
      <c r="AQ26" s="29"/>
    </row>
    <row r="27" spans="1:43" ht="18" x14ac:dyDescent="0.45">
      <c r="L27" s="14" t="s">
        <v>15</v>
      </c>
      <c r="M27" s="15">
        <f t="shared" si="26"/>
        <v>24300</v>
      </c>
      <c r="N27" s="15">
        <f t="shared" si="26"/>
        <v>32501.25</v>
      </c>
      <c r="O27" s="15">
        <f t="shared" si="26"/>
        <v>41731.605000000003</v>
      </c>
      <c r="P27" s="15">
        <f t="shared" si="26"/>
        <v>52094.953575</v>
      </c>
      <c r="Q27" s="15">
        <f t="shared" si="26"/>
        <v>63704.686085999994</v>
      </c>
      <c r="R27" s="15">
        <f t="shared" si="26"/>
        <v>76684.515876022502</v>
      </c>
      <c r="S27" s="15">
        <f t="shared" si="26"/>
        <v>91169.368874826745</v>
      </c>
      <c r="T27" s="15">
        <f t="shared" si="26"/>
        <v>107306.3471656711</v>
      </c>
      <c r="U27" s="15">
        <f t="shared" si="26"/>
        <v>125255.77250974698</v>
      </c>
      <c r="V27" s="15">
        <f t="shared" si="26"/>
        <v>145192.31630088171</v>
      </c>
      <c r="AK27" s="20"/>
      <c r="AL27" s="29"/>
      <c r="AM27" s="29"/>
      <c r="AN27" s="29"/>
      <c r="AO27" s="29"/>
      <c r="AP27" s="29"/>
      <c r="AQ27" s="29"/>
    </row>
    <row r="28" spans="1:43" ht="18" x14ac:dyDescent="0.45">
      <c r="L28" s="14" t="s">
        <v>17</v>
      </c>
      <c r="M28" s="26">
        <f t="shared" ref="M28:V28" si="27">SUM(M24:M27)</f>
        <v>162000</v>
      </c>
      <c r="N28" s="26">
        <f t="shared" si="27"/>
        <v>216675</v>
      </c>
      <c r="O28" s="26">
        <f t="shared" si="27"/>
        <v>278210.7</v>
      </c>
      <c r="P28" s="26">
        <f t="shared" si="27"/>
        <v>263947.76477999997</v>
      </c>
      <c r="Q28" s="26">
        <f t="shared" si="27"/>
        <v>424697.90723999997</v>
      </c>
      <c r="R28" s="26">
        <f t="shared" si="27"/>
        <v>511230.10584015003</v>
      </c>
      <c r="S28" s="15">
        <f t="shared" si="27"/>
        <v>607795.79249884502</v>
      </c>
      <c r="T28" s="15">
        <f t="shared" si="27"/>
        <v>715375.64777114056</v>
      </c>
      <c r="U28" s="15">
        <f t="shared" si="27"/>
        <v>835038.48339831317</v>
      </c>
      <c r="V28" s="15">
        <f t="shared" si="27"/>
        <v>967948.77533921134</v>
      </c>
      <c r="AK28" s="20"/>
      <c r="AL28" s="29"/>
      <c r="AM28" s="29"/>
      <c r="AN28" s="29"/>
      <c r="AO28" s="29"/>
      <c r="AP28" s="29"/>
      <c r="AQ28" s="29"/>
    </row>
    <row r="29" spans="1:43" ht="18" x14ac:dyDescent="0.45">
      <c r="L29" s="29"/>
      <c r="M29" s="29"/>
      <c r="N29" s="29"/>
      <c r="O29" s="29"/>
      <c r="P29" s="29"/>
      <c r="U29" s="21"/>
      <c r="V29" s="29"/>
      <c r="AK29" s="20"/>
      <c r="AL29" s="29"/>
      <c r="AM29" s="29"/>
      <c r="AN29" s="29"/>
      <c r="AO29" s="29"/>
      <c r="AP29" s="29"/>
      <c r="AQ29" s="29"/>
    </row>
    <row r="30" spans="1:43" x14ac:dyDescent="0.2">
      <c r="L30" s="150" t="s">
        <v>114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AK30" s="3"/>
      <c r="AL30" s="29"/>
      <c r="AM30" s="29"/>
      <c r="AN30" s="29"/>
      <c r="AO30" s="29"/>
      <c r="AP30" s="29"/>
      <c r="AQ30" s="29"/>
    </row>
    <row r="31" spans="1:43" x14ac:dyDescent="0.2">
      <c r="L31" s="2" t="s">
        <v>17</v>
      </c>
      <c r="M31" s="31">
        <f t="shared" ref="M31:V31" si="28">SUM(M28,M21,M14,M7)</f>
        <v>1164600</v>
      </c>
      <c r="N31" s="31">
        <f t="shared" si="28"/>
        <v>1502246.25</v>
      </c>
      <c r="O31" s="31">
        <f t="shared" si="28"/>
        <v>1931223.06</v>
      </c>
      <c r="P31" s="31">
        <f t="shared" si="28"/>
        <v>1625910.4946699999</v>
      </c>
      <c r="Q31" s="31">
        <f t="shared" si="28"/>
        <v>2955520.2346920003</v>
      </c>
      <c r="R31" s="31">
        <f t="shared" si="28"/>
        <v>3562377.0464479951</v>
      </c>
      <c r="S31" s="31">
        <f t="shared" si="28"/>
        <v>4240977.7333673388</v>
      </c>
      <c r="T31" s="31">
        <f t="shared" si="28"/>
        <v>4998536.5583964828</v>
      </c>
      <c r="U31" s="31">
        <f t="shared" si="28"/>
        <v>5842942.3203596445</v>
      </c>
      <c r="V31" s="31">
        <f t="shared" si="28"/>
        <v>6782819.2187159555</v>
      </c>
      <c r="AL31" s="3"/>
      <c r="AM31" s="3"/>
      <c r="AN31" s="3"/>
      <c r="AO31" s="3"/>
      <c r="AP31" s="3"/>
      <c r="AQ31" s="3"/>
    </row>
    <row r="32" spans="1:43" x14ac:dyDescent="0.2">
      <c r="M32" s="38">
        <f>المرتباب!E68</f>
        <v>8812800</v>
      </c>
      <c r="N32" s="38">
        <f>المرتباب!F68</f>
        <v>9694080</v>
      </c>
      <c r="O32" s="38">
        <f>المرتباب!G68</f>
        <v>10663488</v>
      </c>
      <c r="P32" s="38">
        <f>المرتباب!H68</f>
        <v>11729836.800000001</v>
      </c>
      <c r="Q32" s="38">
        <f>المرتباب!I68</f>
        <v>12902820.48</v>
      </c>
      <c r="R32" s="38">
        <f>المرتباب!J68</f>
        <v>14193102.527999999</v>
      </c>
      <c r="S32" s="38">
        <f>المرتباب!K68</f>
        <v>15612412.7808</v>
      </c>
      <c r="T32" s="38">
        <f>المرتباب!L68</f>
        <v>17173654.058880001</v>
      </c>
      <c r="U32" s="38">
        <f>المرتباب!M68</f>
        <v>18891019.464768004</v>
      </c>
      <c r="V32" s="38">
        <f>المرتباب!N68</f>
        <v>20780121.411244806</v>
      </c>
    </row>
    <row r="34" spans="13:22" x14ac:dyDescent="0.2">
      <c r="M34" s="1">
        <f t="shared" ref="M34:V34" si="29">M31+M32</f>
        <v>9977400</v>
      </c>
      <c r="N34" s="1">
        <f t="shared" si="29"/>
        <v>11196326.25</v>
      </c>
      <c r="O34" s="39">
        <f t="shared" si="29"/>
        <v>12594711.060000001</v>
      </c>
      <c r="P34" s="39">
        <f t="shared" si="29"/>
        <v>13355747.294670001</v>
      </c>
      <c r="Q34" s="39">
        <f t="shared" si="29"/>
        <v>15858340.714692</v>
      </c>
      <c r="R34" s="39">
        <f t="shared" si="29"/>
        <v>17755479.574447993</v>
      </c>
      <c r="S34" s="39">
        <f t="shared" si="29"/>
        <v>19853390.514167339</v>
      </c>
      <c r="T34" s="39">
        <f t="shared" si="29"/>
        <v>22172190.617276482</v>
      </c>
      <c r="U34" s="39">
        <f t="shared" si="29"/>
        <v>24733961.785127647</v>
      </c>
      <c r="V34" s="39">
        <f t="shared" si="29"/>
        <v>27562940.62996076</v>
      </c>
    </row>
  </sheetData>
  <mergeCells count="12">
    <mergeCell ref="L22:V22"/>
    <mergeCell ref="L30:V30"/>
    <mergeCell ref="L8:V8"/>
    <mergeCell ref="A13:K13"/>
    <mergeCell ref="L15:V15"/>
    <mergeCell ref="AB15:AK15"/>
    <mergeCell ref="A19:K19"/>
    <mergeCell ref="A1:K1"/>
    <mergeCell ref="L1:V1"/>
    <mergeCell ref="X1:AK1"/>
    <mergeCell ref="X2:AA2"/>
    <mergeCell ref="A7:K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rightToLeft="1" zoomScale="130" zoomScaleNormal="130" workbookViewId="0">
      <selection activeCell="B4" sqref="B4"/>
    </sheetView>
  </sheetViews>
  <sheetFormatPr defaultRowHeight="14.25" x14ac:dyDescent="0.2"/>
  <cols>
    <col min="1" max="1" width="36.375" customWidth="1"/>
    <col min="2" max="2" width="16.375" style="40" customWidth="1"/>
    <col min="3" max="1025" width="16.375" customWidth="1"/>
  </cols>
  <sheetData>
    <row r="1" spans="1:15" ht="18" x14ac:dyDescent="0.2">
      <c r="A1" s="151" t="s">
        <v>115</v>
      </c>
      <c r="B1" s="151"/>
    </row>
    <row r="2" spans="1:15" x14ac:dyDescent="0.2">
      <c r="A2" s="5" t="s">
        <v>4</v>
      </c>
      <c r="B2" s="5" t="s">
        <v>18</v>
      </c>
    </row>
    <row r="3" spans="1:15" ht="42" x14ac:dyDescent="0.2">
      <c r="A3" s="124" t="s">
        <v>203</v>
      </c>
      <c r="B3" s="65">
        <v>60609266.25</v>
      </c>
      <c r="D3" s="41">
        <v>9000000</v>
      </c>
      <c r="E3">
        <v>65609266.25</v>
      </c>
    </row>
    <row r="4" spans="1:15" ht="21" x14ac:dyDescent="0.2">
      <c r="A4" s="66" t="s">
        <v>194</v>
      </c>
      <c r="B4" s="65">
        <v>6918208.5599999996</v>
      </c>
      <c r="E4" t="s">
        <v>200</v>
      </c>
    </row>
    <row r="5" spans="1:15" ht="21" x14ac:dyDescent="0.2">
      <c r="A5" s="66" t="s">
        <v>195</v>
      </c>
      <c r="B5" s="65">
        <v>1200000</v>
      </c>
    </row>
    <row r="6" spans="1:15" ht="21" x14ac:dyDescent="0.2">
      <c r="A6" s="66" t="s">
        <v>196</v>
      </c>
      <c r="B6" s="65">
        <v>13245030.720000001</v>
      </c>
    </row>
    <row r="7" spans="1:15" ht="21" x14ac:dyDescent="0.2">
      <c r="A7" s="66" t="s">
        <v>197</v>
      </c>
      <c r="B7" s="65">
        <v>2507907.66</v>
      </c>
      <c r="E7">
        <v>2507907.66</v>
      </c>
    </row>
    <row r="8" spans="1:15" ht="36" customHeight="1" x14ac:dyDescent="0.2">
      <c r="A8" s="66" t="s">
        <v>198</v>
      </c>
      <c r="B8" s="65">
        <v>6973106.4000000004</v>
      </c>
      <c r="E8">
        <v>13245030.720000001</v>
      </c>
    </row>
    <row r="9" spans="1:15" ht="21" x14ac:dyDescent="0.2">
      <c r="A9" s="66" t="s">
        <v>199</v>
      </c>
      <c r="B9" s="65">
        <v>2000000</v>
      </c>
      <c r="E9">
        <v>6973106.4000000004</v>
      </c>
    </row>
    <row r="10" spans="1:15" ht="15" x14ac:dyDescent="0.2">
      <c r="A10" s="42" t="s">
        <v>17</v>
      </c>
      <c r="B10" s="43">
        <f>SUM(B3:B9)</f>
        <v>93453519.590000004</v>
      </c>
      <c r="C10" s="41"/>
    </row>
    <row r="11" spans="1:15" ht="18" x14ac:dyDescent="0.25">
      <c r="D11" s="152" t="s">
        <v>116</v>
      </c>
      <c r="E11" s="152"/>
      <c r="F11" s="152"/>
      <c r="G11" s="152"/>
      <c r="H11" s="152"/>
      <c r="I11" s="152"/>
      <c r="J11" s="152"/>
      <c r="K11" s="152"/>
      <c r="L11" s="152"/>
      <c r="M11" s="152"/>
    </row>
    <row r="12" spans="1:15" ht="15" x14ac:dyDescent="0.2">
      <c r="A12" s="5" t="s">
        <v>4</v>
      </c>
      <c r="B12" s="46" t="s">
        <v>117</v>
      </c>
      <c r="C12" s="46" t="s">
        <v>118</v>
      </c>
      <c r="D12" s="46" t="s">
        <v>184</v>
      </c>
      <c r="E12" s="46" t="s">
        <v>185</v>
      </c>
      <c r="F12" s="46" t="s">
        <v>186</v>
      </c>
      <c r="G12" s="46" t="s">
        <v>187</v>
      </c>
      <c r="H12" s="46" t="s">
        <v>188</v>
      </c>
      <c r="I12" s="46" t="s">
        <v>189</v>
      </c>
      <c r="J12" s="46" t="s">
        <v>190</v>
      </c>
      <c r="K12" s="46" t="s">
        <v>191</v>
      </c>
      <c r="L12" s="46" t="s">
        <v>192</v>
      </c>
      <c r="M12" s="46" t="s">
        <v>193</v>
      </c>
    </row>
    <row r="13" spans="1:15" ht="15" x14ac:dyDescent="0.2">
      <c r="A13" s="64" t="s">
        <v>119</v>
      </c>
      <c r="B13" s="67">
        <v>0.05</v>
      </c>
      <c r="C13" s="65">
        <f>B3*B13</f>
        <v>3030463.3125</v>
      </c>
      <c r="D13" s="65">
        <f t="shared" ref="D13:M13" si="0">C13</f>
        <v>3030463.3125</v>
      </c>
      <c r="E13" s="65">
        <f t="shared" si="0"/>
        <v>3030463.3125</v>
      </c>
      <c r="F13" s="65">
        <f t="shared" si="0"/>
        <v>3030463.3125</v>
      </c>
      <c r="G13" s="65">
        <f t="shared" si="0"/>
        <v>3030463.3125</v>
      </c>
      <c r="H13" s="65">
        <f t="shared" si="0"/>
        <v>3030463.3125</v>
      </c>
      <c r="I13" s="65">
        <f t="shared" si="0"/>
        <v>3030463.3125</v>
      </c>
      <c r="J13" s="65">
        <f t="shared" si="0"/>
        <v>3030463.3125</v>
      </c>
      <c r="K13" s="65">
        <f t="shared" si="0"/>
        <v>3030463.3125</v>
      </c>
      <c r="L13" s="65">
        <f t="shared" si="0"/>
        <v>3030463.3125</v>
      </c>
      <c r="M13" s="65">
        <f t="shared" si="0"/>
        <v>3030463.3125</v>
      </c>
      <c r="N13" s="41"/>
      <c r="O13" s="41"/>
    </row>
    <row r="14" spans="1:15" ht="15" x14ac:dyDescent="0.2">
      <c r="A14" s="64" t="s">
        <v>120</v>
      </c>
      <c r="B14" s="67">
        <v>0.25</v>
      </c>
      <c r="C14" s="65">
        <f t="shared" ref="C14:C19" si="1">B4*B14</f>
        <v>1729552.14</v>
      </c>
      <c r="D14" s="65">
        <f t="shared" ref="D14:M14" si="2">C14</f>
        <v>1729552.14</v>
      </c>
      <c r="E14" s="65">
        <f t="shared" si="2"/>
        <v>1729552.14</v>
      </c>
      <c r="F14" s="65">
        <f t="shared" si="2"/>
        <v>1729552.14</v>
      </c>
      <c r="G14" s="65">
        <f t="shared" si="2"/>
        <v>1729552.14</v>
      </c>
      <c r="H14" s="65">
        <f t="shared" si="2"/>
        <v>1729552.14</v>
      </c>
      <c r="I14" s="65">
        <f t="shared" si="2"/>
        <v>1729552.14</v>
      </c>
      <c r="J14" s="65">
        <f t="shared" si="2"/>
        <v>1729552.14</v>
      </c>
      <c r="K14" s="65">
        <f t="shared" si="2"/>
        <v>1729552.14</v>
      </c>
      <c r="L14" s="65">
        <f t="shared" si="2"/>
        <v>1729552.14</v>
      </c>
      <c r="M14" s="65">
        <f t="shared" si="2"/>
        <v>1729552.14</v>
      </c>
      <c r="N14" s="41"/>
      <c r="O14" s="41"/>
    </row>
    <row r="15" spans="1:15" ht="15" x14ac:dyDescent="0.2">
      <c r="A15" s="64" t="s">
        <v>121</v>
      </c>
      <c r="B15" s="67">
        <v>0.1</v>
      </c>
      <c r="C15" s="65">
        <f t="shared" si="1"/>
        <v>120000</v>
      </c>
      <c r="D15" s="65">
        <f t="shared" ref="D15:M15" si="3">C15</f>
        <v>120000</v>
      </c>
      <c r="E15" s="65">
        <f t="shared" si="3"/>
        <v>120000</v>
      </c>
      <c r="F15" s="65">
        <f t="shared" si="3"/>
        <v>120000</v>
      </c>
      <c r="G15" s="65">
        <f t="shared" si="3"/>
        <v>120000</v>
      </c>
      <c r="H15" s="65">
        <f t="shared" si="3"/>
        <v>120000</v>
      </c>
      <c r="I15" s="65">
        <f t="shared" si="3"/>
        <v>120000</v>
      </c>
      <c r="J15" s="65">
        <f t="shared" si="3"/>
        <v>120000</v>
      </c>
      <c r="K15" s="65">
        <f t="shared" si="3"/>
        <v>120000</v>
      </c>
      <c r="L15" s="65">
        <f t="shared" si="3"/>
        <v>120000</v>
      </c>
      <c r="M15" s="65">
        <f t="shared" si="3"/>
        <v>120000</v>
      </c>
      <c r="N15" s="41"/>
      <c r="O15" s="41"/>
    </row>
    <row r="16" spans="1:15" ht="15" x14ac:dyDescent="0.2">
      <c r="A16" s="64" t="s">
        <v>122</v>
      </c>
      <c r="B16" s="67">
        <v>0.25</v>
      </c>
      <c r="C16" s="65">
        <f t="shared" si="1"/>
        <v>3311257.68</v>
      </c>
      <c r="D16" s="65">
        <f t="shared" ref="D16:M16" si="4">C16</f>
        <v>3311257.68</v>
      </c>
      <c r="E16" s="65">
        <f t="shared" si="4"/>
        <v>3311257.68</v>
      </c>
      <c r="F16" s="65">
        <f t="shared" si="4"/>
        <v>3311257.68</v>
      </c>
      <c r="G16" s="65">
        <f t="shared" si="4"/>
        <v>3311257.68</v>
      </c>
      <c r="H16" s="65">
        <f t="shared" si="4"/>
        <v>3311257.68</v>
      </c>
      <c r="I16" s="65">
        <f t="shared" si="4"/>
        <v>3311257.68</v>
      </c>
      <c r="J16" s="65">
        <f t="shared" si="4"/>
        <v>3311257.68</v>
      </c>
      <c r="K16" s="65">
        <f t="shared" si="4"/>
        <v>3311257.68</v>
      </c>
      <c r="L16" s="65">
        <f t="shared" si="4"/>
        <v>3311257.68</v>
      </c>
      <c r="M16" s="65">
        <f t="shared" si="4"/>
        <v>3311257.68</v>
      </c>
      <c r="N16" s="41"/>
      <c r="O16" s="41"/>
    </row>
    <row r="17" spans="1:15" ht="15" x14ac:dyDescent="0.2">
      <c r="A17" s="64" t="s">
        <v>123</v>
      </c>
      <c r="B17" s="67">
        <f>25/100</f>
        <v>0.25</v>
      </c>
      <c r="C17" s="65">
        <f t="shared" si="1"/>
        <v>626976.91500000004</v>
      </c>
      <c r="D17" s="65">
        <f t="shared" ref="D17:G19" si="5">C17</f>
        <v>626976.91500000004</v>
      </c>
      <c r="E17" s="65">
        <f t="shared" si="5"/>
        <v>626976.91500000004</v>
      </c>
      <c r="F17" s="65">
        <f t="shared" si="5"/>
        <v>626976.91500000004</v>
      </c>
      <c r="G17" s="65">
        <f t="shared" si="5"/>
        <v>626976.91500000004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41"/>
      <c r="O17" s="41"/>
    </row>
    <row r="18" spans="1:15" ht="15" x14ac:dyDescent="0.2">
      <c r="A18" s="64" t="s">
        <v>124</v>
      </c>
      <c r="B18" s="67">
        <v>0.25</v>
      </c>
      <c r="C18" s="65">
        <f t="shared" si="1"/>
        <v>1743276.6</v>
      </c>
      <c r="D18" s="65">
        <f t="shared" si="5"/>
        <v>1743276.6</v>
      </c>
      <c r="E18" s="65">
        <f t="shared" si="5"/>
        <v>1743276.6</v>
      </c>
      <c r="F18" s="65">
        <f t="shared" si="5"/>
        <v>1743276.6</v>
      </c>
      <c r="G18" s="65">
        <f t="shared" si="5"/>
        <v>1743276.6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41"/>
      <c r="O18" s="41"/>
    </row>
    <row r="19" spans="1:15" ht="15" x14ac:dyDescent="0.2">
      <c r="A19" s="64" t="s">
        <v>125</v>
      </c>
      <c r="B19" s="67">
        <v>0.25</v>
      </c>
      <c r="C19" s="65">
        <f t="shared" si="1"/>
        <v>500000</v>
      </c>
      <c r="D19" s="65">
        <f t="shared" si="5"/>
        <v>500000</v>
      </c>
      <c r="E19" s="65">
        <f t="shared" si="5"/>
        <v>500000</v>
      </c>
      <c r="F19" s="65">
        <f t="shared" si="5"/>
        <v>500000</v>
      </c>
      <c r="G19" s="65">
        <f t="shared" si="5"/>
        <v>500000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41"/>
      <c r="O19" s="41"/>
    </row>
    <row r="20" spans="1:15" ht="15" x14ac:dyDescent="0.25">
      <c r="A20" s="153" t="s">
        <v>17</v>
      </c>
      <c r="B20" s="153"/>
      <c r="C20" s="65">
        <f>SUM(C13:C19)</f>
        <v>11061526.647499999</v>
      </c>
      <c r="D20" s="65">
        <f t="shared" ref="D20:M20" si="6">SUM(D13:D19)</f>
        <v>11061526.647499999</v>
      </c>
      <c r="E20" s="65">
        <f t="shared" si="6"/>
        <v>11061526.647499999</v>
      </c>
      <c r="F20" s="65">
        <f t="shared" si="6"/>
        <v>11061526.647499999</v>
      </c>
      <c r="G20" s="65">
        <f t="shared" si="6"/>
        <v>11061526.647499999</v>
      </c>
      <c r="H20" s="65">
        <f t="shared" si="6"/>
        <v>8191273.1325000003</v>
      </c>
      <c r="I20" s="65">
        <f t="shared" si="6"/>
        <v>8191273.1325000003</v>
      </c>
      <c r="J20" s="65">
        <f t="shared" si="6"/>
        <v>8191273.1325000003</v>
      </c>
      <c r="K20" s="65">
        <f t="shared" si="6"/>
        <v>8191273.1325000003</v>
      </c>
      <c r="L20" s="65">
        <f t="shared" si="6"/>
        <v>8191273.1325000003</v>
      </c>
      <c r="M20" s="65">
        <f t="shared" si="6"/>
        <v>8191273.1325000003</v>
      </c>
    </row>
    <row r="26" spans="1:15" x14ac:dyDescent="0.2">
      <c r="B26" s="76">
        <v>0.05</v>
      </c>
    </row>
    <row r="27" spans="1:15" x14ac:dyDescent="0.2">
      <c r="B27" s="76">
        <v>0.25</v>
      </c>
    </row>
    <row r="28" spans="1:15" x14ac:dyDescent="0.2">
      <c r="B28" s="76">
        <v>0.1</v>
      </c>
    </row>
    <row r="29" spans="1:15" x14ac:dyDescent="0.2">
      <c r="B29" s="76">
        <v>0.25</v>
      </c>
    </row>
    <row r="30" spans="1:15" x14ac:dyDescent="0.2">
      <c r="B30" s="76">
        <v>0.25</v>
      </c>
    </row>
    <row r="31" spans="1:15" x14ac:dyDescent="0.2">
      <c r="B31" s="76">
        <v>0.25</v>
      </c>
    </row>
    <row r="32" spans="1:15" x14ac:dyDescent="0.2">
      <c r="B32" s="76">
        <v>0.25</v>
      </c>
    </row>
  </sheetData>
  <mergeCells count="3">
    <mergeCell ref="A1:B1"/>
    <mergeCell ref="D11:M11"/>
    <mergeCell ref="A20:B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zoomScaleNormal="100" workbookViewId="0">
      <selection activeCell="B6" sqref="B6"/>
    </sheetView>
  </sheetViews>
  <sheetFormatPr defaultRowHeight="14.25" x14ac:dyDescent="0.2"/>
  <cols>
    <col min="1" max="1" width="26.75" customWidth="1"/>
    <col min="2" max="2" width="18.375" style="44" customWidth="1"/>
    <col min="3" max="1025" width="8.5" customWidth="1"/>
  </cols>
  <sheetData>
    <row r="1" spans="1:2" ht="18" x14ac:dyDescent="0.25">
      <c r="A1" s="152" t="s">
        <v>126</v>
      </c>
      <c r="B1" s="152"/>
    </row>
    <row r="2" spans="1:2" ht="18" x14ac:dyDescent="0.25">
      <c r="A2" s="68" t="s">
        <v>4</v>
      </c>
      <c r="B2" s="69">
        <v>1</v>
      </c>
    </row>
    <row r="3" spans="1:2" ht="18" x14ac:dyDescent="0.25">
      <c r="A3" s="68" t="s">
        <v>127</v>
      </c>
      <c r="B3" s="70">
        <f>'تكاليف الايرادات'!M31</f>
        <v>1164600</v>
      </c>
    </row>
    <row r="4" spans="1:2" ht="18" x14ac:dyDescent="0.25">
      <c r="A4" s="68" t="s">
        <v>128</v>
      </c>
      <c r="B4" s="70">
        <f>المرتباب!E68</f>
        <v>8812800</v>
      </c>
    </row>
    <row r="5" spans="1:2" ht="18" x14ac:dyDescent="0.25">
      <c r="A5" s="68" t="s">
        <v>97</v>
      </c>
      <c r="B5" s="70">
        <f>'المصروفات العمومية'!B11</f>
        <v>1281040</v>
      </c>
    </row>
    <row r="6" spans="1:2" ht="18" x14ac:dyDescent="0.25">
      <c r="A6" s="68" t="s">
        <v>17</v>
      </c>
      <c r="B6" s="70">
        <f>SUM(B3:B5)</f>
        <v>11258440</v>
      </c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rightToLeft="1" topLeftCell="B121" zoomScale="86" zoomScaleNormal="86" workbookViewId="0">
      <selection activeCell="C51" sqref="C51"/>
    </sheetView>
  </sheetViews>
  <sheetFormatPr defaultRowHeight="23.25" x14ac:dyDescent="0.5"/>
  <cols>
    <col min="1" max="1" width="19.875" style="77" customWidth="1"/>
    <col min="2" max="2" width="33.875" style="77" customWidth="1"/>
    <col min="3" max="3" width="14.125" style="77" customWidth="1"/>
    <col min="4" max="4" width="14.625" style="77" customWidth="1"/>
    <col min="5" max="5" width="14.875" style="77" customWidth="1"/>
    <col min="6" max="6" width="12.25" style="77" customWidth="1"/>
    <col min="7" max="7" width="13.375" style="77" customWidth="1"/>
    <col min="8" max="8" width="13.25" style="77" customWidth="1"/>
    <col min="9" max="9" width="15" style="77" customWidth="1"/>
    <col min="10" max="10" width="14.75" style="77" customWidth="1"/>
    <col min="11" max="11" width="14.125" style="77" customWidth="1"/>
    <col min="12" max="12" width="13.625" style="77" customWidth="1"/>
    <col min="13" max="1025" width="9.125" style="77" customWidth="1"/>
    <col min="1026" max="16384" width="9" style="78"/>
  </cols>
  <sheetData>
    <row r="1" spans="1:176" ht="17.25" customHeight="1" x14ac:dyDescent="0.5">
      <c r="A1" s="154" t="s">
        <v>129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76" ht="16.5" customHeight="1" x14ac:dyDescent="0.5">
      <c r="A2" s="155" t="s">
        <v>130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76" x14ac:dyDescent="0.5">
      <c r="A3" s="79"/>
      <c r="B3" s="80" t="s">
        <v>131</v>
      </c>
      <c r="C3" s="81">
        <v>1</v>
      </c>
      <c r="D3" s="81">
        <v>2</v>
      </c>
      <c r="E3" s="81">
        <v>3</v>
      </c>
      <c r="F3" s="81">
        <v>4</v>
      </c>
      <c r="G3" s="81">
        <v>5</v>
      </c>
      <c r="H3" s="81">
        <v>6</v>
      </c>
      <c r="I3" s="81">
        <v>7</v>
      </c>
      <c r="J3" s="81">
        <v>8</v>
      </c>
      <c r="K3" s="81">
        <v>9</v>
      </c>
      <c r="L3" s="81">
        <v>10</v>
      </c>
    </row>
    <row r="4" spans="1:176" x14ac:dyDescent="0.5">
      <c r="A4" s="80" t="s">
        <v>132</v>
      </c>
      <c r="B4" s="80" t="s">
        <v>132</v>
      </c>
      <c r="C4" s="80" t="s">
        <v>132</v>
      </c>
      <c r="D4" s="80" t="s">
        <v>132</v>
      </c>
      <c r="E4" s="80" t="s">
        <v>132</v>
      </c>
      <c r="F4" s="80" t="s">
        <v>132</v>
      </c>
      <c r="G4" s="80" t="s">
        <v>132</v>
      </c>
      <c r="H4" s="80" t="s">
        <v>132</v>
      </c>
      <c r="I4" s="80" t="s">
        <v>132</v>
      </c>
      <c r="J4" s="80" t="s">
        <v>132</v>
      </c>
      <c r="K4" s="80" t="s">
        <v>132</v>
      </c>
      <c r="L4" s="80" t="s">
        <v>132</v>
      </c>
    </row>
    <row r="5" spans="1:176" x14ac:dyDescent="0.5">
      <c r="A5" s="79" t="s">
        <v>133</v>
      </c>
      <c r="B5" s="82">
        <f>SUM(C5:L5)</f>
        <v>534837347.47667593</v>
      </c>
      <c r="C5" s="83">
        <f>الايرادات!M39</f>
        <v>16885800</v>
      </c>
      <c r="D5" s="83">
        <f>الايرادات!N39</f>
        <v>22629408.75</v>
      </c>
      <c r="E5" s="83">
        <f>الايرادات!O39</f>
        <v>29115100.484999999</v>
      </c>
      <c r="F5" s="83">
        <f>الايرادات!P39</f>
        <v>36420989.656274997</v>
      </c>
      <c r="G5" s="83">
        <f>الايرادات!Q39</f>
        <v>44632756.653102003</v>
      </c>
      <c r="H5" s="83">
        <f>الايرادات!R39</f>
        <v>53844353.832396537</v>
      </c>
      <c r="I5" s="83">
        <f>الايرادات!S39</f>
        <v>64158776.570013113</v>
      </c>
      <c r="J5" s="83">
        <f>الايرادات!T39</f>
        <v>75688905.33172819</v>
      </c>
      <c r="K5" s="83">
        <f>الايرادات!U39</f>
        <v>88558425.321440905</v>
      </c>
      <c r="L5" s="83">
        <f>الايرادات!V39</f>
        <v>102902830.87672012</v>
      </c>
    </row>
    <row r="6" spans="1:176" x14ac:dyDescent="0.5">
      <c r="A6" s="84" t="s">
        <v>134</v>
      </c>
      <c r="B6" s="85"/>
      <c r="C6" s="86"/>
      <c r="D6" s="86"/>
      <c r="E6" s="86"/>
      <c r="F6" s="86"/>
      <c r="G6" s="87"/>
      <c r="H6" s="87"/>
      <c r="I6" s="87"/>
      <c r="J6" s="87"/>
      <c r="K6" s="87"/>
      <c r="L6" s="87"/>
    </row>
    <row r="7" spans="1:176" x14ac:dyDescent="0.5">
      <c r="A7" s="79" t="s">
        <v>135</v>
      </c>
      <c r="B7" s="82">
        <f>SUM(C7:L7)</f>
        <v>34607152.916649416</v>
      </c>
      <c r="C7" s="83">
        <f>'تكاليف الايرادات'!M31</f>
        <v>1164600</v>
      </c>
      <c r="D7" s="83">
        <f>'تكاليف الايرادات'!N31</f>
        <v>1502246.25</v>
      </c>
      <c r="E7" s="83">
        <f>'تكاليف الايرادات'!O31</f>
        <v>1931223.06</v>
      </c>
      <c r="F7" s="83">
        <f>'تكاليف الايرادات'!P31</f>
        <v>1625910.4946699999</v>
      </c>
      <c r="G7" s="83">
        <f>'تكاليف الايرادات'!Q31</f>
        <v>2955520.2346920003</v>
      </c>
      <c r="H7" s="83">
        <f>'تكاليف الايرادات'!R31</f>
        <v>3562377.0464479951</v>
      </c>
      <c r="I7" s="83">
        <f>'تكاليف الايرادات'!S31</f>
        <v>4240977.7333673388</v>
      </c>
      <c r="J7" s="83">
        <f>'تكاليف الايرادات'!T31</f>
        <v>4998536.5583964828</v>
      </c>
      <c r="K7" s="83">
        <f>'تكاليف الايرادات'!U31</f>
        <v>5842942.3203596445</v>
      </c>
      <c r="L7" s="83">
        <f>'تكاليف الايرادات'!V31</f>
        <v>6782819.2187159555</v>
      </c>
    </row>
    <row r="8" spans="1:176" x14ac:dyDescent="0.5">
      <c r="A8" s="88" t="s">
        <v>136</v>
      </c>
      <c r="B8" s="89">
        <f>SUM(C8:L8)</f>
        <v>500230194.56002641</v>
      </c>
      <c r="C8" s="90">
        <f t="shared" ref="C8:L8" si="0">C5-C7</f>
        <v>15721200</v>
      </c>
      <c r="D8" s="90">
        <f t="shared" si="0"/>
        <v>21127162.5</v>
      </c>
      <c r="E8" s="90">
        <f t="shared" si="0"/>
        <v>27183877.425000001</v>
      </c>
      <c r="F8" s="90">
        <f t="shared" si="0"/>
        <v>34795079.161605</v>
      </c>
      <c r="G8" s="90">
        <f t="shared" si="0"/>
        <v>41677236.418410003</v>
      </c>
      <c r="H8" s="90">
        <f t="shared" si="0"/>
        <v>50281976.785948545</v>
      </c>
      <c r="I8" s="90">
        <f t="shared" si="0"/>
        <v>59917798.836645775</v>
      </c>
      <c r="J8" s="90">
        <f t="shared" si="0"/>
        <v>70690368.773331702</v>
      </c>
      <c r="K8" s="90">
        <f t="shared" si="0"/>
        <v>82715483.001081258</v>
      </c>
      <c r="L8" s="90">
        <f t="shared" si="0"/>
        <v>96120011.658004165</v>
      </c>
    </row>
    <row r="9" spans="1:176" x14ac:dyDescent="0.5">
      <c r="A9" s="84" t="s">
        <v>137</v>
      </c>
      <c r="B9" s="85"/>
      <c r="C9" s="86"/>
      <c r="D9" s="86"/>
      <c r="E9" s="86"/>
      <c r="F9" s="86"/>
      <c r="G9" s="87"/>
      <c r="H9" s="87"/>
      <c r="I9" s="87"/>
      <c r="J9" s="87"/>
      <c r="K9" s="87"/>
      <c r="L9" s="87"/>
    </row>
    <row r="10" spans="1:176" x14ac:dyDescent="0.5">
      <c r="A10" s="91" t="s">
        <v>128</v>
      </c>
      <c r="B10" s="92">
        <f>SUM(C10:L10)</f>
        <v>140453335.52369282</v>
      </c>
      <c r="C10" s="93">
        <f>المرتباب!E68</f>
        <v>8812800</v>
      </c>
      <c r="D10" s="93">
        <f>المرتباب!F68</f>
        <v>9694080</v>
      </c>
      <c r="E10" s="93">
        <f>المرتباب!G68</f>
        <v>10663488</v>
      </c>
      <c r="F10" s="93">
        <f>المرتباب!H68</f>
        <v>11729836.800000001</v>
      </c>
      <c r="G10" s="93">
        <f>المرتباب!I68</f>
        <v>12902820.48</v>
      </c>
      <c r="H10" s="93">
        <f>المرتباب!J68</f>
        <v>14193102.527999999</v>
      </c>
      <c r="I10" s="93">
        <f>المرتباب!K68</f>
        <v>15612412.7808</v>
      </c>
      <c r="J10" s="93">
        <f>المرتباب!L68</f>
        <v>17173654.058880001</v>
      </c>
      <c r="K10" s="93">
        <f>المرتباب!M68</f>
        <v>18891019.464768004</v>
      </c>
      <c r="L10" s="93">
        <f>المرتباب!N68</f>
        <v>20780121.411244806</v>
      </c>
    </row>
    <row r="11" spans="1:176" x14ac:dyDescent="0.5">
      <c r="A11" s="79" t="s">
        <v>138</v>
      </c>
      <c r="B11" s="92">
        <f>SUM(C11:L11)</f>
        <v>19433907.687842317</v>
      </c>
      <c r="C11" s="83">
        <f>'المصروفات العمومية'!B11</f>
        <v>1281040</v>
      </c>
      <c r="D11" s="83">
        <f>'المصروفات العمومية'!C11</f>
        <v>1394364.8</v>
      </c>
      <c r="E11" s="83">
        <f>'المصروفات العمومية'!D11</f>
        <v>1518182.5360000001</v>
      </c>
      <c r="F11" s="83">
        <f>'المصروفات العمومية'!E11</f>
        <v>1653522.73352</v>
      </c>
      <c r="G11" s="83">
        <f>'المصروفات العمومية'!F11</f>
        <v>1801524.2868663999</v>
      </c>
      <c r="H11" s="83">
        <f>'المصروفات العمومية'!G11</f>
        <v>1963448.4051470479</v>
      </c>
      <c r="I11" s="83">
        <f>'المصروفات العمومية'!H11</f>
        <v>2140693.3055273416</v>
      </c>
      <c r="J11" s="83">
        <f>'المصروفات العمومية'!I11</f>
        <v>2334810.9225362553</v>
      </c>
      <c r="K11" s="83">
        <f>'المصروفات العمومية'!J11</f>
        <v>2556239.5607819557</v>
      </c>
      <c r="L11" s="83">
        <f>'المصروفات العمومية'!K11</f>
        <v>2790081.1374633126</v>
      </c>
      <c r="FI11" s="94">
        <f>SUM(FK11+FL11+FM11+FN11+FO11+FP11+FQ11+FR11+FS11+FT11)</f>
        <v>594263719.4185288</v>
      </c>
      <c r="FK11" s="77">
        <v>18762000</v>
      </c>
      <c r="FL11" s="77">
        <v>25143787.5</v>
      </c>
      <c r="FM11" s="77">
        <v>32350111.649999999</v>
      </c>
      <c r="FN11" s="77">
        <v>40467766.28475</v>
      </c>
      <c r="FO11" s="77">
        <v>49591951.836780004</v>
      </c>
      <c r="FP11" s="77">
        <v>59827059.81377393</v>
      </c>
      <c r="FQ11" s="77">
        <v>71287529.522236779</v>
      </c>
      <c r="FR11" s="77">
        <v>84098783.701920196</v>
      </c>
      <c r="FS11" s="77">
        <v>98398250.35715656</v>
      </c>
      <c r="FT11" s="77">
        <v>114336478.75191124</v>
      </c>
    </row>
    <row r="12" spans="1:176" x14ac:dyDescent="0.5">
      <c r="A12" s="79" t="s">
        <v>139</v>
      </c>
      <c r="B12" s="92">
        <f>SUM(C12:L12)</f>
        <v>93393745.38499999</v>
      </c>
      <c r="C12" s="83">
        <f>'التكاليف الاستثمارية'!D20</f>
        <v>11061526.647499999</v>
      </c>
      <c r="D12" s="83">
        <f>'التكاليف الاستثمارية'!E20</f>
        <v>11061526.647499999</v>
      </c>
      <c r="E12" s="83">
        <f>'التكاليف الاستثمارية'!F20</f>
        <v>11061526.647499999</v>
      </c>
      <c r="F12" s="83">
        <f>'التكاليف الاستثمارية'!G20</f>
        <v>11061526.647499999</v>
      </c>
      <c r="G12" s="83">
        <f>'التكاليف الاستثمارية'!H20</f>
        <v>8191273.1325000003</v>
      </c>
      <c r="H12" s="83">
        <f>'التكاليف الاستثمارية'!I20</f>
        <v>8191273.1325000003</v>
      </c>
      <c r="I12" s="83">
        <f>'التكاليف الاستثمارية'!J20</f>
        <v>8191273.1325000003</v>
      </c>
      <c r="J12" s="83">
        <f>'التكاليف الاستثمارية'!K20</f>
        <v>8191273.1325000003</v>
      </c>
      <c r="K12" s="83">
        <f>'التكاليف الاستثمارية'!L20</f>
        <v>8191273.1325000003</v>
      </c>
      <c r="L12" s="83">
        <f>'التكاليف الاستثمارية'!M20</f>
        <v>8191273.1325000003</v>
      </c>
      <c r="FI12" s="77">
        <f>FI11/10</f>
        <v>59426371.941852883</v>
      </c>
    </row>
    <row r="13" spans="1:176" x14ac:dyDescent="0.5">
      <c r="A13" s="88" t="s">
        <v>140</v>
      </c>
      <c r="B13" s="90">
        <f>SUM(C13:L13)</f>
        <v>246949205.96349132</v>
      </c>
      <c r="C13" s="90">
        <f t="shared" ref="C13:L13" si="1">C8-SUM(C10:C12)</f>
        <v>-5434166.6475000009</v>
      </c>
      <c r="D13" s="90">
        <f t="shared" si="1"/>
        <v>-1022808.9474999979</v>
      </c>
      <c r="E13" s="90">
        <f t="shared" si="1"/>
        <v>3940680.2415000014</v>
      </c>
      <c r="F13" s="90">
        <f t="shared" si="1"/>
        <v>10350192.980585001</v>
      </c>
      <c r="G13" s="90">
        <f t="shared" si="1"/>
        <v>18781618.519043602</v>
      </c>
      <c r="H13" s="90">
        <f t="shared" si="1"/>
        <v>25934152.720301498</v>
      </c>
      <c r="I13" s="90">
        <f t="shared" si="1"/>
        <v>33973419.61781843</v>
      </c>
      <c r="J13" s="90">
        <f t="shared" si="1"/>
        <v>42990630.659415446</v>
      </c>
      <c r="K13" s="90">
        <f t="shared" si="1"/>
        <v>53076950.843031302</v>
      </c>
      <c r="L13" s="90">
        <f t="shared" si="1"/>
        <v>64358535.976796046</v>
      </c>
    </row>
    <row r="14" spans="1:176" x14ac:dyDescent="0.5">
      <c r="A14" s="84" t="s">
        <v>137</v>
      </c>
      <c r="B14" s="85"/>
      <c r="C14" s="79"/>
      <c r="D14" s="79"/>
      <c r="E14" s="79"/>
      <c r="F14" s="79"/>
      <c r="G14" s="87"/>
      <c r="H14" s="87"/>
      <c r="I14" s="87"/>
      <c r="J14" s="87"/>
      <c r="K14" s="87"/>
      <c r="L14" s="87"/>
      <c r="FK14" s="94">
        <f>FI11/10</f>
        <v>59426371.941852883</v>
      </c>
    </row>
    <row r="15" spans="1:176" x14ac:dyDescent="0.5">
      <c r="A15" s="91" t="s">
        <v>141</v>
      </c>
      <c r="B15" s="82">
        <f>SUM(C15:L15)</f>
        <v>55563571.34178555</v>
      </c>
      <c r="C15" s="95">
        <f t="shared" ref="C15:L15" si="2">C13*22.5/100</f>
        <v>-1222687.4956875003</v>
      </c>
      <c r="D15" s="95">
        <f t="shared" si="2"/>
        <v>-230132.01318749954</v>
      </c>
      <c r="E15" s="95">
        <f t="shared" si="2"/>
        <v>886653.05433750036</v>
      </c>
      <c r="F15" s="95">
        <f t="shared" si="2"/>
        <v>2328793.4206316252</v>
      </c>
      <c r="G15" s="95">
        <f t="shared" si="2"/>
        <v>4225864.1667848108</v>
      </c>
      <c r="H15" s="95">
        <f t="shared" si="2"/>
        <v>5835184.3620678363</v>
      </c>
      <c r="I15" s="95">
        <f t="shared" si="2"/>
        <v>7644019.4140091464</v>
      </c>
      <c r="J15" s="95">
        <f t="shared" si="2"/>
        <v>9672891.898368476</v>
      </c>
      <c r="K15" s="95">
        <f t="shared" si="2"/>
        <v>11942313.939682042</v>
      </c>
      <c r="L15" s="95">
        <f t="shared" si="2"/>
        <v>14480670.59477911</v>
      </c>
    </row>
    <row r="16" spans="1:176" x14ac:dyDescent="0.5">
      <c r="A16" s="96" t="s">
        <v>142</v>
      </c>
      <c r="B16" s="90">
        <f>SUM(C16:L16)</f>
        <v>191385634.62170577</v>
      </c>
      <c r="C16" s="90">
        <f t="shared" ref="C16:L16" si="3">C13-C15</f>
        <v>-4211479.1518125003</v>
      </c>
      <c r="D16" s="90">
        <f t="shared" si="3"/>
        <v>-792676.93431249843</v>
      </c>
      <c r="E16" s="90">
        <f t="shared" si="3"/>
        <v>3054027.1871625008</v>
      </c>
      <c r="F16" s="90">
        <f t="shared" si="3"/>
        <v>8021399.5599533767</v>
      </c>
      <c r="G16" s="90">
        <f t="shared" si="3"/>
        <v>14555754.35225879</v>
      </c>
      <c r="H16" s="90">
        <f t="shared" si="3"/>
        <v>20098968.35823366</v>
      </c>
      <c r="I16" s="90">
        <f t="shared" si="3"/>
        <v>26329400.203809284</v>
      </c>
      <c r="J16" s="90">
        <f t="shared" si="3"/>
        <v>33317738.761046968</v>
      </c>
      <c r="K16" s="90">
        <f t="shared" si="3"/>
        <v>41134636.903349258</v>
      </c>
      <c r="L16" s="90">
        <f t="shared" si="3"/>
        <v>49877865.382016934</v>
      </c>
    </row>
    <row r="17" spans="1:12" x14ac:dyDescent="0.5">
      <c r="A17" s="96" t="s">
        <v>143</v>
      </c>
      <c r="B17" s="97">
        <f t="shared" ref="B17:L17" si="4">B16/B5</f>
        <v>0.35783894958841111</v>
      </c>
      <c r="C17" s="98">
        <f t="shared" si="4"/>
        <v>-0.24940951283400847</v>
      </c>
      <c r="D17" s="98">
        <f t="shared" si="4"/>
        <v>-3.5028618868024927E-2</v>
      </c>
      <c r="E17" s="98">
        <f t="shared" si="4"/>
        <v>0.10489495609798515</v>
      </c>
      <c r="F17" s="98">
        <f t="shared" si="4"/>
        <v>0.22024112017975778</v>
      </c>
      <c r="G17" s="98">
        <f t="shared" si="4"/>
        <v>0.32612268306414716</v>
      </c>
      <c r="H17" s="98">
        <f t="shared" si="4"/>
        <v>0.37327903350454383</v>
      </c>
      <c r="I17" s="98">
        <f t="shared" si="4"/>
        <v>0.41037877608338413</v>
      </c>
      <c r="J17" s="98">
        <f t="shared" si="4"/>
        <v>0.44019316457309676</v>
      </c>
      <c r="K17" s="98">
        <f t="shared" si="4"/>
        <v>0.46449151228742702</v>
      </c>
      <c r="L17" s="98">
        <f t="shared" si="4"/>
        <v>0.48470838904103358</v>
      </c>
    </row>
    <row r="18" spans="1:12" x14ac:dyDescent="0.5">
      <c r="A18" s="156" t="s">
        <v>144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x14ac:dyDescent="0.5">
      <c r="A19" s="99" t="s">
        <v>130</v>
      </c>
      <c r="B19" s="100"/>
      <c r="C19" s="100"/>
      <c r="D19" s="100"/>
      <c r="E19" s="100"/>
      <c r="F19" s="100"/>
      <c r="G19" s="100"/>
      <c r="H19" s="100"/>
    </row>
    <row r="20" spans="1:12" x14ac:dyDescent="0.5">
      <c r="A20" s="79"/>
      <c r="B20" s="80" t="s">
        <v>131</v>
      </c>
      <c r="C20" s="81">
        <v>1</v>
      </c>
      <c r="D20" s="81">
        <v>2</v>
      </c>
      <c r="E20" s="81">
        <v>3</v>
      </c>
      <c r="F20" s="81">
        <v>4</v>
      </c>
      <c r="G20" s="81">
        <v>5</v>
      </c>
      <c r="H20" s="81">
        <v>6</v>
      </c>
      <c r="I20" s="81">
        <v>7</v>
      </c>
      <c r="J20" s="81">
        <v>8</v>
      </c>
      <c r="K20" s="81">
        <v>9</v>
      </c>
      <c r="L20" s="81">
        <v>10</v>
      </c>
    </row>
    <row r="21" spans="1:12" x14ac:dyDescent="0.5">
      <c r="A21" s="80" t="s">
        <v>132</v>
      </c>
      <c r="B21" s="80" t="s">
        <v>132</v>
      </c>
      <c r="C21" s="80" t="s">
        <v>132</v>
      </c>
      <c r="D21" s="80" t="s">
        <v>132</v>
      </c>
      <c r="E21" s="80" t="s">
        <v>132</v>
      </c>
      <c r="F21" s="80" t="s">
        <v>132</v>
      </c>
      <c r="G21" s="80" t="s">
        <v>132</v>
      </c>
      <c r="H21" s="80" t="s">
        <v>132</v>
      </c>
      <c r="I21" s="80" t="s">
        <v>132</v>
      </c>
      <c r="J21" s="80" t="s">
        <v>132</v>
      </c>
      <c r="K21" s="80" t="s">
        <v>132</v>
      </c>
      <c r="L21" s="80" t="s">
        <v>132</v>
      </c>
    </row>
    <row r="22" spans="1:12" x14ac:dyDescent="0.5">
      <c r="A22" s="87" t="s">
        <v>145</v>
      </c>
      <c r="B22" s="101">
        <f>SUM(C22:L22)</f>
        <v>534837347.47667593</v>
      </c>
      <c r="C22" s="101">
        <f t="shared" ref="C22:L22" si="5">C5</f>
        <v>16885800</v>
      </c>
      <c r="D22" s="101">
        <f t="shared" si="5"/>
        <v>22629408.75</v>
      </c>
      <c r="E22" s="101">
        <f t="shared" si="5"/>
        <v>29115100.484999999</v>
      </c>
      <c r="F22" s="101">
        <f t="shared" si="5"/>
        <v>36420989.656274997</v>
      </c>
      <c r="G22" s="101">
        <f t="shared" si="5"/>
        <v>44632756.653102003</v>
      </c>
      <c r="H22" s="101">
        <f t="shared" si="5"/>
        <v>53844353.832396537</v>
      </c>
      <c r="I22" s="101">
        <f t="shared" si="5"/>
        <v>64158776.570013113</v>
      </c>
      <c r="J22" s="101">
        <f t="shared" si="5"/>
        <v>75688905.33172819</v>
      </c>
      <c r="K22" s="101">
        <f t="shared" si="5"/>
        <v>88558425.321440905</v>
      </c>
      <c r="L22" s="101">
        <f t="shared" si="5"/>
        <v>102902830.87672012</v>
      </c>
    </row>
    <row r="23" spans="1:12" x14ac:dyDescent="0.5">
      <c r="A23" s="102" t="s">
        <v>137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x14ac:dyDescent="0.5">
      <c r="A24" s="87" t="s">
        <v>146</v>
      </c>
      <c r="B24" s="101">
        <f>SUM(C24:L24)</f>
        <v>34607152.916649416</v>
      </c>
      <c r="C24" s="101">
        <f t="shared" ref="C24:L24" si="6">C7</f>
        <v>1164600</v>
      </c>
      <c r="D24" s="101">
        <f t="shared" si="6"/>
        <v>1502246.25</v>
      </c>
      <c r="E24" s="101">
        <f t="shared" si="6"/>
        <v>1931223.06</v>
      </c>
      <c r="F24" s="101">
        <f t="shared" si="6"/>
        <v>1625910.4946699999</v>
      </c>
      <c r="G24" s="101">
        <f t="shared" si="6"/>
        <v>2955520.2346920003</v>
      </c>
      <c r="H24" s="101">
        <f t="shared" si="6"/>
        <v>3562377.0464479951</v>
      </c>
      <c r="I24" s="101">
        <f t="shared" si="6"/>
        <v>4240977.7333673388</v>
      </c>
      <c r="J24" s="101">
        <f t="shared" si="6"/>
        <v>4998536.5583964828</v>
      </c>
      <c r="K24" s="101">
        <f t="shared" si="6"/>
        <v>5842942.3203596445</v>
      </c>
      <c r="L24" s="101">
        <f t="shared" si="6"/>
        <v>6782819.2187159555</v>
      </c>
    </row>
    <row r="25" spans="1:12" x14ac:dyDescent="0.5">
      <c r="A25" s="96" t="s">
        <v>147</v>
      </c>
      <c r="B25" s="103">
        <f>SUM(C25:L25)</f>
        <v>500230194.56002641</v>
      </c>
      <c r="C25" s="103">
        <f t="shared" ref="C25:L25" si="7">C22-C24</f>
        <v>15721200</v>
      </c>
      <c r="D25" s="103">
        <f t="shared" si="7"/>
        <v>21127162.5</v>
      </c>
      <c r="E25" s="103">
        <f t="shared" si="7"/>
        <v>27183877.425000001</v>
      </c>
      <c r="F25" s="103">
        <f t="shared" si="7"/>
        <v>34795079.161605</v>
      </c>
      <c r="G25" s="103">
        <f t="shared" si="7"/>
        <v>41677236.418410003</v>
      </c>
      <c r="H25" s="103">
        <f t="shared" si="7"/>
        <v>50281976.785948545</v>
      </c>
      <c r="I25" s="103">
        <f t="shared" si="7"/>
        <v>59917798.836645775</v>
      </c>
      <c r="J25" s="103">
        <f t="shared" si="7"/>
        <v>70690368.773331702</v>
      </c>
      <c r="K25" s="103">
        <f t="shared" si="7"/>
        <v>82715483.001081258</v>
      </c>
      <c r="L25" s="103">
        <f t="shared" si="7"/>
        <v>96120011.658004165</v>
      </c>
    </row>
    <row r="26" spans="1:12" x14ac:dyDescent="0.5">
      <c r="A26" s="79" t="s">
        <v>138</v>
      </c>
      <c r="B26" s="101">
        <f>SUM(C26:L26)</f>
        <v>19433907.687842317</v>
      </c>
      <c r="C26" s="101">
        <f t="shared" ref="C26:L26" si="8">C11</f>
        <v>1281040</v>
      </c>
      <c r="D26" s="101">
        <f t="shared" si="8"/>
        <v>1394364.8</v>
      </c>
      <c r="E26" s="101">
        <f t="shared" si="8"/>
        <v>1518182.5360000001</v>
      </c>
      <c r="F26" s="101">
        <f t="shared" si="8"/>
        <v>1653522.73352</v>
      </c>
      <c r="G26" s="101">
        <f t="shared" si="8"/>
        <v>1801524.2868663999</v>
      </c>
      <c r="H26" s="101">
        <f t="shared" si="8"/>
        <v>1963448.4051470479</v>
      </c>
      <c r="I26" s="101">
        <f t="shared" si="8"/>
        <v>2140693.3055273416</v>
      </c>
      <c r="J26" s="101">
        <f t="shared" si="8"/>
        <v>2334810.9225362553</v>
      </c>
      <c r="K26" s="101">
        <f t="shared" si="8"/>
        <v>2556239.5607819557</v>
      </c>
      <c r="L26" s="101">
        <f t="shared" si="8"/>
        <v>2790081.1374633126</v>
      </c>
    </row>
    <row r="27" spans="1:12" x14ac:dyDescent="0.5">
      <c r="A27" s="104" t="s">
        <v>148</v>
      </c>
      <c r="B27" s="103">
        <f>SUM(C27:L27)</f>
        <v>480796286.87218404</v>
      </c>
      <c r="C27" s="103">
        <f t="shared" ref="C27:L27" si="9">C25-C26</f>
        <v>14440160</v>
      </c>
      <c r="D27" s="103">
        <f t="shared" si="9"/>
        <v>19732797.699999999</v>
      </c>
      <c r="E27" s="103">
        <f t="shared" si="9"/>
        <v>25665694.889000002</v>
      </c>
      <c r="F27" s="103">
        <f t="shared" si="9"/>
        <v>33141556.428084999</v>
      </c>
      <c r="G27" s="103">
        <f t="shared" si="9"/>
        <v>39875712.131543607</v>
      </c>
      <c r="H27" s="103">
        <f t="shared" si="9"/>
        <v>48318528.380801499</v>
      </c>
      <c r="I27" s="103">
        <f t="shared" si="9"/>
        <v>57777105.53111843</v>
      </c>
      <c r="J27" s="103">
        <f t="shared" si="9"/>
        <v>68355557.850795448</v>
      </c>
      <c r="K27" s="103">
        <f t="shared" si="9"/>
        <v>80159243.440299302</v>
      </c>
      <c r="L27" s="103">
        <f t="shared" si="9"/>
        <v>93329930.520540848</v>
      </c>
    </row>
    <row r="28" spans="1:12" x14ac:dyDescent="0.5">
      <c r="A28" s="87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1:12" x14ac:dyDescent="0.5">
      <c r="A29" s="96" t="s">
        <v>149</v>
      </c>
      <c r="B29" s="103">
        <f>SUM(C29:L29)</f>
        <v>480796286.87218404</v>
      </c>
      <c r="C29" s="103">
        <f t="shared" ref="C29:L29" si="10">C27-C28</f>
        <v>14440160</v>
      </c>
      <c r="D29" s="103">
        <f t="shared" si="10"/>
        <v>19732797.699999999</v>
      </c>
      <c r="E29" s="103">
        <f t="shared" si="10"/>
        <v>25665694.889000002</v>
      </c>
      <c r="F29" s="103">
        <f t="shared" si="10"/>
        <v>33141556.428084999</v>
      </c>
      <c r="G29" s="103">
        <f t="shared" si="10"/>
        <v>39875712.131543607</v>
      </c>
      <c r="H29" s="103">
        <f t="shared" si="10"/>
        <v>48318528.380801499</v>
      </c>
      <c r="I29" s="103">
        <f t="shared" si="10"/>
        <v>57777105.53111843</v>
      </c>
      <c r="J29" s="103">
        <f t="shared" si="10"/>
        <v>68355557.850795448</v>
      </c>
      <c r="K29" s="103">
        <f t="shared" si="10"/>
        <v>80159243.440299302</v>
      </c>
      <c r="L29" s="103">
        <f t="shared" si="10"/>
        <v>93329930.520540848</v>
      </c>
    </row>
    <row r="30" spans="1:12" x14ac:dyDescent="0.5">
      <c r="A30" s="87" t="s">
        <v>150</v>
      </c>
      <c r="B30" s="101">
        <f>SUM(C30:L30)</f>
        <v>108179164.54624143</v>
      </c>
      <c r="C30" s="101">
        <f t="shared" ref="C30:L30" si="11">C29*22.5/100</f>
        <v>3249036</v>
      </c>
      <c r="D30" s="101">
        <f t="shared" si="11"/>
        <v>4439879.4824999999</v>
      </c>
      <c r="E30" s="101">
        <f t="shared" si="11"/>
        <v>5774781.350025001</v>
      </c>
      <c r="F30" s="101">
        <f t="shared" si="11"/>
        <v>7456850.1963191247</v>
      </c>
      <c r="G30" s="101">
        <f t="shared" si="11"/>
        <v>8972035.2295973115</v>
      </c>
      <c r="H30" s="101">
        <f t="shared" si="11"/>
        <v>10871668.885680337</v>
      </c>
      <c r="I30" s="101">
        <f t="shared" si="11"/>
        <v>12999848.744501648</v>
      </c>
      <c r="J30" s="101">
        <f t="shared" si="11"/>
        <v>15380000.516428975</v>
      </c>
      <c r="K30" s="101">
        <f t="shared" si="11"/>
        <v>18035829.774067342</v>
      </c>
      <c r="L30" s="101">
        <f t="shared" si="11"/>
        <v>20999234.367121693</v>
      </c>
    </row>
    <row r="31" spans="1:12" x14ac:dyDescent="0.5">
      <c r="A31" s="96" t="s">
        <v>151</v>
      </c>
      <c r="B31" s="103">
        <f>SUM(C31:L31)</f>
        <v>372617122.32594264</v>
      </c>
      <c r="C31" s="103">
        <f t="shared" ref="C31:L31" si="12">C29-C30</f>
        <v>11191124</v>
      </c>
      <c r="D31" s="103">
        <f t="shared" si="12"/>
        <v>15292918.217499999</v>
      </c>
      <c r="E31" s="103">
        <f t="shared" si="12"/>
        <v>19890913.538975</v>
      </c>
      <c r="F31" s="103">
        <f t="shared" si="12"/>
        <v>25684706.231765874</v>
      </c>
      <c r="G31" s="103">
        <f t="shared" si="12"/>
        <v>30903676.901946295</v>
      </c>
      <c r="H31" s="103">
        <f t="shared" si="12"/>
        <v>37446859.495121166</v>
      </c>
      <c r="I31" s="103">
        <f t="shared" si="12"/>
        <v>44777256.78661678</v>
      </c>
      <c r="J31" s="103">
        <f t="shared" si="12"/>
        <v>52975557.334366471</v>
      </c>
      <c r="K31" s="103">
        <f t="shared" si="12"/>
        <v>62123413.66623196</v>
      </c>
      <c r="L31" s="103">
        <f t="shared" si="12"/>
        <v>72330696.153419152</v>
      </c>
    </row>
    <row r="32" spans="1:12" x14ac:dyDescent="0.5">
      <c r="A32" s="96" t="s">
        <v>152</v>
      </c>
      <c r="B32" s="103">
        <f>SUM(C32:L32)</f>
        <v>1495737337.4143944</v>
      </c>
      <c r="C32" s="103">
        <f>C31</f>
        <v>11191124</v>
      </c>
      <c r="D32" s="103">
        <f t="shared" ref="D32:L32" si="13">C32+D31</f>
        <v>26484042.217500001</v>
      </c>
      <c r="E32" s="103">
        <f t="shared" si="13"/>
        <v>46374955.756475002</v>
      </c>
      <c r="F32" s="103">
        <f t="shared" si="13"/>
        <v>72059661.988240868</v>
      </c>
      <c r="G32" s="103">
        <f t="shared" si="13"/>
        <v>102963338.89018716</v>
      </c>
      <c r="H32" s="103">
        <f t="shared" si="13"/>
        <v>140410198.38530833</v>
      </c>
      <c r="I32" s="103">
        <f t="shared" si="13"/>
        <v>185187455.1719251</v>
      </c>
      <c r="J32" s="103">
        <f t="shared" si="13"/>
        <v>238163012.50629157</v>
      </c>
      <c r="K32" s="103">
        <f t="shared" si="13"/>
        <v>300286426.1725235</v>
      </c>
      <c r="L32" s="103">
        <f t="shared" si="13"/>
        <v>372617122.32594264</v>
      </c>
    </row>
    <row r="34" spans="1:12" x14ac:dyDescent="0.5">
      <c r="A34" s="105" t="s">
        <v>3</v>
      </c>
      <c r="B34" s="105" t="s">
        <v>4</v>
      </c>
      <c r="C34" s="105" t="s">
        <v>153</v>
      </c>
      <c r="D34" s="105" t="s">
        <v>154</v>
      </c>
      <c r="E34" s="105" t="s">
        <v>155</v>
      </c>
    </row>
    <row r="35" spans="1:12" x14ac:dyDescent="0.5">
      <c r="A35" s="106">
        <v>0</v>
      </c>
      <c r="B35" s="106" t="s">
        <v>156</v>
      </c>
      <c r="C35" s="101">
        <f>-I41</f>
        <v>-104711959.59</v>
      </c>
      <c r="D35" s="101">
        <f>C35</f>
        <v>-104711959.59</v>
      </c>
      <c r="E35" s="101">
        <f>C35</f>
        <v>-104711959.59</v>
      </c>
      <c r="L35" s="107"/>
    </row>
    <row r="36" spans="1:12" x14ac:dyDescent="0.5">
      <c r="A36" s="106">
        <v>1</v>
      </c>
      <c r="B36" s="106" t="s">
        <v>157</v>
      </c>
      <c r="C36" s="101">
        <f>C31</f>
        <v>11191124</v>
      </c>
      <c r="D36" s="101">
        <f t="shared" ref="D36:D45" si="14">C36/(1+$C$47)^A36</f>
        <v>10410347.906976745</v>
      </c>
      <c r="E36" s="101">
        <f t="shared" ref="E36:E45" si="15">E35+C36</f>
        <v>-93520835.590000004</v>
      </c>
      <c r="H36" s="108"/>
      <c r="J36" s="107"/>
      <c r="K36" s="109"/>
      <c r="L36" s="110"/>
    </row>
    <row r="37" spans="1:12" x14ac:dyDescent="0.5">
      <c r="A37" s="106">
        <v>2</v>
      </c>
      <c r="B37" s="106" t="s">
        <v>158</v>
      </c>
      <c r="C37" s="101">
        <f>D31</f>
        <v>15292918.217499999</v>
      </c>
      <c r="D37" s="101">
        <f t="shared" si="14"/>
        <v>13233460.869659277</v>
      </c>
      <c r="E37" s="101">
        <f t="shared" si="15"/>
        <v>-78227917.372500002</v>
      </c>
      <c r="H37" s="108"/>
      <c r="I37" s="107">
        <f>'التكاليف الاستثمارية'!B10+'رأس المال العامل'!B6</f>
        <v>104711959.59</v>
      </c>
      <c r="J37" s="111"/>
      <c r="K37" s="109"/>
      <c r="L37" s="110"/>
    </row>
    <row r="38" spans="1:12" x14ac:dyDescent="0.5">
      <c r="A38" s="106">
        <v>3</v>
      </c>
      <c r="B38" s="106" t="s">
        <v>159</v>
      </c>
      <c r="C38" s="101">
        <f>E31</f>
        <v>19890913.538975</v>
      </c>
      <c r="D38" s="101">
        <f t="shared" si="14"/>
        <v>16011401.090399589</v>
      </c>
      <c r="E38" s="101">
        <f t="shared" si="15"/>
        <v>-58337003.833525002</v>
      </c>
      <c r="H38" s="108"/>
      <c r="I38" s="111"/>
      <c r="K38" s="109"/>
      <c r="L38" s="110"/>
    </row>
    <row r="39" spans="1:12" x14ac:dyDescent="0.5">
      <c r="A39" s="106">
        <v>4</v>
      </c>
      <c r="B39" s="106" t="s">
        <v>160</v>
      </c>
      <c r="C39" s="101">
        <f>F31</f>
        <v>25684706.231765874</v>
      </c>
      <c r="D39" s="101">
        <f t="shared" si="14"/>
        <v>19232721.633496843</v>
      </c>
      <c r="E39" s="101">
        <f t="shared" si="15"/>
        <v>-32652297.601759128</v>
      </c>
      <c r="H39" s="108"/>
      <c r="I39" s="107">
        <f>'رأس المال العامل'!B6</f>
        <v>11258440</v>
      </c>
      <c r="K39" s="109"/>
      <c r="L39" s="110"/>
    </row>
    <row r="40" spans="1:12" x14ac:dyDescent="0.5">
      <c r="A40" s="106">
        <v>5</v>
      </c>
      <c r="B40" s="106" t="s">
        <v>161</v>
      </c>
      <c r="C40" s="101">
        <f>G31</f>
        <v>30903676.901946295</v>
      </c>
      <c r="D40" s="101">
        <f t="shared" si="14"/>
        <v>21526222.917409588</v>
      </c>
      <c r="E40" s="101">
        <f t="shared" si="15"/>
        <v>-1748620.6998128332</v>
      </c>
      <c r="H40" s="108"/>
      <c r="I40" s="107">
        <f>'التكاليف الاستثمارية'!B10</f>
        <v>93453519.590000004</v>
      </c>
      <c r="K40" s="109"/>
      <c r="L40" s="110"/>
    </row>
    <row r="41" spans="1:12" x14ac:dyDescent="0.5">
      <c r="A41" s="106">
        <v>6</v>
      </c>
      <c r="B41" s="106" t="s">
        <v>162</v>
      </c>
      <c r="C41" s="101">
        <f>H31</f>
        <v>37446859.495121166</v>
      </c>
      <c r="D41" s="101">
        <f t="shared" si="14"/>
        <v>24264123.940212619</v>
      </c>
      <c r="E41" s="101">
        <f t="shared" si="15"/>
        <v>35698238.795308337</v>
      </c>
      <c r="H41" s="108"/>
      <c r="I41" s="107">
        <f>SUM(I39:I40)</f>
        <v>104711959.59</v>
      </c>
      <c r="K41" s="109"/>
      <c r="L41" s="110"/>
    </row>
    <row r="42" spans="1:12" x14ac:dyDescent="0.5">
      <c r="A42" s="106">
        <v>7</v>
      </c>
      <c r="B42" s="106" t="s">
        <v>163</v>
      </c>
      <c r="C42" s="101">
        <f>I31</f>
        <v>44777256.78661678</v>
      </c>
      <c r="D42" s="101">
        <f t="shared" si="14"/>
        <v>26989710.976896264</v>
      </c>
      <c r="E42" s="101">
        <f t="shared" si="15"/>
        <v>80475495.581925124</v>
      </c>
      <c r="H42" s="108"/>
      <c r="K42" s="109"/>
    </row>
    <row r="43" spans="1:12" x14ac:dyDescent="0.5">
      <c r="A43" s="106">
        <v>8</v>
      </c>
      <c r="B43" s="106" t="s">
        <v>164</v>
      </c>
      <c r="C43" s="101">
        <f>J31</f>
        <v>52975557.334366471</v>
      </c>
      <c r="D43" s="101">
        <f t="shared" si="14"/>
        <v>29703513.312638316</v>
      </c>
      <c r="E43" s="101">
        <f t="shared" si="15"/>
        <v>133451052.91629159</v>
      </c>
      <c r="H43" s="108"/>
      <c r="K43" s="109"/>
    </row>
    <row r="44" spans="1:12" x14ac:dyDescent="0.5">
      <c r="A44" s="106">
        <v>9</v>
      </c>
      <c r="B44" s="106" t="s">
        <v>165</v>
      </c>
      <c r="C44" s="101">
        <f>K31</f>
        <v>62123413.66623196</v>
      </c>
      <c r="D44" s="101">
        <f t="shared" si="14"/>
        <v>32402545.849932153</v>
      </c>
      <c r="E44" s="101">
        <f t="shared" si="15"/>
        <v>195574466.58252355</v>
      </c>
      <c r="H44" s="108"/>
      <c r="K44" s="109"/>
    </row>
    <row r="45" spans="1:12" x14ac:dyDescent="0.5">
      <c r="A45" s="106">
        <v>10</v>
      </c>
      <c r="B45" s="106" t="s">
        <v>166</v>
      </c>
      <c r="C45" s="101">
        <f>L31</f>
        <v>72330696.153419152</v>
      </c>
      <c r="D45" s="101">
        <f t="shared" si="14"/>
        <v>35094414.603457056</v>
      </c>
      <c r="E45" s="101">
        <f t="shared" si="15"/>
        <v>267905162.73594272</v>
      </c>
      <c r="H45" s="108"/>
      <c r="K45" s="109"/>
    </row>
    <row r="46" spans="1:12" x14ac:dyDescent="0.5">
      <c r="A46" s="157" t="s">
        <v>167</v>
      </c>
      <c r="B46" s="157"/>
      <c r="C46" s="114">
        <v>0.1275</v>
      </c>
      <c r="D46" s="113"/>
      <c r="E46" s="113"/>
      <c r="H46" s="108"/>
    </row>
    <row r="47" spans="1:12" ht="18.75" customHeight="1" x14ac:dyDescent="0.5">
      <c r="A47" s="157" t="s">
        <v>168</v>
      </c>
      <c r="B47" s="157"/>
      <c r="C47" s="114">
        <v>7.4999999999999997E-2</v>
      </c>
      <c r="D47" s="115"/>
      <c r="E47" s="115"/>
      <c r="H47" s="108"/>
    </row>
    <row r="48" spans="1:12" ht="18.75" customHeight="1" x14ac:dyDescent="0.5">
      <c r="A48" s="157" t="s">
        <v>169</v>
      </c>
      <c r="B48" s="157"/>
      <c r="C48" s="101">
        <f>NPV(C47,C35:C45)</f>
        <v>115494421.87077063</v>
      </c>
      <c r="D48" s="115"/>
      <c r="E48" s="115"/>
      <c r="I48" s="116"/>
      <c r="J48" s="116"/>
      <c r="K48" s="116"/>
      <c r="L48" s="117"/>
    </row>
    <row r="49" spans="1:12" ht="18.75" customHeight="1" x14ac:dyDescent="0.5">
      <c r="A49" s="157" t="s">
        <v>170</v>
      </c>
      <c r="B49" s="157"/>
      <c r="C49" s="118">
        <f>SUM(C36:C45)/-C35</f>
        <v>3.5584963148901627</v>
      </c>
      <c r="D49" s="115"/>
      <c r="E49" s="115"/>
      <c r="L49" s="119"/>
    </row>
    <row r="50" spans="1:12" ht="18.75" customHeight="1" x14ac:dyDescent="0.5">
      <c r="A50" s="157" t="s">
        <v>171</v>
      </c>
      <c r="B50" s="157"/>
      <c r="C50" s="112">
        <f>IRR(C35:C45)</f>
        <v>0.22477672257023706</v>
      </c>
      <c r="D50" s="115"/>
      <c r="E50" s="115"/>
    </row>
    <row r="51" spans="1:12" ht="18.75" customHeight="1" x14ac:dyDescent="0.5">
      <c r="A51" s="157" t="s">
        <v>212</v>
      </c>
      <c r="B51" s="157"/>
      <c r="C51" s="158">
        <f>COUNTIF(E35:E40,"&lt;0")*80%</f>
        <v>4.8000000000000007</v>
      </c>
      <c r="D51" s="106" t="s">
        <v>172</v>
      </c>
      <c r="E51" s="115"/>
      <c r="G51" s="77">
        <f>109831359.59-34840458.2</f>
        <v>74990901.390000001</v>
      </c>
    </row>
    <row r="52" spans="1:12" ht="18.75" customHeight="1" x14ac:dyDescent="0.5">
      <c r="A52" s="127"/>
      <c r="B52" s="127"/>
      <c r="C52" s="127"/>
      <c r="D52" s="127"/>
      <c r="E52" s="115"/>
    </row>
    <row r="53" spans="1:12" x14ac:dyDescent="0.5">
      <c r="G53" s="77">
        <v>109831359.59</v>
      </c>
    </row>
    <row r="54" spans="1:12" x14ac:dyDescent="0.5">
      <c r="A54" s="96" t="s">
        <v>28</v>
      </c>
      <c r="B54" s="105" t="s">
        <v>4</v>
      </c>
      <c r="C54" s="96" t="s">
        <v>173</v>
      </c>
      <c r="G54" s="77" t="e">
        <f>G51/G55*100</f>
        <v>#DIV/0!</v>
      </c>
    </row>
    <row r="55" spans="1:12" x14ac:dyDescent="0.5">
      <c r="A55" s="87">
        <v>1</v>
      </c>
      <c r="B55" s="87" t="s">
        <v>174</v>
      </c>
      <c r="C55" s="120">
        <f>C35*-1</f>
        <v>104711959.59</v>
      </c>
    </row>
    <row r="56" spans="1:12" x14ac:dyDescent="0.5">
      <c r="A56" s="87">
        <v>4</v>
      </c>
      <c r="B56" s="87" t="s">
        <v>175</v>
      </c>
      <c r="C56" s="120">
        <f>'رأس المال العامل'!B6</f>
        <v>11258440</v>
      </c>
    </row>
    <row r="57" spans="1:12" x14ac:dyDescent="0.5">
      <c r="A57" s="87">
        <v>5</v>
      </c>
      <c r="B57" s="87" t="s">
        <v>176</v>
      </c>
      <c r="C57" s="121">
        <f>AVERAGE(C5:L5)</f>
        <v>53483734.747667596</v>
      </c>
    </row>
    <row r="58" spans="1:12" x14ac:dyDescent="0.5">
      <c r="A58" s="87">
        <v>6</v>
      </c>
      <c r="B58" s="87" t="s">
        <v>177</v>
      </c>
      <c r="C58" s="122">
        <f>MIRR(C35:C45,C50,C47)</f>
        <v>0.16243166258797515</v>
      </c>
    </row>
    <row r="59" spans="1:12" x14ac:dyDescent="0.5">
      <c r="A59" s="87">
        <v>7</v>
      </c>
      <c r="B59" s="87" t="s">
        <v>178</v>
      </c>
      <c r="C59" s="122">
        <f>(C35+SUM(C36:C45))/SUM(C36:C45)</f>
        <v>0.71898242642106935</v>
      </c>
    </row>
    <row r="61" spans="1:12" ht="17.25" customHeight="1" x14ac:dyDescent="0.5">
      <c r="A61" s="154" t="s">
        <v>179</v>
      </c>
      <c r="B61" s="154"/>
      <c r="C61" s="154"/>
      <c r="D61" s="154"/>
      <c r="E61" s="154"/>
      <c r="F61" s="154"/>
      <c r="G61" s="154"/>
      <c r="H61" s="154"/>
    </row>
    <row r="62" spans="1:12" ht="16.5" customHeight="1" x14ac:dyDescent="0.5">
      <c r="A62" s="155" t="s">
        <v>130</v>
      </c>
      <c r="B62" s="155"/>
      <c r="C62" s="155"/>
      <c r="D62" s="155"/>
      <c r="E62" s="155"/>
      <c r="F62" s="155"/>
      <c r="G62" s="155"/>
      <c r="H62" s="155"/>
    </row>
    <row r="63" spans="1:12" x14ac:dyDescent="0.5">
      <c r="A63" s="79"/>
      <c r="B63" s="80" t="s">
        <v>131</v>
      </c>
      <c r="C63" s="81">
        <v>1</v>
      </c>
      <c r="D63" s="81">
        <v>2</v>
      </c>
      <c r="E63" s="81">
        <v>3</v>
      </c>
      <c r="F63" s="81">
        <v>4</v>
      </c>
      <c r="G63" s="81">
        <v>5</v>
      </c>
      <c r="H63" s="87">
        <v>6</v>
      </c>
      <c r="I63" s="87">
        <v>7</v>
      </c>
      <c r="J63" s="87">
        <v>8</v>
      </c>
      <c r="K63" s="87">
        <v>9</v>
      </c>
      <c r="L63" s="87">
        <v>10</v>
      </c>
    </row>
    <row r="64" spans="1:12" x14ac:dyDescent="0.5">
      <c r="A64" s="80" t="s">
        <v>132</v>
      </c>
      <c r="B64" s="80" t="s">
        <v>132</v>
      </c>
      <c r="C64" s="80" t="s">
        <v>132</v>
      </c>
      <c r="D64" s="80" t="s">
        <v>132</v>
      </c>
      <c r="E64" s="80" t="s">
        <v>132</v>
      </c>
      <c r="F64" s="80" t="s">
        <v>132</v>
      </c>
      <c r="G64" s="80" t="s">
        <v>132</v>
      </c>
      <c r="H64" s="80" t="s">
        <v>132</v>
      </c>
      <c r="I64" s="80" t="s">
        <v>132</v>
      </c>
      <c r="J64" s="80" t="s">
        <v>132</v>
      </c>
      <c r="K64" s="80" t="s">
        <v>132</v>
      </c>
      <c r="L64" s="80" t="s">
        <v>132</v>
      </c>
    </row>
    <row r="65" spans="1:12" x14ac:dyDescent="0.5">
      <c r="A65" s="79" t="s">
        <v>133</v>
      </c>
      <c r="B65" s="83">
        <f>SUM(C65:L65)</f>
        <v>508095480.10284209</v>
      </c>
      <c r="C65" s="83">
        <f t="shared" ref="C65:L65" si="16">C5*95/100</f>
        <v>16041510</v>
      </c>
      <c r="D65" s="83">
        <f t="shared" si="16"/>
        <v>21497938.3125</v>
      </c>
      <c r="E65" s="83">
        <f t="shared" si="16"/>
        <v>27659345.460749999</v>
      </c>
      <c r="F65" s="83">
        <f t="shared" si="16"/>
        <v>34599940.173461244</v>
      </c>
      <c r="G65" s="83">
        <f t="shared" si="16"/>
        <v>42401118.820446901</v>
      </c>
      <c r="H65" s="83">
        <f t="shared" si="16"/>
        <v>51152136.140776709</v>
      </c>
      <c r="I65" s="83">
        <f t="shared" si="16"/>
        <v>60950837.741512462</v>
      </c>
      <c r="J65" s="83">
        <f t="shared" si="16"/>
        <v>71904460.065141782</v>
      </c>
      <c r="K65" s="83">
        <f t="shared" si="16"/>
        <v>84130504.055368856</v>
      </c>
      <c r="L65" s="83">
        <f t="shared" si="16"/>
        <v>97757689.332884103</v>
      </c>
    </row>
    <row r="66" spans="1:12" x14ac:dyDescent="0.5">
      <c r="A66" s="84" t="s">
        <v>134</v>
      </c>
      <c r="B66" s="86"/>
      <c r="C66" s="86"/>
      <c r="D66" s="86"/>
      <c r="E66" s="86"/>
      <c r="F66" s="86"/>
      <c r="G66" s="87"/>
      <c r="H66" s="87"/>
      <c r="I66" s="87"/>
      <c r="J66" s="87"/>
      <c r="K66" s="87"/>
      <c r="L66" s="87"/>
    </row>
    <row r="67" spans="1:12" x14ac:dyDescent="0.5">
      <c r="A67" s="79" t="s">
        <v>135</v>
      </c>
      <c r="B67" s="83">
        <f>SUM(C67:L67)</f>
        <v>34607152.916649416</v>
      </c>
      <c r="C67" s="83">
        <f t="shared" ref="C67:L67" si="17">C7</f>
        <v>1164600</v>
      </c>
      <c r="D67" s="83">
        <f t="shared" si="17"/>
        <v>1502246.25</v>
      </c>
      <c r="E67" s="83">
        <f t="shared" si="17"/>
        <v>1931223.06</v>
      </c>
      <c r="F67" s="83">
        <f t="shared" si="17"/>
        <v>1625910.4946699999</v>
      </c>
      <c r="G67" s="83">
        <f t="shared" si="17"/>
        <v>2955520.2346920003</v>
      </c>
      <c r="H67" s="83">
        <f t="shared" si="17"/>
        <v>3562377.0464479951</v>
      </c>
      <c r="I67" s="83">
        <f t="shared" si="17"/>
        <v>4240977.7333673388</v>
      </c>
      <c r="J67" s="83">
        <f t="shared" si="17"/>
        <v>4998536.5583964828</v>
      </c>
      <c r="K67" s="83">
        <f t="shared" si="17"/>
        <v>5842942.3203596445</v>
      </c>
      <c r="L67" s="83">
        <f t="shared" si="17"/>
        <v>6782819.2187159555</v>
      </c>
    </row>
    <row r="68" spans="1:12" x14ac:dyDescent="0.5">
      <c r="A68" s="88" t="s">
        <v>136</v>
      </c>
      <c r="B68" s="90">
        <f>SUM(C68:L68)</f>
        <v>473488327.18619263</v>
      </c>
      <c r="C68" s="90">
        <f t="shared" ref="C68:L68" si="18">C65-C67</f>
        <v>14876910</v>
      </c>
      <c r="D68" s="90">
        <f t="shared" si="18"/>
        <v>19995692.0625</v>
      </c>
      <c r="E68" s="90">
        <f t="shared" si="18"/>
        <v>25728122.40075</v>
      </c>
      <c r="F68" s="90">
        <f t="shared" si="18"/>
        <v>32974029.678791244</v>
      </c>
      <c r="G68" s="90">
        <f t="shared" si="18"/>
        <v>39445598.585754901</v>
      </c>
      <c r="H68" s="90">
        <f t="shared" si="18"/>
        <v>47589759.094328716</v>
      </c>
      <c r="I68" s="90">
        <f t="shared" si="18"/>
        <v>56709860.008145124</v>
      </c>
      <c r="J68" s="90">
        <f t="shared" si="18"/>
        <v>66905923.506745301</v>
      </c>
      <c r="K68" s="90">
        <f t="shared" si="18"/>
        <v>78287561.735009208</v>
      </c>
      <c r="L68" s="90">
        <f t="shared" si="18"/>
        <v>90974870.114168152</v>
      </c>
    </row>
    <row r="69" spans="1:12" x14ac:dyDescent="0.5">
      <c r="A69" s="84" t="s">
        <v>137</v>
      </c>
      <c r="B69" s="86"/>
      <c r="C69" s="86"/>
      <c r="D69" s="86"/>
      <c r="E69" s="86"/>
      <c r="F69" s="86"/>
      <c r="G69" s="87"/>
      <c r="H69" s="87"/>
      <c r="I69" s="87"/>
      <c r="J69" s="120"/>
      <c r="K69" s="87"/>
      <c r="L69" s="87"/>
    </row>
    <row r="70" spans="1:12" x14ac:dyDescent="0.5">
      <c r="A70" s="91" t="s">
        <v>128</v>
      </c>
      <c r="B70" s="93">
        <f>SUM(C70:L70)</f>
        <v>140453335.52369282</v>
      </c>
      <c r="C70" s="93">
        <f t="shared" ref="C70:L70" si="19">C10</f>
        <v>8812800</v>
      </c>
      <c r="D70" s="93">
        <f t="shared" si="19"/>
        <v>9694080</v>
      </c>
      <c r="E70" s="93">
        <f t="shared" si="19"/>
        <v>10663488</v>
      </c>
      <c r="F70" s="93">
        <f t="shared" si="19"/>
        <v>11729836.800000001</v>
      </c>
      <c r="G70" s="93">
        <f t="shared" si="19"/>
        <v>12902820.48</v>
      </c>
      <c r="H70" s="93">
        <f t="shared" si="19"/>
        <v>14193102.527999999</v>
      </c>
      <c r="I70" s="93">
        <f t="shared" si="19"/>
        <v>15612412.7808</v>
      </c>
      <c r="J70" s="93">
        <f t="shared" si="19"/>
        <v>17173654.058880001</v>
      </c>
      <c r="K70" s="93">
        <f t="shared" si="19"/>
        <v>18891019.464768004</v>
      </c>
      <c r="L70" s="93">
        <f t="shared" si="19"/>
        <v>20780121.411244806</v>
      </c>
    </row>
    <row r="71" spans="1:12" x14ac:dyDescent="0.5">
      <c r="A71" s="79" t="s">
        <v>138</v>
      </c>
      <c r="B71" s="83">
        <f>SUM(C71:L71)</f>
        <v>19433907.687842317</v>
      </c>
      <c r="C71" s="83">
        <f t="shared" ref="C71:L71" si="20">C11</f>
        <v>1281040</v>
      </c>
      <c r="D71" s="83">
        <f t="shared" si="20"/>
        <v>1394364.8</v>
      </c>
      <c r="E71" s="83">
        <f t="shared" si="20"/>
        <v>1518182.5360000001</v>
      </c>
      <c r="F71" s="83">
        <f t="shared" si="20"/>
        <v>1653522.73352</v>
      </c>
      <c r="G71" s="83">
        <f t="shared" si="20"/>
        <v>1801524.2868663999</v>
      </c>
      <c r="H71" s="83">
        <f t="shared" si="20"/>
        <v>1963448.4051470479</v>
      </c>
      <c r="I71" s="83">
        <f t="shared" si="20"/>
        <v>2140693.3055273416</v>
      </c>
      <c r="J71" s="83">
        <f t="shared" si="20"/>
        <v>2334810.9225362553</v>
      </c>
      <c r="K71" s="83">
        <f t="shared" si="20"/>
        <v>2556239.5607819557</v>
      </c>
      <c r="L71" s="83">
        <f t="shared" si="20"/>
        <v>2790081.1374633126</v>
      </c>
    </row>
    <row r="72" spans="1:12" x14ac:dyDescent="0.5">
      <c r="A72" s="79" t="s">
        <v>139</v>
      </c>
      <c r="B72" s="83">
        <f>SUM(C72:L72)</f>
        <v>93393745.38499999</v>
      </c>
      <c r="C72" s="83">
        <f t="shared" ref="C72:L72" si="21">C12</f>
        <v>11061526.647499999</v>
      </c>
      <c r="D72" s="83">
        <f t="shared" si="21"/>
        <v>11061526.647499999</v>
      </c>
      <c r="E72" s="83">
        <f t="shared" si="21"/>
        <v>11061526.647499999</v>
      </c>
      <c r="F72" s="83">
        <f t="shared" si="21"/>
        <v>11061526.647499999</v>
      </c>
      <c r="G72" s="83">
        <f t="shared" si="21"/>
        <v>8191273.1325000003</v>
      </c>
      <c r="H72" s="83">
        <f t="shared" si="21"/>
        <v>8191273.1325000003</v>
      </c>
      <c r="I72" s="83">
        <f t="shared" si="21"/>
        <v>8191273.1325000003</v>
      </c>
      <c r="J72" s="83">
        <f t="shared" si="21"/>
        <v>8191273.1325000003</v>
      </c>
      <c r="K72" s="83">
        <f t="shared" si="21"/>
        <v>8191273.1325000003</v>
      </c>
      <c r="L72" s="83">
        <f t="shared" si="21"/>
        <v>8191273.1325000003</v>
      </c>
    </row>
    <row r="73" spans="1:12" x14ac:dyDescent="0.5">
      <c r="A73" s="79"/>
      <c r="B73" s="83"/>
      <c r="C73" s="83"/>
      <c r="D73" s="83"/>
      <c r="E73" s="83"/>
      <c r="F73" s="83"/>
      <c r="G73" s="83"/>
      <c r="H73" s="87"/>
      <c r="I73" s="87"/>
      <c r="J73" s="87"/>
      <c r="K73" s="87"/>
      <c r="L73" s="87"/>
    </row>
    <row r="74" spans="1:12" x14ac:dyDescent="0.5">
      <c r="A74" s="88" t="s">
        <v>140</v>
      </c>
      <c r="B74" s="90">
        <f>SUM(C74:L74)</f>
        <v>220207338.58965755</v>
      </c>
      <c r="C74" s="90">
        <f t="shared" ref="C74:L74" si="22">C68-SUM(C70:C73)</f>
        <v>-6278456.6475000009</v>
      </c>
      <c r="D74" s="90">
        <f t="shared" si="22"/>
        <v>-2154279.3849999979</v>
      </c>
      <c r="E74" s="90">
        <f t="shared" si="22"/>
        <v>2484925.2172500007</v>
      </c>
      <c r="F74" s="90">
        <f t="shared" si="22"/>
        <v>8529143.4977712445</v>
      </c>
      <c r="G74" s="90">
        <f t="shared" si="22"/>
        <v>16549980.6863885</v>
      </c>
      <c r="H74" s="90">
        <f t="shared" si="22"/>
        <v>23241935.028681669</v>
      </c>
      <c r="I74" s="90">
        <f t="shared" si="22"/>
        <v>30765480.789317783</v>
      </c>
      <c r="J74" s="90">
        <f t="shared" si="22"/>
        <v>39206185.392829046</v>
      </c>
      <c r="K74" s="90">
        <f t="shared" si="22"/>
        <v>48649029.576959252</v>
      </c>
      <c r="L74" s="90">
        <f t="shared" si="22"/>
        <v>59213394.432960033</v>
      </c>
    </row>
    <row r="75" spans="1:12" x14ac:dyDescent="0.5">
      <c r="A75" s="84" t="s">
        <v>137</v>
      </c>
      <c r="B75" s="79"/>
      <c r="C75" s="79"/>
      <c r="D75" s="79"/>
      <c r="E75" s="79"/>
      <c r="F75" s="79"/>
      <c r="G75" s="87"/>
      <c r="H75" s="87"/>
      <c r="I75" s="87"/>
      <c r="J75" s="87"/>
      <c r="K75" s="87"/>
      <c r="L75" s="87"/>
    </row>
    <row r="76" spans="1:12" x14ac:dyDescent="0.5">
      <c r="A76" s="91" t="s">
        <v>141</v>
      </c>
      <c r="B76" s="95">
        <f>SUM(C76:L76)</f>
        <v>49546651.182672948</v>
      </c>
      <c r="C76" s="95">
        <f t="shared" ref="C76:L76" si="23">C74*22.5/100</f>
        <v>-1412652.7456875003</v>
      </c>
      <c r="D76" s="95">
        <f t="shared" si="23"/>
        <v>-484712.8616249995</v>
      </c>
      <c r="E76" s="95">
        <f t="shared" si="23"/>
        <v>559108.1738812502</v>
      </c>
      <c r="F76" s="95">
        <f t="shared" si="23"/>
        <v>1919057.2869985299</v>
      </c>
      <c r="G76" s="95">
        <f t="shared" si="23"/>
        <v>3723745.6544374125</v>
      </c>
      <c r="H76" s="95">
        <f t="shared" si="23"/>
        <v>5229435.3814533763</v>
      </c>
      <c r="I76" s="95">
        <f t="shared" si="23"/>
        <v>6922233.1775965011</v>
      </c>
      <c r="J76" s="95">
        <f t="shared" si="23"/>
        <v>8821391.7133865356</v>
      </c>
      <c r="K76" s="95">
        <f t="shared" si="23"/>
        <v>10946031.65481583</v>
      </c>
      <c r="L76" s="95">
        <f t="shared" si="23"/>
        <v>13323013.747416008</v>
      </c>
    </row>
    <row r="77" spans="1:12" x14ac:dyDescent="0.5">
      <c r="A77" s="96" t="s">
        <v>142</v>
      </c>
      <c r="B77" s="90">
        <f>SUM(C77:L77)</f>
        <v>170660687.40698457</v>
      </c>
      <c r="C77" s="90">
        <f t="shared" ref="C77:L77" si="24">C74-C76</f>
        <v>-4865803.9018125003</v>
      </c>
      <c r="D77" s="90">
        <f t="shared" si="24"/>
        <v>-1669566.5233749985</v>
      </c>
      <c r="E77" s="90">
        <f t="shared" si="24"/>
        <v>1925817.0433687505</v>
      </c>
      <c r="F77" s="90">
        <f t="shared" si="24"/>
        <v>6610086.2107727146</v>
      </c>
      <c r="G77" s="90">
        <f t="shared" si="24"/>
        <v>12826235.031951088</v>
      </c>
      <c r="H77" s="90">
        <f t="shared" si="24"/>
        <v>18012499.647228293</v>
      </c>
      <c r="I77" s="90">
        <f t="shared" si="24"/>
        <v>23843247.611721281</v>
      </c>
      <c r="J77" s="90">
        <f t="shared" si="24"/>
        <v>30384793.67944251</v>
      </c>
      <c r="K77" s="90">
        <f t="shared" si="24"/>
        <v>37702997.922143422</v>
      </c>
      <c r="L77" s="90">
        <f t="shared" si="24"/>
        <v>45890380.685544029</v>
      </c>
    </row>
    <row r="78" spans="1:12" x14ac:dyDescent="0.5">
      <c r="A78" s="96" t="s">
        <v>143</v>
      </c>
      <c r="B78" s="98">
        <f t="shared" ref="B78:L78" si="25">B77/B65</f>
        <v>0.33588310482990646</v>
      </c>
      <c r="C78" s="98">
        <f t="shared" si="25"/>
        <v>-0.3033258029831668</v>
      </c>
      <c r="D78" s="98">
        <f t="shared" si="25"/>
        <v>-7.7661704071605192E-2</v>
      </c>
      <c r="E78" s="98">
        <f t="shared" si="25"/>
        <v>6.9626269576826452E-2</v>
      </c>
      <c r="F78" s="98">
        <f t="shared" si="25"/>
        <v>0.19104328439974488</v>
      </c>
      <c r="G78" s="98">
        <f t="shared" si="25"/>
        <v>0.30249756112015497</v>
      </c>
      <c r="H78" s="98">
        <f t="shared" si="25"/>
        <v>0.35213582474162508</v>
      </c>
      <c r="I78" s="98">
        <f t="shared" si="25"/>
        <v>0.39118818535093075</v>
      </c>
      <c r="J78" s="98">
        <f t="shared" si="25"/>
        <v>0.42257175218220722</v>
      </c>
      <c r="K78" s="98">
        <f t="shared" si="25"/>
        <v>0.4481489603025548</v>
      </c>
      <c r="L78" s="98">
        <f t="shared" si="25"/>
        <v>0.46942988320108797</v>
      </c>
    </row>
    <row r="79" spans="1:12" x14ac:dyDescent="0.5">
      <c r="A79" s="154" t="s">
        <v>180</v>
      </c>
      <c r="B79" s="154"/>
      <c r="C79" s="154"/>
      <c r="D79" s="154"/>
      <c r="E79" s="154"/>
      <c r="F79" s="154"/>
      <c r="G79" s="154"/>
      <c r="H79" s="154"/>
    </row>
    <row r="80" spans="1:12" x14ac:dyDescent="0.5">
      <c r="A80" s="155" t="s">
        <v>130</v>
      </c>
      <c r="B80" s="155"/>
      <c r="C80" s="155"/>
      <c r="D80" s="155"/>
      <c r="E80" s="155"/>
      <c r="F80" s="155"/>
      <c r="G80" s="155"/>
      <c r="H80" s="155"/>
    </row>
    <row r="81" spans="1:12" x14ac:dyDescent="0.5">
      <c r="A81" s="79"/>
      <c r="B81" s="80" t="s">
        <v>131</v>
      </c>
      <c r="C81" s="81">
        <v>1</v>
      </c>
      <c r="D81" s="81">
        <v>2</v>
      </c>
      <c r="E81" s="81">
        <v>3</v>
      </c>
      <c r="F81" s="81">
        <v>4</v>
      </c>
      <c r="G81" s="81">
        <v>5</v>
      </c>
      <c r="H81" s="87">
        <v>6</v>
      </c>
      <c r="I81" s="87">
        <v>7</v>
      </c>
      <c r="J81" s="87">
        <v>8</v>
      </c>
      <c r="K81" s="87">
        <v>9</v>
      </c>
      <c r="L81" s="87">
        <v>10</v>
      </c>
    </row>
    <row r="82" spans="1:12" x14ac:dyDescent="0.5">
      <c r="A82" s="80" t="s">
        <v>132</v>
      </c>
      <c r="B82" s="80" t="s">
        <v>132</v>
      </c>
      <c r="C82" s="80" t="s">
        <v>132</v>
      </c>
      <c r="D82" s="80" t="s">
        <v>132</v>
      </c>
      <c r="E82" s="80" t="s">
        <v>132</v>
      </c>
      <c r="F82" s="80" t="s">
        <v>132</v>
      </c>
      <c r="G82" s="80" t="s">
        <v>132</v>
      </c>
      <c r="H82" s="80" t="s">
        <v>132</v>
      </c>
      <c r="I82" s="80" t="s">
        <v>132</v>
      </c>
      <c r="J82" s="80" t="s">
        <v>132</v>
      </c>
      <c r="K82" s="80" t="s">
        <v>132</v>
      </c>
      <c r="L82" s="80" t="s">
        <v>132</v>
      </c>
    </row>
    <row r="83" spans="1:12" x14ac:dyDescent="0.5">
      <c r="A83" s="87" t="s">
        <v>145</v>
      </c>
      <c r="B83" s="101">
        <f>SUM(C83:L83)</f>
        <v>508095480.10284209</v>
      </c>
      <c r="C83" s="101">
        <f t="shared" ref="C83:L83" si="26">C22*95/100</f>
        <v>16041510</v>
      </c>
      <c r="D83" s="101">
        <f t="shared" si="26"/>
        <v>21497938.3125</v>
      </c>
      <c r="E83" s="101">
        <f t="shared" si="26"/>
        <v>27659345.460749999</v>
      </c>
      <c r="F83" s="101">
        <f t="shared" si="26"/>
        <v>34599940.173461244</v>
      </c>
      <c r="G83" s="101">
        <f t="shared" si="26"/>
        <v>42401118.820446901</v>
      </c>
      <c r="H83" s="101">
        <f t="shared" si="26"/>
        <v>51152136.140776709</v>
      </c>
      <c r="I83" s="101">
        <f t="shared" si="26"/>
        <v>60950837.741512462</v>
      </c>
      <c r="J83" s="101">
        <f t="shared" si="26"/>
        <v>71904460.065141782</v>
      </c>
      <c r="K83" s="101">
        <f t="shared" si="26"/>
        <v>84130504.055368856</v>
      </c>
      <c r="L83" s="101">
        <f t="shared" si="26"/>
        <v>97757689.332884103</v>
      </c>
    </row>
    <row r="84" spans="1:12" x14ac:dyDescent="0.5">
      <c r="A84" s="102" t="s">
        <v>137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1:12" x14ac:dyDescent="0.5">
      <c r="A85" s="87" t="s">
        <v>146</v>
      </c>
      <c r="B85" s="101">
        <f>SUM(C85:L85)</f>
        <v>34607152.916649416</v>
      </c>
      <c r="C85" s="101">
        <f t="shared" ref="C85:L85" si="27">C24</f>
        <v>1164600</v>
      </c>
      <c r="D85" s="101">
        <f t="shared" si="27"/>
        <v>1502246.25</v>
      </c>
      <c r="E85" s="101">
        <f t="shared" si="27"/>
        <v>1931223.06</v>
      </c>
      <c r="F85" s="101">
        <f t="shared" si="27"/>
        <v>1625910.4946699999</v>
      </c>
      <c r="G85" s="101">
        <f t="shared" si="27"/>
        <v>2955520.2346920003</v>
      </c>
      <c r="H85" s="101">
        <f t="shared" si="27"/>
        <v>3562377.0464479951</v>
      </c>
      <c r="I85" s="101">
        <f t="shared" si="27"/>
        <v>4240977.7333673388</v>
      </c>
      <c r="J85" s="101">
        <f t="shared" si="27"/>
        <v>4998536.5583964828</v>
      </c>
      <c r="K85" s="101">
        <f t="shared" si="27"/>
        <v>5842942.3203596445</v>
      </c>
      <c r="L85" s="101">
        <f t="shared" si="27"/>
        <v>6782819.2187159555</v>
      </c>
    </row>
    <row r="86" spans="1:12" x14ac:dyDescent="0.5">
      <c r="A86" s="96" t="s">
        <v>147</v>
      </c>
      <c r="B86" s="103">
        <f>SUM(C86:L86)</f>
        <v>473488327.18619263</v>
      </c>
      <c r="C86" s="103">
        <f t="shared" ref="C86:L86" si="28">C83-C85</f>
        <v>14876910</v>
      </c>
      <c r="D86" s="103">
        <f t="shared" si="28"/>
        <v>19995692.0625</v>
      </c>
      <c r="E86" s="103">
        <f t="shared" si="28"/>
        <v>25728122.40075</v>
      </c>
      <c r="F86" s="103">
        <f t="shared" si="28"/>
        <v>32974029.678791244</v>
      </c>
      <c r="G86" s="103">
        <f t="shared" si="28"/>
        <v>39445598.585754901</v>
      </c>
      <c r="H86" s="103">
        <f t="shared" si="28"/>
        <v>47589759.094328716</v>
      </c>
      <c r="I86" s="103">
        <f t="shared" si="28"/>
        <v>56709860.008145124</v>
      </c>
      <c r="J86" s="103">
        <f t="shared" si="28"/>
        <v>66905923.506745301</v>
      </c>
      <c r="K86" s="103">
        <f t="shared" si="28"/>
        <v>78287561.735009208</v>
      </c>
      <c r="L86" s="103">
        <f t="shared" si="28"/>
        <v>90974870.114168152</v>
      </c>
    </row>
    <row r="87" spans="1:12" x14ac:dyDescent="0.5">
      <c r="A87" s="79" t="s">
        <v>138</v>
      </c>
      <c r="B87" s="101">
        <f>SUM(C87:L87)</f>
        <v>19433907.687842317</v>
      </c>
      <c r="C87" s="101">
        <f t="shared" ref="C87:L87" si="29">C71</f>
        <v>1281040</v>
      </c>
      <c r="D87" s="101">
        <f t="shared" si="29"/>
        <v>1394364.8</v>
      </c>
      <c r="E87" s="101">
        <f t="shared" si="29"/>
        <v>1518182.5360000001</v>
      </c>
      <c r="F87" s="101">
        <f t="shared" si="29"/>
        <v>1653522.73352</v>
      </c>
      <c r="G87" s="101">
        <f t="shared" si="29"/>
        <v>1801524.2868663999</v>
      </c>
      <c r="H87" s="101">
        <f t="shared" si="29"/>
        <v>1963448.4051470479</v>
      </c>
      <c r="I87" s="101">
        <f t="shared" si="29"/>
        <v>2140693.3055273416</v>
      </c>
      <c r="J87" s="101">
        <f t="shared" si="29"/>
        <v>2334810.9225362553</v>
      </c>
      <c r="K87" s="101">
        <f t="shared" si="29"/>
        <v>2556239.5607819557</v>
      </c>
      <c r="L87" s="101">
        <f t="shared" si="29"/>
        <v>2790081.1374633126</v>
      </c>
    </row>
    <row r="88" spans="1:12" x14ac:dyDescent="0.5">
      <c r="A88" s="104" t="s">
        <v>148</v>
      </c>
      <c r="B88" s="103">
        <f>SUM(C88:L88)</f>
        <v>454054419.49835026</v>
      </c>
      <c r="C88" s="103">
        <f t="shared" ref="C88:L88" si="30">C86-C87</f>
        <v>13595870</v>
      </c>
      <c r="D88" s="103">
        <f t="shared" si="30"/>
        <v>18601327.262499999</v>
      </c>
      <c r="E88" s="103">
        <f t="shared" si="30"/>
        <v>24209939.864750002</v>
      </c>
      <c r="F88" s="103">
        <f t="shared" si="30"/>
        <v>31320506.945271242</v>
      </c>
      <c r="G88" s="103">
        <f t="shared" si="30"/>
        <v>37644074.298888505</v>
      </c>
      <c r="H88" s="103">
        <f t="shared" si="30"/>
        <v>45626310.689181671</v>
      </c>
      <c r="I88" s="103">
        <f t="shared" si="30"/>
        <v>54569166.702617779</v>
      </c>
      <c r="J88" s="103">
        <f t="shared" si="30"/>
        <v>64571112.584209047</v>
      </c>
      <c r="K88" s="103">
        <f t="shared" si="30"/>
        <v>75731322.174227253</v>
      </c>
      <c r="L88" s="103">
        <f t="shared" si="30"/>
        <v>88184788.976704836</v>
      </c>
    </row>
    <row r="89" spans="1:12" x14ac:dyDescent="0.5">
      <c r="A89" s="87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1:12" x14ac:dyDescent="0.5">
      <c r="A90" s="96" t="s">
        <v>149</v>
      </c>
      <c r="B90" s="103">
        <f>SUM(C90:L90)</f>
        <v>454054419.49835026</v>
      </c>
      <c r="C90" s="103">
        <f t="shared" ref="C90:L90" si="31">C88-C89</f>
        <v>13595870</v>
      </c>
      <c r="D90" s="103">
        <f t="shared" si="31"/>
        <v>18601327.262499999</v>
      </c>
      <c r="E90" s="103">
        <f t="shared" si="31"/>
        <v>24209939.864750002</v>
      </c>
      <c r="F90" s="103">
        <f t="shared" si="31"/>
        <v>31320506.945271242</v>
      </c>
      <c r="G90" s="103">
        <f t="shared" si="31"/>
        <v>37644074.298888505</v>
      </c>
      <c r="H90" s="103">
        <f t="shared" si="31"/>
        <v>45626310.689181671</v>
      </c>
      <c r="I90" s="103">
        <f t="shared" si="31"/>
        <v>54569166.702617779</v>
      </c>
      <c r="J90" s="103">
        <f t="shared" si="31"/>
        <v>64571112.584209047</v>
      </c>
      <c r="K90" s="103">
        <f t="shared" si="31"/>
        <v>75731322.174227253</v>
      </c>
      <c r="L90" s="103">
        <f t="shared" si="31"/>
        <v>88184788.976704836</v>
      </c>
    </row>
    <row r="91" spans="1:12" x14ac:dyDescent="0.5">
      <c r="A91" s="87" t="s">
        <v>150</v>
      </c>
      <c r="B91" s="101">
        <f>SUM(C91:L91)</f>
        <v>102162244.38712882</v>
      </c>
      <c r="C91" s="101">
        <f t="shared" ref="C91:L91" si="32">C90*22.5/100</f>
        <v>3059070.75</v>
      </c>
      <c r="D91" s="101">
        <f t="shared" si="32"/>
        <v>4185298.6340625002</v>
      </c>
      <c r="E91" s="101">
        <f t="shared" si="32"/>
        <v>5447236.4695687508</v>
      </c>
      <c r="F91" s="101">
        <f t="shared" si="32"/>
        <v>7047114.0626860298</v>
      </c>
      <c r="G91" s="101">
        <f t="shared" si="32"/>
        <v>8469916.7172499131</v>
      </c>
      <c r="H91" s="101">
        <f t="shared" si="32"/>
        <v>10265919.905065876</v>
      </c>
      <c r="I91" s="101">
        <f t="shared" si="32"/>
        <v>12278062.508089</v>
      </c>
      <c r="J91" s="101">
        <f t="shared" si="32"/>
        <v>14528500.331447037</v>
      </c>
      <c r="K91" s="101">
        <f t="shared" si="32"/>
        <v>17039547.489201132</v>
      </c>
      <c r="L91" s="101">
        <f t="shared" si="32"/>
        <v>19841577.519758586</v>
      </c>
    </row>
    <row r="92" spans="1:12" x14ac:dyDescent="0.5">
      <c r="A92" s="96" t="s">
        <v>151</v>
      </c>
      <c r="B92" s="103">
        <f>SUM(C92:L92)</f>
        <v>351892175.11122149</v>
      </c>
      <c r="C92" s="103">
        <f t="shared" ref="C92:L92" si="33">C90-C91</f>
        <v>10536799.25</v>
      </c>
      <c r="D92" s="103">
        <f t="shared" si="33"/>
        <v>14416028.628437499</v>
      </c>
      <c r="E92" s="103">
        <f t="shared" si="33"/>
        <v>18762703.39518125</v>
      </c>
      <c r="F92" s="103">
        <f t="shared" si="33"/>
        <v>24273392.882585213</v>
      </c>
      <c r="G92" s="103">
        <f t="shared" si="33"/>
        <v>29174157.58163859</v>
      </c>
      <c r="H92" s="103">
        <f t="shared" si="33"/>
        <v>35360390.784115791</v>
      </c>
      <c r="I92" s="103">
        <f t="shared" si="33"/>
        <v>42291104.194528781</v>
      </c>
      <c r="J92" s="103">
        <f t="shared" si="33"/>
        <v>50042612.252762012</v>
      </c>
      <c r="K92" s="103">
        <f t="shared" si="33"/>
        <v>58691774.685026124</v>
      </c>
      <c r="L92" s="103">
        <f t="shared" si="33"/>
        <v>68343211.456946254</v>
      </c>
    </row>
    <row r="93" spans="1:12" x14ac:dyDescent="0.5">
      <c r="A93" s="96" t="s">
        <v>152</v>
      </c>
      <c r="B93" s="103">
        <f>SUM(C93:L93)</f>
        <v>1411993541.2692943</v>
      </c>
      <c r="C93" s="103">
        <f>C92</f>
        <v>10536799.25</v>
      </c>
      <c r="D93" s="103">
        <f t="shared" ref="D93:L93" si="34">C93+D92</f>
        <v>24952827.878437497</v>
      </c>
      <c r="E93" s="103">
        <f t="shared" si="34"/>
        <v>43715531.273618743</v>
      </c>
      <c r="F93" s="103">
        <f t="shared" si="34"/>
        <v>67988924.156203955</v>
      </c>
      <c r="G93" s="103">
        <f t="shared" si="34"/>
        <v>97163081.737842545</v>
      </c>
      <c r="H93" s="103">
        <f t="shared" si="34"/>
        <v>132523472.52195834</v>
      </c>
      <c r="I93" s="103">
        <f t="shared" si="34"/>
        <v>174814576.71648711</v>
      </c>
      <c r="J93" s="103">
        <f t="shared" si="34"/>
        <v>224857188.96924913</v>
      </c>
      <c r="K93" s="103">
        <f t="shared" si="34"/>
        <v>283548963.65427524</v>
      </c>
      <c r="L93" s="103">
        <f t="shared" si="34"/>
        <v>351892175.11122149</v>
      </c>
    </row>
    <row r="96" spans="1:12" ht="17.25" customHeight="1" x14ac:dyDescent="0.5">
      <c r="A96" s="154" t="s">
        <v>181</v>
      </c>
      <c r="B96" s="154"/>
      <c r="C96" s="154"/>
      <c r="D96" s="154"/>
      <c r="E96" s="154"/>
      <c r="F96" s="154"/>
      <c r="G96" s="154"/>
      <c r="H96" s="154"/>
    </row>
    <row r="97" spans="1:12" ht="16.5" customHeight="1" x14ac:dyDescent="0.5">
      <c r="A97" s="155" t="s">
        <v>130</v>
      </c>
      <c r="B97" s="155"/>
      <c r="C97" s="155"/>
      <c r="D97" s="155"/>
      <c r="E97" s="155"/>
      <c r="F97" s="155"/>
      <c r="G97" s="155"/>
      <c r="H97" s="155"/>
    </row>
    <row r="98" spans="1:12" x14ac:dyDescent="0.5">
      <c r="A98" s="79"/>
      <c r="B98" s="80" t="s">
        <v>131</v>
      </c>
      <c r="C98" s="81">
        <v>1</v>
      </c>
      <c r="D98" s="81">
        <v>2</v>
      </c>
      <c r="E98" s="81">
        <v>3</v>
      </c>
      <c r="F98" s="81">
        <v>4</v>
      </c>
      <c r="G98" s="81">
        <v>5</v>
      </c>
      <c r="H98" s="87">
        <v>6</v>
      </c>
      <c r="I98" s="87">
        <v>7</v>
      </c>
      <c r="J98" s="87">
        <v>8</v>
      </c>
      <c r="K98" s="87">
        <v>9</v>
      </c>
      <c r="L98" s="87">
        <v>10</v>
      </c>
    </row>
    <row r="99" spans="1:12" x14ac:dyDescent="0.5">
      <c r="A99" s="80" t="s">
        <v>132</v>
      </c>
      <c r="B99" s="80" t="s">
        <v>132</v>
      </c>
      <c r="C99" s="80" t="s">
        <v>132</v>
      </c>
      <c r="D99" s="80" t="s">
        <v>132</v>
      </c>
      <c r="E99" s="80" t="s">
        <v>132</v>
      </c>
      <c r="F99" s="80" t="s">
        <v>132</v>
      </c>
      <c r="G99" s="80" t="s">
        <v>132</v>
      </c>
      <c r="H99" s="80" t="s">
        <v>132</v>
      </c>
      <c r="I99" s="80" t="s">
        <v>132</v>
      </c>
      <c r="J99" s="80" t="s">
        <v>132</v>
      </c>
      <c r="K99" s="80" t="s">
        <v>132</v>
      </c>
      <c r="L99" s="80" t="s">
        <v>132</v>
      </c>
    </row>
    <row r="100" spans="1:12" x14ac:dyDescent="0.5">
      <c r="A100" s="79" t="s">
        <v>133</v>
      </c>
      <c r="B100" s="83">
        <f>SUM(C100:L100)</f>
        <v>481353612.72900832</v>
      </c>
      <c r="C100" s="83">
        <f t="shared" ref="C100:L100" si="35">C5*90/100</f>
        <v>15197220</v>
      </c>
      <c r="D100" s="83">
        <f t="shared" si="35"/>
        <v>20366467.875</v>
      </c>
      <c r="E100" s="83">
        <f t="shared" si="35"/>
        <v>26203590.436500002</v>
      </c>
      <c r="F100" s="83">
        <f t="shared" si="35"/>
        <v>32778890.690647498</v>
      </c>
      <c r="G100" s="83">
        <f t="shared" si="35"/>
        <v>40169480.987791799</v>
      </c>
      <c r="H100" s="83">
        <f t="shared" si="35"/>
        <v>48459918.449156888</v>
      </c>
      <c r="I100" s="83">
        <f t="shared" si="35"/>
        <v>57742898.913011797</v>
      </c>
      <c r="J100" s="83">
        <f t="shared" si="35"/>
        <v>68120014.798555374</v>
      </c>
      <c r="K100" s="83">
        <f t="shared" si="35"/>
        <v>79702582.789296821</v>
      </c>
      <c r="L100" s="83">
        <f t="shared" si="35"/>
        <v>92612547.789048105</v>
      </c>
    </row>
    <row r="101" spans="1:12" x14ac:dyDescent="0.5">
      <c r="A101" s="84" t="s">
        <v>134</v>
      </c>
      <c r="B101" s="86"/>
      <c r="C101" s="86"/>
      <c r="D101" s="86"/>
      <c r="E101" s="86"/>
      <c r="F101" s="86"/>
      <c r="G101" s="87"/>
      <c r="H101" s="87"/>
      <c r="I101" s="87"/>
      <c r="J101" s="87"/>
      <c r="K101" s="87"/>
      <c r="L101" s="87"/>
    </row>
    <row r="102" spans="1:12" x14ac:dyDescent="0.5">
      <c r="A102" s="79" t="s">
        <v>135</v>
      </c>
      <c r="B102" s="83">
        <f>SUM(C102:L102)</f>
        <v>34607152.916649416</v>
      </c>
      <c r="C102" s="83">
        <f t="shared" ref="C102:L102" si="36">C7</f>
        <v>1164600</v>
      </c>
      <c r="D102" s="83">
        <f t="shared" si="36"/>
        <v>1502246.25</v>
      </c>
      <c r="E102" s="83">
        <f t="shared" si="36"/>
        <v>1931223.06</v>
      </c>
      <c r="F102" s="83">
        <f t="shared" si="36"/>
        <v>1625910.4946699999</v>
      </c>
      <c r="G102" s="83">
        <f t="shared" si="36"/>
        <v>2955520.2346920003</v>
      </c>
      <c r="H102" s="83">
        <f t="shared" si="36"/>
        <v>3562377.0464479951</v>
      </c>
      <c r="I102" s="83">
        <f t="shared" si="36"/>
        <v>4240977.7333673388</v>
      </c>
      <c r="J102" s="83">
        <f t="shared" si="36"/>
        <v>4998536.5583964828</v>
      </c>
      <c r="K102" s="83">
        <f t="shared" si="36"/>
        <v>5842942.3203596445</v>
      </c>
      <c r="L102" s="83">
        <f t="shared" si="36"/>
        <v>6782819.2187159555</v>
      </c>
    </row>
    <row r="103" spans="1:12" x14ac:dyDescent="0.5">
      <c r="A103" s="88" t="s">
        <v>136</v>
      </c>
      <c r="B103" s="90">
        <f>SUM(C103:L103)</f>
        <v>446746459.81235892</v>
      </c>
      <c r="C103" s="90">
        <f t="shared" ref="C103:L103" si="37">C100-C102</f>
        <v>14032620</v>
      </c>
      <c r="D103" s="90">
        <f t="shared" si="37"/>
        <v>18864221.625</v>
      </c>
      <c r="E103" s="90">
        <f t="shared" si="37"/>
        <v>24272367.376500003</v>
      </c>
      <c r="F103" s="90">
        <f t="shared" si="37"/>
        <v>31152980.195977498</v>
      </c>
      <c r="G103" s="90">
        <f t="shared" si="37"/>
        <v>37213960.753099799</v>
      </c>
      <c r="H103" s="90">
        <f t="shared" si="37"/>
        <v>44897541.402708896</v>
      </c>
      <c r="I103" s="90">
        <f t="shared" si="37"/>
        <v>53501921.179644458</v>
      </c>
      <c r="J103" s="90">
        <f t="shared" si="37"/>
        <v>63121478.240158893</v>
      </c>
      <c r="K103" s="90">
        <f t="shared" si="37"/>
        <v>73859640.468937173</v>
      </c>
      <c r="L103" s="90">
        <f t="shared" si="37"/>
        <v>85829728.570332155</v>
      </c>
    </row>
    <row r="104" spans="1:12" x14ac:dyDescent="0.5">
      <c r="A104" s="84" t="s">
        <v>137</v>
      </c>
      <c r="B104" s="86"/>
      <c r="C104" s="86"/>
      <c r="D104" s="86"/>
      <c r="E104" s="86"/>
      <c r="F104" s="86"/>
      <c r="G104" s="87"/>
      <c r="H104" s="87"/>
      <c r="I104" s="87"/>
      <c r="J104" s="87"/>
      <c r="K104" s="87"/>
      <c r="L104" s="87"/>
    </row>
    <row r="105" spans="1:12" x14ac:dyDescent="0.5">
      <c r="A105" s="91" t="s">
        <v>128</v>
      </c>
      <c r="B105" s="93">
        <f>SUM(C105:L105)</f>
        <v>140453335.52369282</v>
      </c>
      <c r="C105" s="93">
        <f t="shared" ref="C105:L105" si="38">C10</f>
        <v>8812800</v>
      </c>
      <c r="D105" s="93">
        <f t="shared" si="38"/>
        <v>9694080</v>
      </c>
      <c r="E105" s="93">
        <f t="shared" si="38"/>
        <v>10663488</v>
      </c>
      <c r="F105" s="93">
        <f t="shared" si="38"/>
        <v>11729836.800000001</v>
      </c>
      <c r="G105" s="93">
        <f t="shared" si="38"/>
        <v>12902820.48</v>
      </c>
      <c r="H105" s="93">
        <f t="shared" si="38"/>
        <v>14193102.527999999</v>
      </c>
      <c r="I105" s="93">
        <f t="shared" si="38"/>
        <v>15612412.7808</v>
      </c>
      <c r="J105" s="93">
        <f t="shared" si="38"/>
        <v>17173654.058880001</v>
      </c>
      <c r="K105" s="93">
        <f t="shared" si="38"/>
        <v>18891019.464768004</v>
      </c>
      <c r="L105" s="93">
        <f t="shared" si="38"/>
        <v>20780121.411244806</v>
      </c>
    </row>
    <row r="106" spans="1:12" x14ac:dyDescent="0.5">
      <c r="A106" s="79" t="s">
        <v>138</v>
      </c>
      <c r="B106" s="83">
        <f>SUM(C106:L106)</f>
        <v>19433907.687842317</v>
      </c>
      <c r="C106" s="83">
        <f t="shared" ref="C106:L106" si="39">C11</f>
        <v>1281040</v>
      </c>
      <c r="D106" s="83">
        <f t="shared" si="39"/>
        <v>1394364.8</v>
      </c>
      <c r="E106" s="83">
        <f t="shared" si="39"/>
        <v>1518182.5360000001</v>
      </c>
      <c r="F106" s="83">
        <f t="shared" si="39"/>
        <v>1653522.73352</v>
      </c>
      <c r="G106" s="83">
        <f t="shared" si="39"/>
        <v>1801524.2868663999</v>
      </c>
      <c r="H106" s="83">
        <f t="shared" si="39"/>
        <v>1963448.4051470479</v>
      </c>
      <c r="I106" s="83">
        <f t="shared" si="39"/>
        <v>2140693.3055273416</v>
      </c>
      <c r="J106" s="83">
        <f t="shared" si="39"/>
        <v>2334810.9225362553</v>
      </c>
      <c r="K106" s="83">
        <f t="shared" si="39"/>
        <v>2556239.5607819557</v>
      </c>
      <c r="L106" s="83">
        <f t="shared" si="39"/>
        <v>2790081.1374633126</v>
      </c>
    </row>
    <row r="107" spans="1:12" x14ac:dyDescent="0.5">
      <c r="A107" s="79" t="s">
        <v>139</v>
      </c>
      <c r="B107" s="83">
        <f>SUM(C107:L107)</f>
        <v>93393745.38499999</v>
      </c>
      <c r="C107" s="83">
        <f t="shared" ref="C107:L107" si="40">C12</f>
        <v>11061526.647499999</v>
      </c>
      <c r="D107" s="83">
        <f t="shared" si="40"/>
        <v>11061526.647499999</v>
      </c>
      <c r="E107" s="83">
        <f t="shared" si="40"/>
        <v>11061526.647499999</v>
      </c>
      <c r="F107" s="83">
        <f t="shared" si="40"/>
        <v>11061526.647499999</v>
      </c>
      <c r="G107" s="83">
        <f t="shared" si="40"/>
        <v>8191273.1325000003</v>
      </c>
      <c r="H107" s="83">
        <f t="shared" si="40"/>
        <v>8191273.1325000003</v>
      </c>
      <c r="I107" s="83">
        <f t="shared" si="40"/>
        <v>8191273.1325000003</v>
      </c>
      <c r="J107" s="83">
        <f t="shared" si="40"/>
        <v>8191273.1325000003</v>
      </c>
      <c r="K107" s="83">
        <f t="shared" si="40"/>
        <v>8191273.1325000003</v>
      </c>
      <c r="L107" s="83">
        <f t="shared" si="40"/>
        <v>8191273.1325000003</v>
      </c>
    </row>
    <row r="108" spans="1:12" x14ac:dyDescent="0.5">
      <c r="A108" s="79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1:12" x14ac:dyDescent="0.5">
      <c r="A109" s="88" t="s">
        <v>140</v>
      </c>
      <c r="B109" s="90">
        <f>SUM(C109:L109)</f>
        <v>193465471.21582377</v>
      </c>
      <c r="C109" s="90">
        <f t="shared" ref="C109:L109" si="41">C103-SUM(C105:C108)</f>
        <v>-7122746.6475000009</v>
      </c>
      <c r="D109" s="90">
        <f t="shared" si="41"/>
        <v>-3285749.8224999979</v>
      </c>
      <c r="E109" s="90">
        <f t="shared" si="41"/>
        <v>1029170.1930000037</v>
      </c>
      <c r="F109" s="90">
        <f t="shared" si="41"/>
        <v>6708094.0149574988</v>
      </c>
      <c r="G109" s="90">
        <f t="shared" si="41"/>
        <v>14318342.853733398</v>
      </c>
      <c r="H109" s="90">
        <f t="shared" si="41"/>
        <v>20549717.337061848</v>
      </c>
      <c r="I109" s="90">
        <f t="shared" si="41"/>
        <v>27557541.960817117</v>
      </c>
      <c r="J109" s="90">
        <f t="shared" si="41"/>
        <v>35421740.126242638</v>
      </c>
      <c r="K109" s="90">
        <f t="shared" si="41"/>
        <v>44221108.310887218</v>
      </c>
      <c r="L109" s="90">
        <f t="shared" si="41"/>
        <v>54068252.889124036</v>
      </c>
    </row>
    <row r="110" spans="1:12" x14ac:dyDescent="0.5">
      <c r="A110" s="84" t="s">
        <v>137</v>
      </c>
      <c r="B110" s="79"/>
      <c r="C110" s="79"/>
      <c r="D110" s="79"/>
      <c r="E110" s="79"/>
      <c r="F110" s="79"/>
      <c r="G110" s="87"/>
      <c r="H110" s="87"/>
      <c r="I110" s="87"/>
      <c r="J110" s="87"/>
      <c r="K110" s="87"/>
      <c r="L110" s="87"/>
    </row>
    <row r="111" spans="1:12" x14ac:dyDescent="0.5">
      <c r="A111" s="91" t="s">
        <v>141</v>
      </c>
      <c r="B111" s="95">
        <f>SUM(C111:L111)</f>
        <v>43529731.023560345</v>
      </c>
      <c r="C111" s="95">
        <f t="shared" ref="C111:L111" si="42">C109*22.5/100</f>
        <v>-1602617.9956875003</v>
      </c>
      <c r="D111" s="95">
        <f t="shared" si="42"/>
        <v>-739293.71006249951</v>
      </c>
      <c r="E111" s="95">
        <f t="shared" si="42"/>
        <v>231563.29342500083</v>
      </c>
      <c r="F111" s="95">
        <f t="shared" si="42"/>
        <v>1509321.1533654372</v>
      </c>
      <c r="G111" s="95">
        <f t="shared" si="42"/>
        <v>3221627.1420900146</v>
      </c>
      <c r="H111" s="95">
        <f t="shared" si="42"/>
        <v>4623686.4008389153</v>
      </c>
      <c r="I111" s="95">
        <f t="shared" si="42"/>
        <v>6200446.941183852</v>
      </c>
      <c r="J111" s="95">
        <f t="shared" si="42"/>
        <v>7969891.5284045935</v>
      </c>
      <c r="K111" s="95">
        <f t="shared" si="42"/>
        <v>9949749.3699496239</v>
      </c>
      <c r="L111" s="95">
        <f t="shared" si="42"/>
        <v>12165356.900052907</v>
      </c>
    </row>
    <row r="112" spans="1:12" x14ac:dyDescent="0.5">
      <c r="A112" s="96" t="s">
        <v>142</v>
      </c>
      <c r="B112" s="90">
        <f>SUM(C112:L112)</f>
        <v>149935740.19226342</v>
      </c>
      <c r="C112" s="90">
        <f t="shared" ref="C112:L112" si="43">C109-C111</f>
        <v>-5520128.6518125003</v>
      </c>
      <c r="D112" s="90">
        <f t="shared" si="43"/>
        <v>-2546456.1124374983</v>
      </c>
      <c r="E112" s="90">
        <f t="shared" si="43"/>
        <v>797606.89957500284</v>
      </c>
      <c r="F112" s="90">
        <f t="shared" si="43"/>
        <v>5198772.8615920618</v>
      </c>
      <c r="G112" s="90">
        <f t="shared" si="43"/>
        <v>11096715.711643383</v>
      </c>
      <c r="H112" s="90">
        <f t="shared" si="43"/>
        <v>15926030.936222933</v>
      </c>
      <c r="I112" s="90">
        <f t="shared" si="43"/>
        <v>21357095.019633263</v>
      </c>
      <c r="J112" s="90">
        <f t="shared" si="43"/>
        <v>27451848.597838044</v>
      </c>
      <c r="K112" s="90">
        <f t="shared" si="43"/>
        <v>34271358.940937594</v>
      </c>
      <c r="L112" s="90">
        <f t="shared" si="43"/>
        <v>41902895.989071131</v>
      </c>
    </row>
    <row r="113" spans="1:12" x14ac:dyDescent="0.5">
      <c r="A113" s="96" t="s">
        <v>143</v>
      </c>
      <c r="B113" s="98">
        <f t="shared" ref="B113:L113" si="44">B112/B100</f>
        <v>0.31148772176490136</v>
      </c>
      <c r="C113" s="98">
        <f t="shared" si="44"/>
        <v>-0.36323279203778719</v>
      </c>
      <c r="D113" s="98">
        <f t="shared" si="44"/>
        <v>-0.12503179874224993</v>
      </c>
      <c r="E113" s="98">
        <f t="shared" si="44"/>
        <v>3.0438840108872451E-2</v>
      </c>
      <c r="F113" s="98">
        <f t="shared" si="44"/>
        <v>0.15860124464417524</v>
      </c>
      <c r="G113" s="98">
        <f t="shared" si="44"/>
        <v>0.27624742562683013</v>
      </c>
      <c r="H113" s="98">
        <f t="shared" si="44"/>
        <v>0.32864337056060433</v>
      </c>
      <c r="I113" s="98">
        <f t="shared" si="44"/>
        <v>0.36986530675931567</v>
      </c>
      <c r="J113" s="98">
        <f t="shared" si="44"/>
        <v>0.40299240508121875</v>
      </c>
      <c r="K113" s="98">
        <f t="shared" si="44"/>
        <v>0.42999056920825229</v>
      </c>
      <c r="L113" s="98">
        <f t="shared" si="44"/>
        <v>0.45245376560114847</v>
      </c>
    </row>
    <row r="114" spans="1:12" x14ac:dyDescent="0.5">
      <c r="A114" s="154" t="s">
        <v>182</v>
      </c>
      <c r="B114" s="154"/>
      <c r="C114" s="154"/>
      <c r="D114" s="154"/>
      <c r="E114" s="154"/>
      <c r="F114" s="154"/>
      <c r="G114" s="154"/>
      <c r="H114" s="154"/>
    </row>
    <row r="115" spans="1:12" x14ac:dyDescent="0.5">
      <c r="A115" s="155" t="s">
        <v>130</v>
      </c>
      <c r="B115" s="155"/>
      <c r="C115" s="155"/>
      <c r="D115" s="155"/>
      <c r="E115" s="155"/>
      <c r="F115" s="155"/>
      <c r="G115" s="155"/>
      <c r="H115" s="155"/>
    </row>
    <row r="116" spans="1:12" x14ac:dyDescent="0.5">
      <c r="A116" s="79"/>
      <c r="B116" s="80" t="s">
        <v>131</v>
      </c>
      <c r="C116" s="81">
        <v>1</v>
      </c>
      <c r="D116" s="81">
        <v>2</v>
      </c>
      <c r="E116" s="81">
        <v>3</v>
      </c>
      <c r="F116" s="81">
        <v>4</v>
      </c>
      <c r="G116" s="81">
        <v>5</v>
      </c>
      <c r="H116" s="87">
        <v>6</v>
      </c>
      <c r="I116" s="87">
        <v>7</v>
      </c>
      <c r="J116" s="87">
        <v>8</v>
      </c>
      <c r="K116" s="87">
        <v>9</v>
      </c>
      <c r="L116" s="87">
        <v>10</v>
      </c>
    </row>
    <row r="117" spans="1:12" x14ac:dyDescent="0.5">
      <c r="A117" s="80" t="s">
        <v>132</v>
      </c>
      <c r="B117" s="80" t="s">
        <v>132</v>
      </c>
      <c r="C117" s="80" t="s">
        <v>132</v>
      </c>
      <c r="D117" s="80" t="s">
        <v>132</v>
      </c>
      <c r="E117" s="80" t="s">
        <v>132</v>
      </c>
      <c r="F117" s="80" t="s">
        <v>132</v>
      </c>
      <c r="G117" s="80" t="s">
        <v>132</v>
      </c>
      <c r="H117" s="80" t="s">
        <v>132</v>
      </c>
      <c r="I117" s="80" t="s">
        <v>132</v>
      </c>
      <c r="J117" s="80" t="s">
        <v>132</v>
      </c>
      <c r="K117" s="80" t="s">
        <v>132</v>
      </c>
      <c r="L117" s="80" t="s">
        <v>132</v>
      </c>
    </row>
    <row r="118" spans="1:12" x14ac:dyDescent="0.5">
      <c r="A118" s="87" t="s">
        <v>145</v>
      </c>
      <c r="B118" s="101">
        <f>SUM(C118:L118)</f>
        <v>481353612.72900832</v>
      </c>
      <c r="C118" s="101">
        <f t="shared" ref="C118:L118" si="45">C22*90/100</f>
        <v>15197220</v>
      </c>
      <c r="D118" s="101">
        <f t="shared" si="45"/>
        <v>20366467.875</v>
      </c>
      <c r="E118" s="101">
        <f t="shared" si="45"/>
        <v>26203590.436500002</v>
      </c>
      <c r="F118" s="101">
        <f t="shared" si="45"/>
        <v>32778890.690647498</v>
      </c>
      <c r="G118" s="101">
        <f t="shared" si="45"/>
        <v>40169480.987791799</v>
      </c>
      <c r="H118" s="101">
        <f t="shared" si="45"/>
        <v>48459918.449156888</v>
      </c>
      <c r="I118" s="101">
        <f t="shared" si="45"/>
        <v>57742898.913011797</v>
      </c>
      <c r="J118" s="101">
        <f t="shared" si="45"/>
        <v>68120014.798555374</v>
      </c>
      <c r="K118" s="101">
        <f t="shared" si="45"/>
        <v>79702582.789296821</v>
      </c>
      <c r="L118" s="101">
        <f t="shared" si="45"/>
        <v>92612547.789048105</v>
      </c>
    </row>
    <row r="119" spans="1:12" x14ac:dyDescent="0.5">
      <c r="A119" s="102" t="s">
        <v>137</v>
      </c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1:12" x14ac:dyDescent="0.5">
      <c r="A120" s="87" t="s">
        <v>146</v>
      </c>
      <c r="B120" s="101">
        <f>SUM(C120:L120)</f>
        <v>34607152.916649416</v>
      </c>
      <c r="C120" s="101">
        <f t="shared" ref="C120:L120" si="46">C24</f>
        <v>1164600</v>
      </c>
      <c r="D120" s="101">
        <f t="shared" si="46"/>
        <v>1502246.25</v>
      </c>
      <c r="E120" s="101">
        <f t="shared" si="46"/>
        <v>1931223.06</v>
      </c>
      <c r="F120" s="101">
        <f t="shared" si="46"/>
        <v>1625910.4946699999</v>
      </c>
      <c r="G120" s="101">
        <f t="shared" si="46"/>
        <v>2955520.2346920003</v>
      </c>
      <c r="H120" s="101">
        <f t="shared" si="46"/>
        <v>3562377.0464479951</v>
      </c>
      <c r="I120" s="101">
        <f t="shared" si="46"/>
        <v>4240977.7333673388</v>
      </c>
      <c r="J120" s="101">
        <f t="shared" si="46"/>
        <v>4998536.5583964828</v>
      </c>
      <c r="K120" s="101">
        <f t="shared" si="46"/>
        <v>5842942.3203596445</v>
      </c>
      <c r="L120" s="101">
        <f t="shared" si="46"/>
        <v>6782819.2187159555</v>
      </c>
    </row>
    <row r="121" spans="1:12" x14ac:dyDescent="0.5">
      <c r="A121" s="96" t="s">
        <v>147</v>
      </c>
      <c r="B121" s="103">
        <f>SUM(C121:L121)</f>
        <v>446746459.81235892</v>
      </c>
      <c r="C121" s="103">
        <f t="shared" ref="C121:L121" si="47">C118-C120</f>
        <v>14032620</v>
      </c>
      <c r="D121" s="103">
        <f t="shared" si="47"/>
        <v>18864221.625</v>
      </c>
      <c r="E121" s="103">
        <f t="shared" si="47"/>
        <v>24272367.376500003</v>
      </c>
      <c r="F121" s="103">
        <f t="shared" si="47"/>
        <v>31152980.195977498</v>
      </c>
      <c r="G121" s="103">
        <f t="shared" si="47"/>
        <v>37213960.753099799</v>
      </c>
      <c r="H121" s="103">
        <f t="shared" si="47"/>
        <v>44897541.402708896</v>
      </c>
      <c r="I121" s="103">
        <f t="shared" si="47"/>
        <v>53501921.179644458</v>
      </c>
      <c r="J121" s="103">
        <f t="shared" si="47"/>
        <v>63121478.240158893</v>
      </c>
      <c r="K121" s="103">
        <f t="shared" si="47"/>
        <v>73859640.468937173</v>
      </c>
      <c r="L121" s="103">
        <f t="shared" si="47"/>
        <v>85829728.570332155</v>
      </c>
    </row>
    <row r="122" spans="1:12" x14ac:dyDescent="0.5">
      <c r="A122" s="79" t="s">
        <v>138</v>
      </c>
      <c r="B122" s="101">
        <f>SUM(C122:L122)</f>
        <v>19433907.687842317</v>
      </c>
      <c r="C122" s="101">
        <f t="shared" ref="C122:L122" si="48">C26</f>
        <v>1281040</v>
      </c>
      <c r="D122" s="101">
        <f t="shared" si="48"/>
        <v>1394364.8</v>
      </c>
      <c r="E122" s="101">
        <f t="shared" si="48"/>
        <v>1518182.5360000001</v>
      </c>
      <c r="F122" s="101">
        <f t="shared" si="48"/>
        <v>1653522.73352</v>
      </c>
      <c r="G122" s="101">
        <f t="shared" si="48"/>
        <v>1801524.2868663999</v>
      </c>
      <c r="H122" s="101">
        <f t="shared" si="48"/>
        <v>1963448.4051470479</v>
      </c>
      <c r="I122" s="101">
        <f t="shared" si="48"/>
        <v>2140693.3055273416</v>
      </c>
      <c r="J122" s="101">
        <f t="shared" si="48"/>
        <v>2334810.9225362553</v>
      </c>
      <c r="K122" s="101">
        <f t="shared" si="48"/>
        <v>2556239.5607819557</v>
      </c>
      <c r="L122" s="101">
        <f t="shared" si="48"/>
        <v>2790081.1374633126</v>
      </c>
    </row>
    <row r="123" spans="1:12" x14ac:dyDescent="0.5">
      <c r="A123" s="104" t="s">
        <v>148</v>
      </c>
      <c r="B123" s="103">
        <f>SUM(C123:L123)</f>
        <v>427312552.12451655</v>
      </c>
      <c r="C123" s="103">
        <f t="shared" ref="C123:L123" si="49">C121-C122</f>
        <v>12751580</v>
      </c>
      <c r="D123" s="103">
        <f t="shared" si="49"/>
        <v>17469856.824999999</v>
      </c>
      <c r="E123" s="103">
        <f t="shared" si="49"/>
        <v>22754184.840500005</v>
      </c>
      <c r="F123" s="103">
        <f t="shared" si="49"/>
        <v>29499457.462457497</v>
      </c>
      <c r="G123" s="103">
        <f t="shared" si="49"/>
        <v>35412436.466233402</v>
      </c>
      <c r="H123" s="103">
        <f t="shared" si="49"/>
        <v>42934092.99756185</v>
      </c>
      <c r="I123" s="103">
        <f t="shared" si="49"/>
        <v>51361227.874117114</v>
      </c>
      <c r="J123" s="103">
        <f t="shared" si="49"/>
        <v>60786667.317622639</v>
      </c>
      <c r="K123" s="103">
        <f t="shared" si="49"/>
        <v>71303400.908155218</v>
      </c>
      <c r="L123" s="103">
        <f t="shared" si="49"/>
        <v>83039647.432868838</v>
      </c>
    </row>
    <row r="124" spans="1:12" x14ac:dyDescent="0.5">
      <c r="A124" s="87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1:12" x14ac:dyDescent="0.5">
      <c r="A125" s="96" t="s">
        <v>149</v>
      </c>
      <c r="B125" s="103">
        <f>SUM(C125:L125)</f>
        <v>427312552.12451655</v>
      </c>
      <c r="C125" s="103">
        <f t="shared" ref="C125:L125" si="50">C123-C124</f>
        <v>12751580</v>
      </c>
      <c r="D125" s="103">
        <f t="shared" si="50"/>
        <v>17469856.824999999</v>
      </c>
      <c r="E125" s="103">
        <f t="shared" si="50"/>
        <v>22754184.840500005</v>
      </c>
      <c r="F125" s="103">
        <f t="shared" si="50"/>
        <v>29499457.462457497</v>
      </c>
      <c r="G125" s="103">
        <f t="shared" si="50"/>
        <v>35412436.466233402</v>
      </c>
      <c r="H125" s="103">
        <f t="shared" si="50"/>
        <v>42934092.99756185</v>
      </c>
      <c r="I125" s="103">
        <f t="shared" si="50"/>
        <v>51361227.874117114</v>
      </c>
      <c r="J125" s="103">
        <f t="shared" si="50"/>
        <v>60786667.317622639</v>
      </c>
      <c r="K125" s="103">
        <f t="shared" si="50"/>
        <v>71303400.908155218</v>
      </c>
      <c r="L125" s="103">
        <f t="shared" si="50"/>
        <v>83039647.432868838</v>
      </c>
    </row>
    <row r="126" spans="1:12" x14ac:dyDescent="0.5">
      <c r="A126" s="87" t="s">
        <v>150</v>
      </c>
      <c r="B126" s="101">
        <f>SUM(C126:L126)</f>
        <v>96145324.228016227</v>
      </c>
      <c r="C126" s="101">
        <f t="shared" ref="C126:L126" si="51">C125*22.5/100</f>
        <v>2869105.5</v>
      </c>
      <c r="D126" s="101">
        <f t="shared" si="51"/>
        <v>3930717.785625</v>
      </c>
      <c r="E126" s="101">
        <f t="shared" si="51"/>
        <v>5119691.5891125016</v>
      </c>
      <c r="F126" s="101">
        <f t="shared" si="51"/>
        <v>6637377.9290529368</v>
      </c>
      <c r="G126" s="101">
        <f t="shared" si="51"/>
        <v>7967798.2049025157</v>
      </c>
      <c r="H126" s="101">
        <f t="shared" si="51"/>
        <v>9660170.9244514164</v>
      </c>
      <c r="I126" s="101">
        <f t="shared" si="51"/>
        <v>11556276.27167635</v>
      </c>
      <c r="J126" s="101">
        <f t="shared" si="51"/>
        <v>13677000.146465095</v>
      </c>
      <c r="K126" s="101">
        <f t="shared" si="51"/>
        <v>16043265.204334924</v>
      </c>
      <c r="L126" s="101">
        <f t="shared" si="51"/>
        <v>18683920.67239549</v>
      </c>
    </row>
    <row r="127" spans="1:12" x14ac:dyDescent="0.5">
      <c r="A127" s="96" t="s">
        <v>151</v>
      </c>
      <c r="B127" s="103">
        <f>SUM(C127:L127)</f>
        <v>331167227.89650035</v>
      </c>
      <c r="C127" s="103">
        <f t="shared" ref="C127:L127" si="52">C125-C126</f>
        <v>9882474.5</v>
      </c>
      <c r="D127" s="103">
        <f t="shared" si="52"/>
        <v>13539139.039375</v>
      </c>
      <c r="E127" s="103">
        <f t="shared" si="52"/>
        <v>17634493.251387503</v>
      </c>
      <c r="F127" s="103">
        <f t="shared" si="52"/>
        <v>22862079.533404559</v>
      </c>
      <c r="G127" s="103">
        <f t="shared" si="52"/>
        <v>27444638.261330888</v>
      </c>
      <c r="H127" s="103">
        <f t="shared" si="52"/>
        <v>33273922.073110431</v>
      </c>
      <c r="I127" s="103">
        <f t="shared" si="52"/>
        <v>39804951.60244076</v>
      </c>
      <c r="J127" s="103">
        <f t="shared" si="52"/>
        <v>47109667.171157546</v>
      </c>
      <c r="K127" s="103">
        <f t="shared" si="52"/>
        <v>55260135.703820296</v>
      </c>
      <c r="L127" s="103">
        <f t="shared" si="52"/>
        <v>64355726.760473348</v>
      </c>
    </row>
    <row r="128" spans="1:12" x14ac:dyDescent="0.5">
      <c r="A128" s="96" t="s">
        <v>152</v>
      </c>
      <c r="B128" s="103">
        <f>SUM(C128:L128)</f>
        <v>1328249745.1241941</v>
      </c>
      <c r="C128" s="103">
        <f>C127</f>
        <v>9882474.5</v>
      </c>
      <c r="D128" s="103">
        <f t="shared" ref="D128:L128" si="53">C128+D127</f>
        <v>23421613.539375</v>
      </c>
      <c r="E128" s="103">
        <f t="shared" si="53"/>
        <v>41056106.790762499</v>
      </c>
      <c r="F128" s="103">
        <f t="shared" si="53"/>
        <v>63918186.324167058</v>
      </c>
      <c r="G128" s="103">
        <f t="shared" si="53"/>
        <v>91362824.585497946</v>
      </c>
      <c r="H128" s="103">
        <f t="shared" si="53"/>
        <v>124636746.65860838</v>
      </c>
      <c r="I128" s="103">
        <f t="shared" si="53"/>
        <v>164441698.26104915</v>
      </c>
      <c r="J128" s="103">
        <f t="shared" si="53"/>
        <v>211551365.43220669</v>
      </c>
      <c r="K128" s="103">
        <f t="shared" si="53"/>
        <v>266811501.13602698</v>
      </c>
      <c r="L128" s="103">
        <f t="shared" si="53"/>
        <v>331167227.89650035</v>
      </c>
    </row>
  </sheetData>
  <mergeCells count="17">
    <mergeCell ref="A114:H114"/>
    <mergeCell ref="A115:H115"/>
    <mergeCell ref="A62:H62"/>
    <mergeCell ref="A79:H79"/>
    <mergeCell ref="A80:H80"/>
    <mergeCell ref="A96:H96"/>
    <mergeCell ref="A97:H97"/>
    <mergeCell ref="A48:B48"/>
    <mergeCell ref="A49:B49"/>
    <mergeCell ref="A50:B50"/>
    <mergeCell ref="A51:B51"/>
    <mergeCell ref="A61:H61"/>
    <mergeCell ref="A1:L1"/>
    <mergeCell ref="A2:L2"/>
    <mergeCell ref="A18:L18"/>
    <mergeCell ref="A46:B46"/>
    <mergeCell ref="A47:B4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G16"/>
  <sheetViews>
    <sheetView rightToLeft="1" workbookViewId="0">
      <selection activeCell="F24" sqref="F24"/>
    </sheetView>
  </sheetViews>
  <sheetFormatPr defaultRowHeight="14.25" x14ac:dyDescent="0.2"/>
  <cols>
    <col min="6" max="6" width="34.625" customWidth="1"/>
    <col min="7" max="7" width="16.375" customWidth="1"/>
  </cols>
  <sheetData>
    <row r="10" spans="5:7" ht="18" x14ac:dyDescent="0.2">
      <c r="E10" s="46" t="s">
        <v>28</v>
      </c>
      <c r="F10" s="126" t="s">
        <v>211</v>
      </c>
      <c r="G10" s="46" t="s">
        <v>204</v>
      </c>
    </row>
    <row r="11" spans="5:7" ht="15" x14ac:dyDescent="0.25">
      <c r="E11" s="46">
        <v>1</v>
      </c>
      <c r="F11" s="125" t="s">
        <v>205</v>
      </c>
      <c r="G11" s="46">
        <v>3</v>
      </c>
    </row>
    <row r="12" spans="5:7" ht="15" x14ac:dyDescent="0.25">
      <c r="E12" s="46">
        <v>2</v>
      </c>
      <c r="F12" s="125" t="s">
        <v>210</v>
      </c>
      <c r="G12" s="46"/>
    </row>
    <row r="13" spans="5:7" ht="15" x14ac:dyDescent="0.25">
      <c r="E13" s="46">
        <v>2</v>
      </c>
      <c r="F13" s="125" t="s">
        <v>206</v>
      </c>
      <c r="G13" s="46">
        <v>5</v>
      </c>
    </row>
    <row r="14" spans="5:7" ht="15" x14ac:dyDescent="0.25">
      <c r="E14" s="46">
        <v>3</v>
      </c>
      <c r="F14" s="125" t="s">
        <v>207</v>
      </c>
      <c r="G14" s="46">
        <v>26</v>
      </c>
    </row>
    <row r="15" spans="5:7" ht="15" x14ac:dyDescent="0.25">
      <c r="E15" s="46">
        <v>4</v>
      </c>
      <c r="F15" s="125" t="s">
        <v>208</v>
      </c>
      <c r="G15" s="46">
        <v>53</v>
      </c>
    </row>
    <row r="16" spans="5:7" ht="15" x14ac:dyDescent="0.25">
      <c r="E16" s="46">
        <v>5</v>
      </c>
      <c r="F16" s="125" t="s">
        <v>209</v>
      </c>
      <c r="G16" s="4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الايرادات</vt:lpstr>
      <vt:lpstr>المرتباب</vt:lpstr>
      <vt:lpstr>المصروفات العمومية</vt:lpstr>
      <vt:lpstr>تكاليف الايرادات</vt:lpstr>
      <vt:lpstr>التكاليف الاستثمارية</vt:lpstr>
      <vt:lpstr>رأس المال العامل</vt:lpstr>
      <vt:lpstr>قائمة الدخل المتوقعة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ATC</dc:creator>
  <dc:description/>
  <cp:lastModifiedBy>APPLE</cp:lastModifiedBy>
  <cp:revision>3</cp:revision>
  <dcterms:created xsi:type="dcterms:W3CDTF">2019-06-29T21:02:25Z</dcterms:created>
  <dcterms:modified xsi:type="dcterms:W3CDTF">2020-03-02T23:32:11Z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