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e34054\Downloads\"/>
    </mc:Choice>
  </mc:AlternateContent>
  <xr:revisionPtr revIDLastSave="0" documentId="8_{8060950D-5D40-48F5-89CF-4C7CA9C955A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C19" i="2"/>
  <c r="B19" i="2"/>
  <c r="E15" i="2"/>
  <c r="E1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D11" i="2"/>
  <c r="E6" i="2"/>
  <c r="E5" i="2"/>
  <c r="E4" i="2"/>
  <c r="B6" i="2"/>
  <c r="B5" i="2"/>
  <c r="B4" i="2"/>
  <c r="J14" i="1"/>
  <c r="J15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H4" i="1"/>
  <c r="H3" i="1"/>
  <c r="B13" i="2" s="1"/>
  <c r="H5" i="1"/>
  <c r="B12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M2" i="1"/>
  <c r="B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7" authorId="0" shapeId="0" xr:uid="{00000000-0006-0000-0100-000001000000}">
      <text>
        <r>
          <rPr>
            <sz val="11"/>
            <rFont val="Calibri"/>
            <scheme val="minor"/>
          </rPr>
          <t>Alex: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<sst xmlns="http://schemas.openxmlformats.org/spreadsheetml/2006/main" count="124" uniqueCount="61">
  <si>
    <t>LEGAJO</t>
  </si>
  <si>
    <t>NOMBRE</t>
  </si>
  <si>
    <t>FECHA DE NAC.</t>
  </si>
  <si>
    <t>LOCALIDAD</t>
  </si>
  <si>
    <t>PROVINCIA</t>
  </si>
  <si>
    <t>CARGO</t>
  </si>
  <si>
    <t>AÑOS DE TRABAJO</t>
  </si>
  <si>
    <t>Edad del empleado</t>
  </si>
  <si>
    <t>Sueldo en Pesos</t>
  </si>
  <si>
    <t>Sueldo En Dolares</t>
  </si>
  <si>
    <t>dólar hoy</t>
  </si>
  <si>
    <t>Ana</t>
  </si>
  <si>
    <t>Carlos Paz</t>
  </si>
  <si>
    <t>Cordoba</t>
  </si>
  <si>
    <t>Abogado</t>
  </si>
  <si>
    <t>Luís</t>
  </si>
  <si>
    <t>Gerente</t>
  </si>
  <si>
    <t>SUELDO</t>
  </si>
  <si>
    <t>Juan</t>
  </si>
  <si>
    <t>Administrativo</t>
  </si>
  <si>
    <t>María</t>
  </si>
  <si>
    <t>Mercedes</t>
  </si>
  <si>
    <t>Clorinda</t>
  </si>
  <si>
    <t>Santa Fe</t>
  </si>
  <si>
    <t>Olga</t>
  </si>
  <si>
    <t>José</t>
  </si>
  <si>
    <t>David</t>
  </si>
  <si>
    <t>Teresa</t>
  </si>
  <si>
    <t>flores</t>
  </si>
  <si>
    <t>Buenos Aires</t>
  </si>
  <si>
    <t>Manuel</t>
  </si>
  <si>
    <t>Agustín</t>
  </si>
  <si>
    <t>Antonia</t>
  </si>
  <si>
    <t>Pedro</t>
  </si>
  <si>
    <t>Esther</t>
  </si>
  <si>
    <t>Javier</t>
  </si>
  <si>
    <t>Nuria</t>
  </si>
  <si>
    <t>pilar</t>
  </si>
  <si>
    <t>Ramiro</t>
  </si>
  <si>
    <t>Villa maria</t>
  </si>
  <si>
    <t>Pilar</t>
  </si>
  <si>
    <t>Ramón</t>
  </si>
  <si>
    <t>Dolores</t>
  </si>
  <si>
    <t>Punto Nº 4</t>
  </si>
  <si>
    <t>Punto Nº 6</t>
  </si>
  <si>
    <t>Ocupación</t>
  </si>
  <si>
    <t>cantidad</t>
  </si>
  <si>
    <t>Provincia</t>
  </si>
  <si>
    <t>Cantidad Empleados</t>
  </si>
  <si>
    <t>Punto Nº 9</t>
  </si>
  <si>
    <t>Punto Nº 5</t>
  </si>
  <si>
    <t>inversion en Pesos por provincia</t>
  </si>
  <si>
    <t>sobre el Punto 9</t>
  </si>
  <si>
    <t>Mejor Recaudacion</t>
  </si>
  <si>
    <t>a quien pertenece ?</t>
  </si>
  <si>
    <t>Punto Nº 10</t>
  </si>
  <si>
    <t>Legajo</t>
  </si>
  <si>
    <t>nombre</t>
  </si>
  <si>
    <t>ocupacion</t>
  </si>
  <si>
    <t>sueldo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</si>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</sst>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$&quot;\ * #,##0.00_-;\-&quot;$&quot;\ * #,##0.00_-;_-&quot;$&quot;\ * &quot;-&quot;??_-;_-@"/>
    <numFmt numFmtId="165" formatCode="_ &quot;$&quot;\ * #,##0.00_ ;_ &quot;$&quot;\ * \-#,##0.00_ ;_ &quot;$&quot;\ * &quot;-&quot;??_ ;_ @_ "/>
    <numFmt numFmtId="166" formatCode="_ * #,##0_ ;_ * \-#,##0_ ;_ * &quot;-&quot;??_ ;_ @_ "/>
    <numFmt numFmtId="167" formatCode="&quot;$&quot;\ #,##0"/>
  </numFmts>
  <fonts count="13">
    <font>
      <sz val="11"/>
      <name val="Calibri"/>
      <scheme val="minor"/>
    </font>
    <font>
      <b/>
      <sz val="10"/>
      <color rgb="FFFFFFFF"/>
      <name val="Arial"/>
    </font>
    <font>
      <sz val="11"/>
      <name val="Calibri"/>
    </font>
    <font>
      <b/>
      <sz val="14"/>
      <name val="Calibri"/>
    </font>
    <font>
      <sz val="14"/>
      <name val="Calibri"/>
    </font>
    <font>
      <sz val="10"/>
      <color rgb="FF000080"/>
      <name val="Arial"/>
    </font>
    <font>
      <sz val="11"/>
      <name val="Calibri"/>
    </font>
    <font>
      <sz val="12"/>
      <name val="Calibri"/>
    </font>
    <font>
      <sz val="10"/>
      <name val="Arial"/>
    </font>
    <font>
      <sz val="10"/>
      <color rgb="FFFF0000"/>
      <name val="Arial"/>
    </font>
    <font>
      <sz val="12"/>
      <color rgb="FF000080"/>
      <name val="Arial"/>
    </font>
    <font>
      <b/>
      <sz val="14"/>
      <color rgb="FFFF0000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4">
    <border>
      <left/>
      <right/>
      <top/>
      <bottom/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0000"/>
      </left>
      <right style="medium">
        <color rgb="FF003366"/>
      </right>
      <top style="medium">
        <color rgb="FF000000"/>
      </top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rgb="FF003366"/>
      </left>
      <right/>
      <top/>
      <bottom style="medium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/>
      <top style="medium">
        <color rgb="FF003366"/>
      </top>
      <bottom style="medium">
        <color rgb="FF003366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3366"/>
      </left>
      <right/>
      <top/>
      <bottom/>
      <diagonal/>
    </border>
    <border>
      <left/>
      <right/>
      <top/>
      <bottom/>
      <diagonal/>
    </border>
    <border>
      <left/>
      <right style="medium">
        <color rgb="FF003366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4" fontId="2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14" fontId="5" fillId="0" borderId="7" xfId="0" applyNumberFormat="1" applyFont="1" applyBorder="1" applyAlignment="1">
      <alignment wrapText="1"/>
    </xf>
    <xf numFmtId="0" fontId="6" fillId="0" borderId="0" xfId="0" applyFont="1"/>
    <xf numFmtId="0" fontId="5" fillId="0" borderId="8" xfId="0" applyFont="1" applyBorder="1" applyAlignment="1">
      <alignment horizontal="center" wrapText="1"/>
    </xf>
    <xf numFmtId="1" fontId="2" fillId="4" borderId="9" xfId="0" applyNumberFormat="1" applyFont="1" applyFill="1" applyBorder="1"/>
    <xf numFmtId="164" fontId="2" fillId="4" borderId="9" xfId="0" applyNumberFormat="1" applyFont="1" applyFill="1" applyBorder="1"/>
    <xf numFmtId="165" fontId="2" fillId="4" borderId="9" xfId="0" applyNumberFormat="1" applyFont="1" applyFill="1" applyBorder="1"/>
    <xf numFmtId="0" fontId="2" fillId="0" borderId="0" xfId="0" applyFont="1" applyAlignment="1">
      <alignment horizontal="center"/>
    </xf>
    <xf numFmtId="164" fontId="3" fillId="3" borderId="6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14" fontId="5" fillId="0" borderId="10" xfId="0" applyNumberFormat="1" applyFont="1" applyBorder="1" applyAlignment="1">
      <alignment wrapText="1"/>
    </xf>
    <xf numFmtId="0" fontId="5" fillId="0" borderId="11" xfId="0" applyFont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7" fillId="0" borderId="0" xfId="0" applyFont="1"/>
    <xf numFmtId="164" fontId="5" fillId="0" borderId="10" xfId="0" applyNumberFormat="1" applyFont="1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8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wrapText="1"/>
    </xf>
    <xf numFmtId="0" fontId="10" fillId="0" borderId="10" xfId="0" applyFont="1" applyBorder="1" applyAlignment="1">
      <alignment wrapText="1"/>
    </xf>
    <xf numFmtId="166" fontId="2" fillId="4" borderId="16" xfId="0" applyNumberFormat="1" applyFont="1" applyFill="1" applyBorder="1"/>
    <xf numFmtId="0" fontId="9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/>
    <xf numFmtId="0" fontId="11" fillId="0" borderId="0" xfId="0" applyFont="1"/>
    <xf numFmtId="0" fontId="5" fillId="4" borderId="6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2" fillId="3" borderId="22" xfId="0" applyFont="1" applyFill="1" applyBorder="1" applyAlignment="1">
      <alignment horizontal="center" wrapText="1"/>
    </xf>
    <xf numFmtId="0" fontId="6" fillId="0" borderId="23" xfId="0" applyFont="1" applyBorder="1"/>
    <xf numFmtId="0" fontId="2" fillId="4" borderId="20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6" fillId="0" borderId="19" xfId="0" applyFont="1" applyBorder="1"/>
    <xf numFmtId="0" fontId="2" fillId="0" borderId="0" xfId="0" applyFont="1"/>
    <xf numFmtId="167" fontId="2" fillId="0" borderId="9" xfId="0" applyNumberFormat="1" applyFont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_ &quot;$&quot;\ * #,##0.00_ ;_ &quot;$&quot;\ * \-#,##0.00_ ;_ &quot;$&quot;\ * &quot;-&quot;??_ ;_ @_ "/>
    </dxf>
    <dxf>
      <numFmt numFmtId="164" formatCode="_-&quot;$&quot;\ * #,##0.00_-;\-&quot;$&quot;\ * #,##0.00_-;_-&quot;$&quot;\ * &quot;-&quot;??_-;_-@"/>
    </dxf>
    <dxf>
      <numFmt numFmtId="1" formatCode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</dxfs>
  <tableStyles count="2">
    <tableStyle name="HOJA DE DATOS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HOJA DE DATOS-style 2" pivot="0" count="3" xr9:uid="{00000000-0011-0000-FFFF-FFFF01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Punto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1B-4E75-B54A-FFF58DB2B4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1B-4E75-B54A-FFF58DB2B4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1B-4E75-B54A-FFF58DB2B4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resumen!$A$4:$A$6</c:f>
              <c:strCache>
                <c:ptCount val="3"/>
                <c:pt idx="0">
                  <c:v>Abogado</c:v>
                </c:pt>
                <c:pt idx="1">
                  <c:v>Gerente</c:v>
                </c:pt>
                <c:pt idx="2">
                  <c:v>Administrativo</c:v>
                </c:pt>
              </c:strCache>
            </c:strRef>
          </c:cat>
          <c:val>
            <c:numRef>
              <c:f>resumen!$B$4:$B$6</c:f>
              <c:numCache>
                <c:formatCode>_ * #,##0_ ;_ * \-#,##0_ ;_ * "-"??_ ;_ @_ 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1B-4E75-B54A-FFF58DB2B4E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Punto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34300721784776905"/>
          <c:y val="0.20817184310294545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59-4F97-AACD-AA369CDD3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59-4F97-AACD-AA369CDD3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59-4F97-AACD-AA369CDD34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resumen!$D$4:$D$6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resumen!$E$4:$E$6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59-4F97-AACD-AA369CDD34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Punto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6D-4074-BBD4-4DFE9B13F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6D-4074-BBD4-4DFE9B13F7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6D-4074-BBD4-4DFE9B13F7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resumen!$A$12:$A$14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resumen!$B$12:$B$14</c:f>
              <c:numCache>
                <c:formatCode>General</c:formatCode>
                <c:ptCount val="3"/>
                <c:pt idx="0">
                  <c:v>10300000</c:v>
                </c:pt>
                <c:pt idx="1">
                  <c:v>4800000</c:v>
                </c:pt>
                <c:pt idx="2">
                  <c:v>8650000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6D-4074-BBD4-4DFE9B13F7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2</xdr:row>
      <xdr:rowOff>47625</xdr:rowOff>
    </xdr:from>
    <xdr:ext cx="5200650" cy="19812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gradFill rotWithShape="1">
          <a:gsLst>
            <a:gs pos="0">
              <a:schemeClr val="accent1">
                <a:lumMod val="110000"/>
                <a:satMod val="105000"/>
                <a:tint val="67000"/>
              </a:schemeClr>
            </a:gs>
            <a:gs pos="50000">
              <a:schemeClr val="accent1">
                <a:lumMod val="105000"/>
                <a:satMod val="103000"/>
                <a:tint val="73000"/>
              </a:schemeClr>
            </a:gs>
            <a:gs pos="100000">
              <a:schemeClr val="accent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1"/>
          </a:solidFill>
          <a:prstDash val="solid"/>
          <a:miter lim="800000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 se invierte en  la Provincia de Buenos Aires  en abogados.</a:t>
          </a:r>
        </a:p>
        <a:p>
          <a:r>
            <a:rPr lang="es-A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</a:p>
        <a:p>
          <a:r>
            <a:rPr lang="es-A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 gerentes y  abogados  trabajan en la empresa.</a:t>
          </a:r>
        </a:p>
        <a:p>
          <a:r>
            <a:rPr lang="es-A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 i="1"/>
        </a:p>
        <a:p>
          <a:r>
            <a:rPr lang="es-A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 i="1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 i="1"/>
            <a:t> </a:t>
          </a:r>
        </a:p>
        <a:p>
          <a:r>
            <a:rPr lang="es-A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 el Punto 9 en Hoja Grafico</a:t>
          </a:r>
          <a:endParaRPr lang="es-AR" i="1"/>
        </a:p>
        <a:p>
          <a:r>
            <a:rPr lang="es-AR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 i="1"/>
            <a:t> </a:t>
          </a:r>
          <a:endParaRPr lang="es-AR" sz="1100" i="1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180975</xdr:rowOff>
    </xdr:from>
    <xdr:to>
      <xdr:col>6</xdr:col>
      <xdr:colOff>295275</xdr:colOff>
      <xdr:row>17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B00963-82F5-414C-8116-26C967BC4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</xdr:row>
      <xdr:rowOff>180975</xdr:rowOff>
    </xdr:from>
    <xdr:to>
      <xdr:col>12</xdr:col>
      <xdr:colOff>342900</xdr:colOff>
      <xdr:row>17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BBE052-8CE2-4078-B6C7-2E6C6E573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76200</xdr:rowOff>
    </xdr:from>
    <xdr:to>
      <xdr:col>6</xdr:col>
      <xdr:colOff>285750</xdr:colOff>
      <xdr:row>31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0293E6-E021-4FC5-8467-2525BE9F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K22">
  <tableColumns count="11">
    <tableColumn id="1" xr3:uid="{00000000-0010-0000-0000-000001000000}" name="LEGAJO"/>
    <tableColumn id="2" xr3:uid="{00000000-0010-0000-0000-000002000000}" name="NOMBRE"/>
    <tableColumn id="3" xr3:uid="{00000000-0010-0000-0000-000003000000}" name="FECHA DE NAC."/>
    <tableColumn id="4" xr3:uid="{00000000-0010-0000-0000-000004000000}" name="LOCALIDAD"/>
    <tableColumn id="5" xr3:uid="{00000000-0010-0000-0000-000005000000}" name="PROVINCIA"/>
    <tableColumn id="6" xr3:uid="{00000000-0010-0000-0000-000006000000}" name="CARGO"/>
    <tableColumn id="7" xr3:uid="{00000000-0010-0000-0000-000007000000}" name="AÑOS DE TRABAJO"/>
    <tableColumn id="8" xr3:uid="{00000000-0010-0000-0000-000008000000}" name="Edad del empleado" dataDxfId="3">
      <calculatedColumnFormula>2023-YEAR(Table_1[[#This Row],[FECHA DE NAC.]])</calculatedColumnFormula>
    </tableColumn>
    <tableColumn id="9" xr3:uid="{00000000-0010-0000-0000-000009000000}" name="Sueldo en Pesos" dataDxfId="2">
      <calculatedColumnFormula>VLOOKUP(Table_1[[#This Row],[CARGO]],Table_2[],2,FALSE)</calculatedColumnFormula>
    </tableColumn>
    <tableColumn id="10" xr3:uid="{00000000-0010-0000-0000-00000A000000}" name="Sueldo En Dolares" dataDxfId="1">
      <calculatedColumnFormula>Table_1[[#This Row],[Sueldo en Pesos]]/$O$3</calculatedColumnFormula>
    </tableColumn>
    <tableColumn id="11" xr3:uid="{3580741E-4D61-4308-B797-8A33BCFAA268}" name="Aux" dataDxfId="0">
      <calculatedColumnFormula>Table_1[[#This Row],[NOMBRE]]</calculatedColumnFormula>
    </tableColumn>
  </tableColumns>
  <tableStyleInfo name="HOJA DE DA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M4:N7">
  <tableColumns count="2">
    <tableColumn id="1" xr3:uid="{00000000-0010-0000-0100-000001000000}" name="CARGO"/>
    <tableColumn id="2" xr3:uid="{00000000-0010-0000-0100-000002000000}" name="SUELDO"/>
  </tableColumns>
  <tableStyleInfo name="HOJA DE DATOS-style 2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"/>
  <sheetViews>
    <sheetView workbookViewId="0">
      <selection activeCell="J3" sqref="J3"/>
    </sheetView>
  </sheetViews>
  <sheetFormatPr baseColWidth="10" defaultColWidth="14.42578125" defaultRowHeight="15" customHeight="1"/>
  <cols>
    <col min="1" max="2" width="10.7109375" customWidth="1"/>
    <col min="3" max="3" width="17.28515625" customWidth="1"/>
    <col min="4" max="4" width="13.85546875" customWidth="1"/>
    <col min="5" max="5" width="15.5703125" customWidth="1"/>
    <col min="6" max="6" width="13" customWidth="1"/>
    <col min="7" max="7" width="20.7109375" customWidth="1"/>
    <col min="8" max="8" width="20.5703125" customWidth="1"/>
    <col min="9" max="9" width="17.85546875" customWidth="1"/>
    <col min="10" max="10" width="19.85546875" customWidth="1"/>
    <col min="11" max="12" width="10.7109375" customWidth="1"/>
    <col min="13" max="14" width="14.140625" customWidth="1"/>
    <col min="15" max="15" width="12.85546875" customWidth="1"/>
    <col min="16" max="16384" width="10.7109375" customWidth="1"/>
  </cols>
  <sheetData>
    <row r="1" spans="1:15 16384:16384" ht="19.5" customHeight="1">
      <c r="A1" s="1"/>
      <c r="G1" s="2"/>
      <c r="XFD1">
        <v>9</v>
      </c>
    </row>
    <row r="2" spans="1:15 16384:16384" ht="30" customHeight="1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7" t="s">
        <v>7</v>
      </c>
      <c r="I2" s="7" t="s">
        <v>8</v>
      </c>
      <c r="J2" s="7" t="s">
        <v>9</v>
      </c>
      <c r="K2" t="s">
        <v>60</v>
      </c>
      <c r="M2" s="8">
        <f ca="1">TODAY()</f>
        <v>45193</v>
      </c>
      <c r="O2" s="9" t="s">
        <v>10</v>
      </c>
    </row>
    <row r="3" spans="1:15 16384:16384" ht="24.75" customHeight="1">
      <c r="A3" s="10">
        <v>1</v>
      </c>
      <c r="B3" s="11" t="s">
        <v>11</v>
      </c>
      <c r="C3" s="12">
        <v>35949</v>
      </c>
      <c r="D3" s="11" t="s">
        <v>12</v>
      </c>
      <c r="E3" s="11" t="s">
        <v>13</v>
      </c>
      <c r="F3" s="13" t="s">
        <v>14</v>
      </c>
      <c r="G3" s="14">
        <v>5</v>
      </c>
      <c r="H3" s="15">
        <f>2023-YEAR(Table_1[[#This Row],[FECHA DE NAC.]])</f>
        <v>25</v>
      </c>
      <c r="I3" s="16">
        <f>VLOOKUP(Table_1[[#This Row],[CARGO]],Table_2[],2,FALSE)</f>
        <v>3000000</v>
      </c>
      <c r="J3" s="17">
        <f>Table_1[[#This Row],[Sueldo en Pesos]]/$O$3</f>
        <v>4054.0540540540542</v>
      </c>
      <c r="K3" s="18" t="str">
        <f>Table_1[[#This Row],[NOMBRE]]</f>
        <v>Ana</v>
      </c>
      <c r="L3" s="18"/>
      <c r="O3" s="19">
        <v>740</v>
      </c>
    </row>
    <row r="4" spans="1:15 16384:16384" ht="24.75" customHeight="1">
      <c r="A4" s="20">
        <v>2</v>
      </c>
      <c r="B4" s="21" t="s">
        <v>15</v>
      </c>
      <c r="C4" s="22">
        <v>20068</v>
      </c>
      <c r="D4" s="21" t="s">
        <v>12</v>
      </c>
      <c r="E4" s="21" t="s">
        <v>13</v>
      </c>
      <c r="F4" s="13" t="s">
        <v>16</v>
      </c>
      <c r="G4" s="23">
        <v>23</v>
      </c>
      <c r="H4" s="15">
        <f>2023-YEAR(Table_1[[#This Row],[FECHA DE NAC.]])</f>
        <v>69</v>
      </c>
      <c r="I4" s="16">
        <f>VLOOKUP(Table_1[[#This Row],[CARGO]],Table_2[],2,FALSE)</f>
        <v>1200000</v>
      </c>
      <c r="J4" s="17">
        <f>Table_1[[#This Row],[Sueldo en Pesos]]/$O$3</f>
        <v>1621.6216216216217</v>
      </c>
      <c r="K4" s="18" t="str">
        <f>Table_1[[#This Row],[NOMBRE]]</f>
        <v>Luís</v>
      </c>
      <c r="L4" s="18"/>
      <c r="M4" s="24" t="s">
        <v>5</v>
      </c>
      <c r="N4" s="24" t="s">
        <v>17</v>
      </c>
    </row>
    <row r="5" spans="1:15 16384:16384" ht="24.75" customHeight="1">
      <c r="A5" s="20">
        <v>3</v>
      </c>
      <c r="B5" s="21" t="s">
        <v>18</v>
      </c>
      <c r="C5" s="22">
        <v>23352</v>
      </c>
      <c r="D5" s="21" t="s">
        <v>12</v>
      </c>
      <c r="E5" s="21" t="s">
        <v>13</v>
      </c>
      <c r="F5" s="13" t="s">
        <v>16</v>
      </c>
      <c r="G5" s="23">
        <v>1</v>
      </c>
      <c r="H5" s="15">
        <f>2023-YEAR(Table_1[[#This Row],[FECHA DE NAC.]])</f>
        <v>60</v>
      </c>
      <c r="I5" s="16">
        <f>VLOOKUP(Table_1[[#This Row],[CARGO]],Table_2[],2,FALSE)</f>
        <v>1200000</v>
      </c>
      <c r="J5" s="17">
        <f>Table_1[[#This Row],[Sueldo en Pesos]]/$O$3</f>
        <v>1621.6216216216217</v>
      </c>
      <c r="K5" s="18" t="str">
        <f>Table_1[[#This Row],[NOMBRE]]</f>
        <v>Juan</v>
      </c>
      <c r="L5" s="18"/>
      <c r="M5" s="25" t="s">
        <v>19</v>
      </c>
      <c r="N5" s="26">
        <v>650000</v>
      </c>
    </row>
    <row r="6" spans="1:15 16384:16384" ht="24.75" customHeight="1">
      <c r="A6" s="20">
        <v>4</v>
      </c>
      <c r="B6" s="21" t="s">
        <v>20</v>
      </c>
      <c r="C6" s="22">
        <v>33156</v>
      </c>
      <c r="D6" s="21" t="s">
        <v>12</v>
      </c>
      <c r="E6" s="21" t="s">
        <v>13</v>
      </c>
      <c r="F6" s="13" t="s">
        <v>16</v>
      </c>
      <c r="G6" s="23">
        <v>9</v>
      </c>
      <c r="H6" s="15">
        <f>2023-YEAR(Table_1[[#This Row],[FECHA DE NAC.]])</f>
        <v>33</v>
      </c>
      <c r="I6" s="16">
        <f>VLOOKUP(Table_1[[#This Row],[CARGO]],Table_2[],2,FALSE)</f>
        <v>1200000</v>
      </c>
      <c r="J6" s="17">
        <f>Table_1[[#This Row],[Sueldo en Pesos]]/$O$3</f>
        <v>1621.6216216216217</v>
      </c>
      <c r="K6" s="18" t="str">
        <f>Table_1[[#This Row],[NOMBRE]]</f>
        <v>María</v>
      </c>
      <c r="L6" s="18"/>
      <c r="M6" s="25" t="s">
        <v>16</v>
      </c>
      <c r="N6" s="26">
        <v>1200000</v>
      </c>
    </row>
    <row r="7" spans="1:15 16384:16384" ht="24.75" customHeight="1">
      <c r="A7" s="20">
        <v>5</v>
      </c>
      <c r="B7" s="21" t="s">
        <v>21</v>
      </c>
      <c r="C7" s="22">
        <v>31222</v>
      </c>
      <c r="D7" s="21" t="s">
        <v>22</v>
      </c>
      <c r="E7" s="21" t="s">
        <v>23</v>
      </c>
      <c r="F7" s="13" t="s">
        <v>16</v>
      </c>
      <c r="G7" s="23">
        <v>7</v>
      </c>
      <c r="H7" s="15">
        <f>2023-YEAR(Table_1[[#This Row],[FECHA DE NAC.]])</f>
        <v>38</v>
      </c>
      <c r="I7" s="16">
        <f>VLOOKUP(Table_1[[#This Row],[CARGO]],Table_2[],2,FALSE)</f>
        <v>1200000</v>
      </c>
      <c r="J7" s="17">
        <f>Table_1[[#This Row],[Sueldo en Pesos]]/$O$3</f>
        <v>1621.6216216216217</v>
      </c>
      <c r="K7" s="18" t="str">
        <f>Table_1[[#This Row],[NOMBRE]]</f>
        <v>Mercedes</v>
      </c>
      <c r="L7" s="18"/>
      <c r="M7" s="25" t="s">
        <v>14</v>
      </c>
      <c r="N7" s="26">
        <v>3000000</v>
      </c>
    </row>
    <row r="8" spans="1:15 16384:16384" ht="24.75" customHeight="1">
      <c r="A8" s="20">
        <v>6</v>
      </c>
      <c r="B8" s="21" t="s">
        <v>24</v>
      </c>
      <c r="C8" s="22">
        <v>26697</v>
      </c>
      <c r="D8" s="21" t="s">
        <v>22</v>
      </c>
      <c r="E8" s="21" t="s">
        <v>23</v>
      </c>
      <c r="F8" s="13" t="s">
        <v>16</v>
      </c>
      <c r="G8" s="23">
        <v>5</v>
      </c>
      <c r="H8" s="15">
        <f>2023-YEAR(Table_1[[#This Row],[FECHA DE NAC.]])</f>
        <v>50</v>
      </c>
      <c r="I8" s="16">
        <f>VLOOKUP(Table_1[[#This Row],[CARGO]],Table_2[],2,FALSE)</f>
        <v>1200000</v>
      </c>
      <c r="J8" s="17">
        <f>Table_1[[#This Row],[Sueldo en Pesos]]/$O$3</f>
        <v>1621.6216216216217</v>
      </c>
      <c r="K8" s="18" t="str">
        <f>Table_1[[#This Row],[NOMBRE]]</f>
        <v>Olga</v>
      </c>
      <c r="L8" s="18"/>
    </row>
    <row r="9" spans="1:15 16384:16384" ht="24.75" customHeight="1">
      <c r="A9" s="20">
        <v>7</v>
      </c>
      <c r="B9" s="21" t="s">
        <v>25</v>
      </c>
      <c r="C9" s="22">
        <v>34952</v>
      </c>
      <c r="D9" s="21" t="s">
        <v>22</v>
      </c>
      <c r="E9" s="21" t="s">
        <v>23</v>
      </c>
      <c r="F9" s="13" t="s">
        <v>16</v>
      </c>
      <c r="G9" s="23">
        <v>8</v>
      </c>
      <c r="H9" s="15">
        <f>2023-YEAR(Table_1[[#This Row],[FECHA DE NAC.]])</f>
        <v>28</v>
      </c>
      <c r="I9" s="16">
        <f>VLOOKUP(Table_1[[#This Row],[CARGO]],Table_2[],2,FALSE)</f>
        <v>1200000</v>
      </c>
      <c r="J9" s="17">
        <f>Table_1[[#This Row],[Sueldo en Pesos]]/$O$3</f>
        <v>1621.6216216216217</v>
      </c>
      <c r="K9" s="18" t="str">
        <f>Table_1[[#This Row],[NOMBRE]]</f>
        <v>José</v>
      </c>
      <c r="L9" s="18"/>
    </row>
    <row r="10" spans="1:15 16384:16384" ht="24.75" customHeight="1">
      <c r="A10" s="20">
        <v>8</v>
      </c>
      <c r="B10" s="21" t="s">
        <v>26</v>
      </c>
      <c r="C10" s="22">
        <v>35139</v>
      </c>
      <c r="D10" s="21" t="s">
        <v>22</v>
      </c>
      <c r="E10" s="21" t="s">
        <v>23</v>
      </c>
      <c r="F10" s="13" t="s">
        <v>16</v>
      </c>
      <c r="G10" s="23">
        <v>12</v>
      </c>
      <c r="H10" s="15">
        <f>2023-YEAR(Table_1[[#This Row],[FECHA DE NAC.]])</f>
        <v>27</v>
      </c>
      <c r="I10" s="16">
        <f>VLOOKUP(Table_1[[#This Row],[CARGO]],Table_2[],2,FALSE)</f>
        <v>1200000</v>
      </c>
      <c r="J10" s="17">
        <f>Table_1[[#This Row],[Sueldo en Pesos]]/$O$3</f>
        <v>1621.6216216216217</v>
      </c>
      <c r="K10" s="18" t="str">
        <f>Table_1[[#This Row],[NOMBRE]]</f>
        <v>David</v>
      </c>
      <c r="L10" s="18"/>
    </row>
    <row r="11" spans="1:15 16384:16384" ht="24.75" customHeight="1">
      <c r="A11" s="20">
        <v>9</v>
      </c>
      <c r="B11" s="21" t="s">
        <v>27</v>
      </c>
      <c r="C11" s="22">
        <v>30241</v>
      </c>
      <c r="D11" s="21" t="s">
        <v>28</v>
      </c>
      <c r="E11" s="21" t="s">
        <v>29</v>
      </c>
      <c r="F11" s="46" t="s">
        <v>19</v>
      </c>
      <c r="G11" s="23">
        <v>10</v>
      </c>
      <c r="H11" s="15">
        <f>2023-YEAR(Table_1[[#This Row],[FECHA DE NAC.]])</f>
        <v>41</v>
      </c>
      <c r="I11" s="16">
        <f>VLOOKUP(Table_1[[#This Row],[CARGO]],Table_2[],2,FALSE)</f>
        <v>650000</v>
      </c>
      <c r="J11" s="17">
        <f>Table_1[[#This Row],[Sueldo en Pesos]]/$O$3</f>
        <v>878.37837837837833</v>
      </c>
      <c r="K11" s="18" t="str">
        <f>Table_1[[#This Row],[NOMBRE]]</f>
        <v>Teresa</v>
      </c>
      <c r="L11" s="18"/>
    </row>
    <row r="12" spans="1:15 16384:16384" ht="24.75" customHeight="1">
      <c r="A12" s="20">
        <v>10</v>
      </c>
      <c r="B12" s="21" t="s">
        <v>30</v>
      </c>
      <c r="C12" s="22">
        <v>31607</v>
      </c>
      <c r="D12" s="21" t="s">
        <v>28</v>
      </c>
      <c r="E12" s="21" t="s">
        <v>29</v>
      </c>
      <c r="F12" s="13" t="s">
        <v>19</v>
      </c>
      <c r="G12" s="23">
        <v>2</v>
      </c>
      <c r="H12" s="15">
        <f>2023-YEAR(Table_1[[#This Row],[FECHA DE NAC.]])</f>
        <v>37</v>
      </c>
      <c r="I12" s="16">
        <f>VLOOKUP(Table_1[[#This Row],[CARGO]],Table_2[],2,FALSE)</f>
        <v>650000</v>
      </c>
      <c r="J12" s="17">
        <f>Table_1[[#This Row],[Sueldo en Pesos]]/$O$3</f>
        <v>878.37837837837833</v>
      </c>
      <c r="K12" s="18" t="str">
        <f>Table_1[[#This Row],[NOMBRE]]</f>
        <v>Manuel</v>
      </c>
      <c r="L12" s="18"/>
    </row>
    <row r="13" spans="1:15 16384:16384" ht="24.75" customHeight="1">
      <c r="A13" s="20">
        <v>11</v>
      </c>
      <c r="B13" s="21" t="s">
        <v>31</v>
      </c>
      <c r="C13" s="22">
        <v>34226</v>
      </c>
      <c r="D13" s="21" t="s">
        <v>28</v>
      </c>
      <c r="E13" s="21" t="s">
        <v>29</v>
      </c>
      <c r="F13" s="13" t="s">
        <v>19</v>
      </c>
      <c r="G13" s="23">
        <v>1</v>
      </c>
      <c r="H13" s="15">
        <f>2023-YEAR(Table_1[[#This Row],[FECHA DE NAC.]])</f>
        <v>30</v>
      </c>
      <c r="I13" s="16">
        <f>VLOOKUP(Table_1[[#This Row],[CARGO]],Table_2[],2,FALSE)</f>
        <v>650000</v>
      </c>
      <c r="J13" s="17">
        <f>Table_1[[#This Row],[Sueldo en Pesos]]/$O$3</f>
        <v>878.37837837837833</v>
      </c>
      <c r="K13" s="18" t="str">
        <f>Table_1[[#This Row],[NOMBRE]]</f>
        <v>Agustín</v>
      </c>
      <c r="L13" s="18"/>
    </row>
    <row r="14" spans="1:15 16384:16384" ht="24.75" customHeight="1">
      <c r="A14" s="20">
        <v>12</v>
      </c>
      <c r="B14" s="21" t="s">
        <v>32</v>
      </c>
      <c r="C14" s="22">
        <v>25600</v>
      </c>
      <c r="D14" s="21" t="s">
        <v>28</v>
      </c>
      <c r="E14" s="21" t="s">
        <v>29</v>
      </c>
      <c r="F14" s="13" t="s">
        <v>16</v>
      </c>
      <c r="G14" s="23">
        <v>11</v>
      </c>
      <c r="H14" s="15">
        <f>2023-YEAR(Table_1[[#This Row],[FECHA DE NAC.]])</f>
        <v>53</v>
      </c>
      <c r="I14" s="16">
        <f>VLOOKUP(Table_1[[#This Row],[CARGO]],Table_2[],2,FALSE)</f>
        <v>1200000</v>
      </c>
      <c r="J14" s="17">
        <f>Table_1[[#This Row],[Sueldo en Pesos]]/$O$3</f>
        <v>1621.6216216216217</v>
      </c>
      <c r="K14" s="18" t="str">
        <f>Table_1[[#This Row],[NOMBRE]]</f>
        <v>Antonia</v>
      </c>
      <c r="L14" s="18"/>
    </row>
    <row r="15" spans="1:15 16384:16384" ht="24.75" customHeight="1">
      <c r="A15" s="20">
        <v>13</v>
      </c>
      <c r="B15" s="21" t="s">
        <v>33</v>
      </c>
      <c r="C15" s="22">
        <v>32651</v>
      </c>
      <c r="D15" s="21" t="s">
        <v>28</v>
      </c>
      <c r="E15" s="21" t="s">
        <v>29</v>
      </c>
      <c r="F15" s="13" t="s">
        <v>16</v>
      </c>
      <c r="G15" s="23">
        <v>2</v>
      </c>
      <c r="H15" s="15">
        <f>2023-YEAR(Table_1[[#This Row],[FECHA DE NAC.]])</f>
        <v>34</v>
      </c>
      <c r="I15" s="16">
        <f>VLOOKUP(Table_1[[#This Row],[CARGO]],Table_2[],2,FALSE)</f>
        <v>1200000</v>
      </c>
      <c r="J15" s="17">
        <f>Table_1[[#This Row],[Sueldo en Pesos]]/$O$3</f>
        <v>1621.6216216216217</v>
      </c>
      <c r="K15" s="18" t="str">
        <f>Table_1[[#This Row],[NOMBRE]]</f>
        <v>Pedro</v>
      </c>
      <c r="L15" s="18"/>
    </row>
    <row r="16" spans="1:15 16384:16384" ht="24.75" customHeight="1">
      <c r="A16" s="20">
        <v>14</v>
      </c>
      <c r="B16" s="21" t="s">
        <v>34</v>
      </c>
      <c r="C16" s="22">
        <v>33101</v>
      </c>
      <c r="D16" s="21" t="s">
        <v>28</v>
      </c>
      <c r="E16" s="21" t="s">
        <v>29</v>
      </c>
      <c r="F16" s="46" t="s">
        <v>19</v>
      </c>
      <c r="G16" s="23">
        <v>3</v>
      </c>
      <c r="H16" s="15">
        <f>2023-YEAR(Table_1[[#This Row],[FECHA DE NAC.]])</f>
        <v>33</v>
      </c>
      <c r="I16" s="16">
        <f>VLOOKUP(Table_1[[#This Row],[CARGO]],Table_2[],2,FALSE)</f>
        <v>650000</v>
      </c>
      <c r="J16" s="17">
        <f>Table_1[[#This Row],[Sueldo en Pesos]]/$O$3</f>
        <v>878.37837837837833</v>
      </c>
      <c r="K16" s="18" t="str">
        <f>Table_1[[#This Row],[NOMBRE]]</f>
        <v>Esther</v>
      </c>
      <c r="L16" s="18"/>
    </row>
    <row r="17" spans="1:12" ht="24.75" customHeight="1">
      <c r="A17" s="20">
        <v>15</v>
      </c>
      <c r="B17" s="21" t="s">
        <v>35</v>
      </c>
      <c r="C17" s="22">
        <v>36558</v>
      </c>
      <c r="D17" s="21" t="s">
        <v>28</v>
      </c>
      <c r="E17" s="21" t="s">
        <v>29</v>
      </c>
      <c r="F17" s="13" t="s">
        <v>19</v>
      </c>
      <c r="G17" s="23">
        <v>5</v>
      </c>
      <c r="H17" s="15">
        <f>2023-YEAR(Table_1[[#This Row],[FECHA DE NAC.]])</f>
        <v>23</v>
      </c>
      <c r="I17" s="16">
        <f>VLOOKUP(Table_1[[#This Row],[CARGO]],Table_2[],2,FALSE)</f>
        <v>650000</v>
      </c>
      <c r="J17" s="17">
        <f>Table_1[[#This Row],[Sueldo en Pesos]]/$O$3</f>
        <v>878.37837837837833</v>
      </c>
      <c r="K17" s="18" t="str">
        <f>Table_1[[#This Row],[NOMBRE]]</f>
        <v>Javier</v>
      </c>
      <c r="L17" s="18"/>
    </row>
    <row r="18" spans="1:12" ht="24.75" customHeight="1">
      <c r="A18" s="20">
        <v>16</v>
      </c>
      <c r="B18" s="21" t="s">
        <v>36</v>
      </c>
      <c r="C18" s="22">
        <v>35046</v>
      </c>
      <c r="D18" s="21" t="s">
        <v>37</v>
      </c>
      <c r="E18" s="21" t="s">
        <v>29</v>
      </c>
      <c r="F18" s="13" t="s">
        <v>14</v>
      </c>
      <c r="G18" s="23">
        <v>5</v>
      </c>
      <c r="H18" s="15">
        <f>2023-YEAR(Table_1[[#This Row],[FECHA DE NAC.]])</f>
        <v>28</v>
      </c>
      <c r="I18" s="16">
        <f>VLOOKUP(Table_1[[#This Row],[CARGO]],Table_2[],2,FALSE)</f>
        <v>3000000</v>
      </c>
      <c r="J18" s="17">
        <f>Table_1[[#This Row],[Sueldo en Pesos]]/$O$3</f>
        <v>4054.0540540540542</v>
      </c>
      <c r="K18" s="18" t="str">
        <f>Table_1[[#This Row],[NOMBRE]]</f>
        <v>Nuria</v>
      </c>
      <c r="L18" s="18"/>
    </row>
    <row r="19" spans="1:12" ht="24.75" customHeight="1">
      <c r="A19" s="20">
        <v>17</v>
      </c>
      <c r="B19" s="21" t="s">
        <v>38</v>
      </c>
      <c r="C19" s="22">
        <v>29177</v>
      </c>
      <c r="D19" s="21" t="s">
        <v>39</v>
      </c>
      <c r="E19" s="21" t="s">
        <v>13</v>
      </c>
      <c r="F19" s="13" t="s">
        <v>16</v>
      </c>
      <c r="G19" s="23">
        <v>25</v>
      </c>
      <c r="H19" s="15">
        <f>2023-YEAR(Table_1[[#This Row],[FECHA DE NAC.]])</f>
        <v>44</v>
      </c>
      <c r="I19" s="16">
        <f>VLOOKUP(Table_1[[#This Row],[CARGO]],Table_2[],2,FALSE)</f>
        <v>1200000</v>
      </c>
      <c r="J19" s="17">
        <f>Table_1[[#This Row],[Sueldo en Pesos]]/$O$3</f>
        <v>1621.6216216216217</v>
      </c>
      <c r="K19" s="18" t="str">
        <f>Table_1[[#This Row],[NOMBRE]]</f>
        <v>Ramiro</v>
      </c>
      <c r="L19" s="18"/>
    </row>
    <row r="20" spans="1:12" ht="24.75" customHeight="1">
      <c r="A20" s="20">
        <v>18</v>
      </c>
      <c r="B20" s="21" t="s">
        <v>40</v>
      </c>
      <c r="C20" s="22">
        <v>30136</v>
      </c>
      <c r="D20" s="21" t="s">
        <v>39</v>
      </c>
      <c r="E20" s="21" t="s">
        <v>13</v>
      </c>
      <c r="F20" s="13" t="s">
        <v>19</v>
      </c>
      <c r="G20" s="23">
        <v>6</v>
      </c>
      <c r="H20" s="15">
        <f>2023-YEAR(Table_1[[#This Row],[FECHA DE NAC.]])</f>
        <v>41</v>
      </c>
      <c r="I20" s="16">
        <f>VLOOKUP(Table_1[[#This Row],[CARGO]],Table_2[],2,FALSE)</f>
        <v>650000</v>
      </c>
      <c r="J20" s="17">
        <f>Table_1[[#This Row],[Sueldo en Pesos]]/$O$3</f>
        <v>878.37837837837833</v>
      </c>
      <c r="K20" s="18" t="str">
        <f>Table_1[[#This Row],[NOMBRE]]</f>
        <v>Pilar</v>
      </c>
      <c r="L20" s="18"/>
    </row>
    <row r="21" spans="1:12" ht="24.75" customHeight="1">
      <c r="A21" s="20">
        <v>19</v>
      </c>
      <c r="B21" s="21" t="s">
        <v>41</v>
      </c>
      <c r="C21" s="22">
        <v>36161</v>
      </c>
      <c r="D21" s="21" t="s">
        <v>39</v>
      </c>
      <c r="E21" s="21" t="s">
        <v>13</v>
      </c>
      <c r="F21" s="13" t="s">
        <v>19</v>
      </c>
      <c r="G21" s="23">
        <v>9</v>
      </c>
      <c r="H21" s="15">
        <f>2023-YEAR(Table_1[[#This Row],[FECHA DE NAC.]])</f>
        <v>24</v>
      </c>
      <c r="I21" s="16">
        <f>VLOOKUP(Table_1[[#This Row],[CARGO]],Table_2[],2,FALSE)</f>
        <v>650000</v>
      </c>
      <c r="J21" s="17">
        <f>Table_1[[#This Row],[Sueldo en Pesos]]/$O$3</f>
        <v>878.37837837837833</v>
      </c>
      <c r="K21" s="18" t="str">
        <f>Table_1[[#This Row],[NOMBRE]]</f>
        <v>Ramón</v>
      </c>
      <c r="L21" s="18"/>
    </row>
    <row r="22" spans="1:12" ht="24.75" customHeight="1">
      <c r="A22" s="20">
        <v>20</v>
      </c>
      <c r="B22" s="21" t="s">
        <v>42</v>
      </c>
      <c r="C22" s="22">
        <v>27123</v>
      </c>
      <c r="D22" s="21" t="s">
        <v>39</v>
      </c>
      <c r="E22" s="21" t="s">
        <v>13</v>
      </c>
      <c r="F22" s="13" t="s">
        <v>16</v>
      </c>
      <c r="G22" s="23">
        <v>2</v>
      </c>
      <c r="H22" s="15">
        <f>2023-YEAR(Table_1[[#This Row],[FECHA DE NAC.]])</f>
        <v>49</v>
      </c>
      <c r="I22" s="16">
        <f>VLOOKUP(Table_1[[#This Row],[CARGO]],Table_2[],2,FALSE)</f>
        <v>1200000</v>
      </c>
      <c r="J22" s="17">
        <f>Table_1[[#This Row],[Sueldo en Pesos]]/$O$3</f>
        <v>1621.6216216216217</v>
      </c>
      <c r="K22" s="18" t="str">
        <f>Table_1[[#This Row],[NOMBRE]]</f>
        <v>Dolores</v>
      </c>
      <c r="L22" s="18"/>
    </row>
    <row r="23" spans="1:12" ht="24.75" customHeight="1"/>
    <row r="24" spans="1:12" ht="24.75" customHeight="1"/>
  </sheetData>
  <pageMargins left="0.7" right="0.7" top="0.75" bottom="0.75" header="0" footer="0"/>
  <pageSetup orientation="landscape" r:id="rId1"/>
  <headerFooter>
    <oddHeader>&amp;R&amp;"Calibri"&amp;10&amp;K000000Documento: Personal&amp;1#</oddHead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00"/>
  <sheetViews>
    <sheetView tabSelected="1" workbookViewId="0">
      <selection activeCell="I11" sqref="I11"/>
    </sheetView>
  </sheetViews>
  <sheetFormatPr baseColWidth="10" defaultColWidth="14.42578125" defaultRowHeight="15" customHeight="1"/>
  <cols>
    <col min="1" max="1" width="18.5703125" customWidth="1"/>
    <col min="2" max="2" width="16.5703125" customWidth="1"/>
    <col min="3" max="3" width="10.7109375" customWidth="1"/>
    <col min="4" max="4" width="24" bestFit="1" customWidth="1"/>
    <col min="5" max="14" width="10.7109375" customWidth="1"/>
  </cols>
  <sheetData>
    <row r="2" spans="1:6">
      <c r="A2" s="27" t="s">
        <v>43</v>
      </c>
      <c r="D2" s="27" t="s">
        <v>44</v>
      </c>
    </row>
    <row r="3" spans="1:6" ht="26.25">
      <c r="A3" s="28" t="s">
        <v>45</v>
      </c>
      <c r="B3" s="29" t="s">
        <v>46</v>
      </c>
      <c r="D3" s="30" t="s">
        <v>47</v>
      </c>
      <c r="E3" s="31" t="s">
        <v>48</v>
      </c>
    </row>
    <row r="4" spans="1:6" ht="30" customHeight="1">
      <c r="A4" s="32" t="s">
        <v>14</v>
      </c>
      <c r="B4" s="33">
        <f>COUNTIF(Table_1[CARGO],"=Abogado")</f>
        <v>2</v>
      </c>
      <c r="D4" s="32" t="s">
        <v>13</v>
      </c>
      <c r="E4" s="29">
        <f>COUNTIF(Table_1[PROVINCIA],"=Cordoba")</f>
        <v>8</v>
      </c>
    </row>
    <row r="5" spans="1:6" ht="30" customHeight="1">
      <c r="A5" s="32" t="s">
        <v>16</v>
      </c>
      <c r="B5" s="33">
        <f>COUNTIF(Table_1[CARGO],"=Gerente")</f>
        <v>11</v>
      </c>
      <c r="D5" s="32" t="s">
        <v>23</v>
      </c>
      <c r="E5" s="29">
        <f>COUNTIF(Table_1[PROVINCIA],"=Santa Fe")</f>
        <v>4</v>
      </c>
    </row>
    <row r="6" spans="1:6" ht="30" customHeight="1">
      <c r="A6" s="32" t="s">
        <v>19</v>
      </c>
      <c r="B6" s="33">
        <f>COUNTIF(Table_1[CARGO],"=Administrativo")</f>
        <v>7</v>
      </c>
      <c r="D6" s="32" t="s">
        <v>29</v>
      </c>
      <c r="E6" s="29">
        <f>COUNTIF(Table_1[PROVINCIA],"=Buenos Aires")</f>
        <v>8</v>
      </c>
    </row>
    <row r="10" spans="1:6">
      <c r="A10" s="27" t="s">
        <v>49</v>
      </c>
      <c r="D10" s="27" t="s">
        <v>50</v>
      </c>
    </row>
    <row r="11" spans="1:6" ht="38.25">
      <c r="A11" s="30" t="s">
        <v>47</v>
      </c>
      <c r="B11" s="34" t="s">
        <v>51</v>
      </c>
      <c r="D11" s="35">
        <f>COUNTIF(Table_1[AÑOS DE TRABAJO],"&gt;5")</f>
        <v>10</v>
      </c>
    </row>
    <row r="12" spans="1:6" ht="24.75" customHeight="1">
      <c r="A12" s="32" t="s">
        <v>13</v>
      </c>
      <c r="B12" s="29">
        <f ca="1">SUMIF(Table_1[[PROVINCIA]:[Sueldo en Pesos]],"=Cordoba",Table_1[Sueldo en Pesos])</f>
        <v>10300000</v>
      </c>
    </row>
    <row r="13" spans="1:6" ht="24.75" customHeight="1">
      <c r="A13" s="32" t="s">
        <v>23</v>
      </c>
      <c r="B13" s="29">
        <f ca="1">SUMIF(Table_1[[PROVINCIA]:[Sueldo en Pesos]],"=Santa Fe",Table_1[Sueldo en Pesos])</f>
        <v>4800000</v>
      </c>
      <c r="D13" s="43" t="s">
        <v>52</v>
      </c>
      <c r="E13" s="44"/>
      <c r="F13" s="45"/>
    </row>
    <row r="14" spans="1:6" ht="24.75" customHeight="1">
      <c r="A14" s="32" t="s">
        <v>29</v>
      </c>
      <c r="B14" s="29">
        <f ca="1">SUMIF(Table_1[[PROVINCIA]:[Sueldo en Pesos]],"=Buenos Aires",Table_1[Sueldo en Pesos])</f>
        <v>8650000</v>
      </c>
      <c r="D14" s="36" t="s">
        <v>53</v>
      </c>
      <c r="E14" s="41">
        <f>MAX('HOJA DE DATOS'!I3:I22)</f>
        <v>3000000</v>
      </c>
      <c r="F14" s="42"/>
    </row>
    <row r="15" spans="1:6" ht="21.75" customHeight="1">
      <c r="D15" s="36" t="s">
        <v>54</v>
      </c>
      <c r="E15" s="39" t="str">
        <f>VLOOKUP(E14,'HOJA DE DATOS'!I3:K22,3,FALSE)</f>
        <v>Ana</v>
      </c>
      <c r="F15" s="40"/>
    </row>
    <row r="17" spans="1:4">
      <c r="A17" s="27" t="s">
        <v>55</v>
      </c>
    </row>
    <row r="18" spans="1:4">
      <c r="A18" s="37" t="s">
        <v>56</v>
      </c>
      <c r="B18" s="37" t="s">
        <v>57</v>
      </c>
      <c r="C18" s="37" t="s">
        <v>58</v>
      </c>
      <c r="D18" s="37" t="s">
        <v>59</v>
      </c>
    </row>
    <row r="19" spans="1:4">
      <c r="A19" s="38">
        <v>5</v>
      </c>
      <c r="B19" s="38" t="str">
        <f>VLOOKUP(A19,Table_1[[LEGAJO]:[NOMBRE]],2,FALSE)</f>
        <v>Mercedes</v>
      </c>
      <c r="C19" s="38" t="str">
        <f>VLOOKUP($A$19,Table_1[[LEGAJO]:[Sueldo en Pesos]],6,FALSE)</f>
        <v>Gerente</v>
      </c>
      <c r="D19" s="47">
        <f>VLOOKUP($A$19,Table_1[[LEGAJO]:[Sueldo en Pesos]],9,FALSE)</f>
        <v>1200000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">
    <mergeCell ref="E15:F15"/>
    <mergeCell ref="E14:F14"/>
    <mergeCell ref="D13:F13"/>
  </mergeCells>
  <pageMargins left="0.7" right="0.7" top="0.75" bottom="0.75" header="0" footer="0"/>
  <pageSetup orientation="portrait" r:id="rId1"/>
  <headerFooter>
    <oddHeader>&amp;R&amp;"Calibri"&amp;10&amp;K000000Documento: Personal&amp;1#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98B409-91C3-4275-BA78-4C4711E299AA}">
          <x14:formula1>
            <xm:f>'HOJA DE DATOS'!$A$3:$A$22</xm:f>
          </x14:formula1>
          <xm:sqref>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workbookViewId="0">
      <selection activeCell="I22" sqref="I22"/>
    </sheetView>
  </sheetViews>
  <sheetFormatPr baseColWidth="10" defaultColWidth="14.42578125" defaultRowHeight="15" customHeight="1"/>
  <cols>
    <col min="1" max="11" width="10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 r:id="rId1"/>
  <headerFooter>
    <oddHeader>&amp;R&amp;"Calibri"&amp;10&amp;K000000Documento: Personal&amp;1#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BA0E98BB0EA9418BD50442EB440AAD" ma:contentTypeVersion="10" ma:contentTypeDescription="Crear nuevo documento." ma:contentTypeScope="" ma:versionID="bbba2cc120fa1c044304a9ffef627038">
  <xsd:schema xmlns:xsd="http://www.w3.org/2001/XMLSchema" xmlns:xs="http://www.w3.org/2001/XMLSchema" xmlns:p="http://schemas.microsoft.com/office/2006/metadata/properties" xmlns:ns2="9a8ac9da-7d3f-4a64-ad61-144f52223f1d" xmlns:ns3="899232bf-927c-4787-8c8c-cbadee7f324a" targetNamespace="http://schemas.microsoft.com/office/2006/metadata/properties" ma:root="true" ma:fieldsID="6a9963827c20484fe4e5e52b7c607012" ns2:_="" ns3:_="">
    <xsd:import namespace="9a8ac9da-7d3f-4a64-ad61-144f52223f1d"/>
    <xsd:import namespace="899232bf-927c-4787-8c8c-cbadee7f324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ac9da-7d3f-4a64-ad61-144f52223f1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295c58cb-d5d5-42dd-8f73-ae7ba87401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232bf-927c-4787-8c8c-cbadee7f324a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a57d83aa-2e13-4abf-bf0f-c72c5ad40f37}" ma:internalName="TaxCatchAll" ma:showField="CatchAllData" ma:web="899232bf-927c-4787-8c8c-cbadee7f32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072764-B0DF-40EF-8B54-A6B4AA80BF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8ac9da-7d3f-4a64-ad61-144f52223f1d"/>
    <ds:schemaRef ds:uri="899232bf-927c-4787-8c8c-cbadee7f32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83F7E0-6899-43AB-8324-B53734ABC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METTA, IVAN (Servicio Externo en YPF)</cp:lastModifiedBy>
  <dcterms:created xsi:type="dcterms:W3CDTF">2018-06-07T23:17:58Z</dcterms:created>
  <dcterms:modified xsi:type="dcterms:W3CDTF">2023-09-24T21:23:26Z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2023-09-24T21:23:12Z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48368058-4f60-4aa0-a77d-9ef15eaf1274</vt:lpwstr>
  </property>
  <property fmtid="{D5CDD505-2E9C-101B-9397-08002B2CF9AE}" pid="8" name="MSIP_Label_228ef38c-4357-49c8-b2ae-c9cdaf411188_ContentBits">
    <vt:lpwstr>1</vt:lpwstr>
  </property>
</Properties>
</file>