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itamar\study\שנה ג\סמסטר ב\הנדסת ניסויים ומעבדות\מעבדות\ניסוי 3 - ספיקה\"/>
    </mc:Choice>
  </mc:AlternateContent>
  <xr:revisionPtr revIDLastSave="0" documentId="13_ncr:1_{C2485AF6-B8BF-42FE-89E3-A40EC364475B}" xr6:coauthVersionLast="44" xr6:coauthVersionMax="44" xr10:uidLastSave="{00000000-0000-0000-0000-000000000000}"/>
  <bookViews>
    <workbookView minimized="1" xWindow="8790" yWindow="275" windowWidth="9970" windowHeight="9825" xr2:uid="{3DFE6C0A-B9B1-458D-B12F-82EC32DBDC4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3" i="1" l="1"/>
  <c r="X22" i="1" s="1"/>
  <c r="X16" i="1"/>
  <c r="M21" i="1"/>
  <c r="O17" i="1"/>
  <c r="Z19" i="1"/>
  <c r="Z17" i="1"/>
  <c r="Z18" i="1"/>
  <c r="Z16" i="1"/>
  <c r="Z13" i="1"/>
  <c r="Z14" i="1"/>
  <c r="Z12" i="1"/>
  <c r="X23" i="1"/>
  <c r="X21" i="1"/>
  <c r="Y17" i="1"/>
  <c r="Y18" i="1"/>
  <c r="Y16" i="1"/>
  <c r="Y19" i="1" s="1"/>
  <c r="Y13" i="1"/>
  <c r="Y14" i="1"/>
  <c r="Y12" i="1"/>
  <c r="X18" i="1"/>
  <c r="X14" i="1"/>
  <c r="W22" i="1"/>
  <c r="W23" i="1"/>
  <c r="W21" i="1"/>
  <c r="W13" i="1"/>
  <c r="W14" i="1"/>
  <c r="W12" i="1"/>
  <c r="T19" i="1"/>
  <c r="V22" i="1"/>
  <c r="V23" i="1"/>
  <c r="V21" i="1"/>
  <c r="U22" i="1"/>
  <c r="U23" i="1"/>
  <c r="U21" i="1"/>
  <c r="T22" i="1"/>
  <c r="T23" i="1"/>
  <c r="T21" i="1"/>
  <c r="V17" i="1"/>
  <c r="V18" i="1"/>
  <c r="V16" i="1"/>
  <c r="V19" i="1" s="1"/>
  <c r="U17" i="1"/>
  <c r="U18" i="1"/>
  <c r="U16" i="1"/>
  <c r="U19" i="1" s="1"/>
  <c r="T17" i="1"/>
  <c r="T18" i="1"/>
  <c r="T16" i="1"/>
  <c r="T12" i="1"/>
  <c r="V14" i="1"/>
  <c r="V13" i="1"/>
  <c r="V12" i="1"/>
  <c r="U14" i="1"/>
  <c r="U13" i="1"/>
  <c r="U12" i="1"/>
  <c r="Q8" i="1"/>
  <c r="T14" i="1"/>
  <c r="T13" i="1"/>
  <c r="S6" i="1"/>
  <c r="T6" i="1" s="1"/>
  <c r="S5" i="1"/>
  <c r="T5" i="1" s="1"/>
  <c r="S4" i="1"/>
  <c r="T4" i="1" s="1"/>
  <c r="R5" i="1"/>
  <c r="R6" i="1"/>
  <c r="R4" i="1"/>
  <c r="Q6" i="1"/>
  <c r="Q4" i="1"/>
  <c r="P6" i="1"/>
  <c r="P7" i="1"/>
  <c r="P8" i="1"/>
  <c r="P5" i="1"/>
  <c r="N8" i="1"/>
  <c r="P3" i="1"/>
  <c r="C14" i="1"/>
  <c r="C15" i="1"/>
  <c r="C13" i="1"/>
  <c r="B14" i="1"/>
  <c r="B15" i="1"/>
  <c r="B13" i="1"/>
  <c r="X17" i="1" l="1"/>
  <c r="X19" i="1"/>
</calcChain>
</file>

<file path=xl/sharedStrings.xml><?xml version="1.0" encoding="utf-8"?>
<sst xmlns="http://schemas.openxmlformats.org/spreadsheetml/2006/main" count="33" uniqueCount="31">
  <si>
    <t>סט מספר-</t>
  </si>
  <si>
    <t>רוטמטר [%]</t>
  </si>
  <si>
    <t>שעון מים ביתי [סיבובים\דקה]</t>
  </si>
  <si>
    <t>צינור ונטורי [ס"מ]</t>
  </si>
  <si>
    <t>נחיר [ס"מ]</t>
  </si>
  <si>
    <t>מד סגר [ס"מ]</t>
  </si>
  <si>
    <t>מד-מגנטי [ליטר\שעה]</t>
  </si>
  <si>
    <t>שקילה [ק"ג\דקה]</t>
  </si>
  <si>
    <t>שעון מים ביתי [L/min]</t>
  </si>
  <si>
    <t>error [L/min]</t>
  </si>
  <si>
    <t>קטרים</t>
  </si>
  <si>
    <t>אינץ</t>
  </si>
  <si>
    <t>ממ</t>
  </si>
  <si>
    <t>ריינולדס</t>
  </si>
  <si>
    <t>שטח חתך</t>
  </si>
  <si>
    <t>יחסי שטחים</t>
  </si>
  <si>
    <t>צינור ונטורי</t>
  </si>
  <si>
    <t>נחיר</t>
  </si>
  <si>
    <t>מד סגר</t>
  </si>
  <si>
    <t xml:space="preserve"> ריבוע שטחים</t>
  </si>
  <si>
    <t>ונטורי</t>
  </si>
  <si>
    <t>ספיקות ונטורי</t>
  </si>
  <si>
    <t>ספיקות נחיר</t>
  </si>
  <si>
    <t>ספיקות מד סגר</t>
  </si>
  <si>
    <t>שגיאה יחסית</t>
  </si>
  <si>
    <t>אי ודאות</t>
  </si>
  <si>
    <t>ממוצע</t>
  </si>
  <si>
    <t>שקילה</t>
  </si>
  <si>
    <t>שעון ביתי</t>
  </si>
  <si>
    <t>מגנטי</t>
  </si>
  <si>
    <t>רוטמטר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</si>
</sst>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2" fontId="1" fillId="0" borderId="1" xfId="1" applyNumberForma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 wrapText="1"/>
    </xf>
    <xf numFmtId="164" fontId="1" fillId="0" borderId="1" xfId="1" applyNumberFormat="1" applyBorder="1"/>
    <xf numFmtId="0" fontId="1" fillId="0" borderId="1" xfId="1" applyBorder="1" applyAlignment="1">
      <alignment horizontal="center" vertical="center" wrapText="1"/>
    </xf>
    <xf numFmtId="0" fontId="1" fillId="0" borderId="1" xfId="1" applyBorder="1"/>
    <xf numFmtId="0" fontId="1" fillId="0" borderId="1" xfId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426E07C8-F550-4D73-AA34-C27B2340ED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7F39-FD9A-44C3-841E-65E24F8D9C69}">
  <dimension ref="A1:Z23"/>
  <sheetViews>
    <sheetView rightToLeft="1" tabSelected="1" topLeftCell="B4" zoomScale="70" zoomScaleNormal="70" workbookViewId="0">
      <selection activeCell="Y11" sqref="Y11"/>
    </sheetView>
  </sheetViews>
  <sheetFormatPr defaultRowHeight="14.25" x14ac:dyDescent="0.65"/>
  <sheetData>
    <row r="1" spans="1:26" x14ac:dyDescent="0.65">
      <c r="A1" s="7" t="s">
        <v>0</v>
      </c>
      <c r="B1" s="7">
        <v>8</v>
      </c>
      <c r="C1" s="1"/>
      <c r="D1" s="1"/>
      <c r="E1" s="1"/>
      <c r="F1" s="1"/>
      <c r="G1" s="1"/>
      <c r="H1" s="1"/>
      <c r="I1" s="1"/>
      <c r="J1" s="1"/>
      <c r="K1" s="1"/>
    </row>
    <row r="2" spans="1:26" x14ac:dyDescent="0.65">
      <c r="A2" s="8" t="s">
        <v>1</v>
      </c>
      <c r="B2" s="8" t="s">
        <v>2</v>
      </c>
      <c r="C2" s="8"/>
      <c r="D2" s="8" t="s">
        <v>3</v>
      </c>
      <c r="E2" s="8"/>
      <c r="F2" s="8" t="s">
        <v>4</v>
      </c>
      <c r="G2" s="8"/>
      <c r="H2" s="8" t="s">
        <v>5</v>
      </c>
      <c r="I2" s="8"/>
      <c r="J2" s="8" t="s">
        <v>6</v>
      </c>
      <c r="K2" s="8" t="s">
        <v>7</v>
      </c>
      <c r="M2" t="s">
        <v>10</v>
      </c>
      <c r="N2" t="s">
        <v>11</v>
      </c>
      <c r="P2" t="s">
        <v>12</v>
      </c>
      <c r="Q2" t="s">
        <v>14</v>
      </c>
      <c r="R2" t="s">
        <v>13</v>
      </c>
      <c r="S2" t="s">
        <v>15</v>
      </c>
      <c r="T2" t="s">
        <v>19</v>
      </c>
    </row>
    <row r="3" spans="1:26" x14ac:dyDescent="0.65">
      <c r="A3" s="8"/>
      <c r="B3" s="8"/>
      <c r="C3" s="8"/>
      <c r="D3" s="6">
        <v>4</v>
      </c>
      <c r="E3" s="6">
        <v>3</v>
      </c>
      <c r="F3" s="6">
        <v>7</v>
      </c>
      <c r="G3" s="6">
        <v>8</v>
      </c>
      <c r="H3" s="6">
        <v>11</v>
      </c>
      <c r="I3" s="6">
        <v>12</v>
      </c>
      <c r="J3" s="8"/>
      <c r="K3" s="8"/>
      <c r="M3">
        <v>3</v>
      </c>
      <c r="N3">
        <v>1.25</v>
      </c>
      <c r="P3">
        <f>(31.75/1.25)*N3</f>
        <v>31.75</v>
      </c>
    </row>
    <row r="4" spans="1:26" x14ac:dyDescent="0.65">
      <c r="A4" s="3">
        <v>34</v>
      </c>
      <c r="B4" s="5">
        <v>16.399999999999999</v>
      </c>
      <c r="C4" s="4">
        <v>16.5</v>
      </c>
      <c r="D4" s="4">
        <v>88</v>
      </c>
      <c r="E4" s="4">
        <v>93.3</v>
      </c>
      <c r="F4" s="4">
        <v>42.1</v>
      </c>
      <c r="G4" s="4">
        <v>65.400000000000006</v>
      </c>
      <c r="H4" s="4">
        <v>32.1</v>
      </c>
      <c r="I4" s="4">
        <v>41.3</v>
      </c>
      <c r="J4" s="3">
        <v>979</v>
      </c>
      <c r="K4" s="2">
        <v>16.3</v>
      </c>
      <c r="M4">
        <v>4</v>
      </c>
      <c r="O4" t="s">
        <v>20</v>
      </c>
      <c r="P4">
        <v>18</v>
      </c>
      <c r="Q4">
        <f>0.25*PI()*((P4*0.001)^2)</f>
        <v>2.5446900494077327E-4</v>
      </c>
      <c r="R4">
        <f>((4*1000*(K4/60))/(PI()*31.75*0.001*0.979))</f>
        <v>11128.075184750176</v>
      </c>
      <c r="S4">
        <f>(P4/P3)^2</f>
        <v>0.32140864281728565</v>
      </c>
      <c r="T4">
        <f>S4^2</f>
        <v>0.1033035156776495</v>
      </c>
    </row>
    <row r="5" spans="1:26" x14ac:dyDescent="0.65">
      <c r="A5" s="3">
        <v>53</v>
      </c>
      <c r="B5" s="5">
        <v>26.112000000000002</v>
      </c>
      <c r="C5" s="4">
        <v>26.360064000000005</v>
      </c>
      <c r="D5" s="4">
        <v>90.1</v>
      </c>
      <c r="E5" s="4">
        <v>103.2</v>
      </c>
      <c r="F5" s="4">
        <v>45</v>
      </c>
      <c r="G5" s="4">
        <v>102.5</v>
      </c>
      <c r="H5" s="4">
        <v>28.4</v>
      </c>
      <c r="I5" s="4">
        <v>51</v>
      </c>
      <c r="J5" s="3">
        <v>1538</v>
      </c>
      <c r="K5" s="2">
        <v>25.6</v>
      </c>
      <c r="M5">
        <v>7</v>
      </c>
      <c r="N5">
        <v>1.25</v>
      </c>
      <c r="P5">
        <f>(31.75/1.25)*N5</f>
        <v>31.75</v>
      </c>
      <c r="R5">
        <f t="shared" ref="R5:R6" si="0">((4*1000*(K5/60))/(PI()*31.75*0.001*0.979))</f>
        <v>17477.222376049354</v>
      </c>
      <c r="S5">
        <f>(P6/P5)^2</f>
        <v>0.15999999999999998</v>
      </c>
      <c r="T5">
        <f t="shared" ref="T5:T6" si="1">S5^2</f>
        <v>2.5599999999999991E-2</v>
      </c>
    </row>
    <row r="6" spans="1:26" x14ac:dyDescent="0.65">
      <c r="A6" s="3">
        <v>71</v>
      </c>
      <c r="B6" s="5">
        <v>35.226000000000006</v>
      </c>
      <c r="C6" s="4">
        <v>35.578260000000007</v>
      </c>
      <c r="D6" s="4">
        <v>91</v>
      </c>
      <c r="E6" s="4">
        <v>114.4</v>
      </c>
      <c r="F6" s="4">
        <v>48.6</v>
      </c>
      <c r="G6" s="4">
        <v>151.19999999999999</v>
      </c>
      <c r="H6" s="4">
        <v>21.2</v>
      </c>
      <c r="I6" s="4">
        <v>61.6</v>
      </c>
      <c r="J6" s="3">
        <v>2054</v>
      </c>
      <c r="K6" s="2">
        <v>34.200000000000003</v>
      </c>
      <c r="M6">
        <v>8</v>
      </c>
      <c r="N6">
        <v>0.5</v>
      </c>
      <c r="O6" t="s">
        <v>17</v>
      </c>
      <c r="P6">
        <f t="shared" ref="P6:P8" si="2">(31.75/1.25)*N6</f>
        <v>12.7</v>
      </c>
      <c r="Q6">
        <f t="shared" ref="Q5:Q8" si="3">0.25*PI()*((P6*0.001)^2)</f>
        <v>1.2667686977437442E-4</v>
      </c>
      <c r="R6">
        <f t="shared" si="0"/>
        <v>23348.476768003438</v>
      </c>
      <c r="S6">
        <f>(P8/P7)^2</f>
        <v>0.25</v>
      </c>
      <c r="T6">
        <f t="shared" si="1"/>
        <v>6.25E-2</v>
      </c>
    </row>
    <row r="7" spans="1:26" x14ac:dyDescent="0.65">
      <c r="M7">
        <v>11</v>
      </c>
      <c r="N7">
        <v>1.25</v>
      </c>
      <c r="P7">
        <f t="shared" si="2"/>
        <v>31.75</v>
      </c>
    </row>
    <row r="8" spans="1:26" x14ac:dyDescent="0.65">
      <c r="M8">
        <v>12</v>
      </c>
      <c r="N8">
        <f>5/8</f>
        <v>0.625</v>
      </c>
      <c r="O8" t="s">
        <v>18</v>
      </c>
      <c r="P8">
        <f t="shared" si="2"/>
        <v>15.875</v>
      </c>
      <c r="Q8">
        <f t="shared" si="3"/>
        <v>1.9793260902246007E-4</v>
      </c>
    </row>
    <row r="11" spans="1:26" x14ac:dyDescent="0.65">
      <c r="B11" t="s">
        <v>8</v>
      </c>
      <c r="C11" t="s">
        <v>9</v>
      </c>
      <c r="Q11" t="s">
        <v>16</v>
      </c>
      <c r="R11" t="s">
        <v>17</v>
      </c>
      <c r="S11" t="s">
        <v>18</v>
      </c>
      <c r="T11" t="s">
        <v>21</v>
      </c>
      <c r="U11" t="s">
        <v>22</v>
      </c>
      <c r="V11" t="s">
        <v>23</v>
      </c>
      <c r="W11" t="s">
        <v>27</v>
      </c>
      <c r="X11" t="s">
        <v>28</v>
      </c>
      <c r="Y11" t="s">
        <v>29</v>
      </c>
      <c r="Z11" t="s">
        <v>30</v>
      </c>
    </row>
    <row r="12" spans="1:26" x14ac:dyDescent="0.65">
      <c r="P12" s="2">
        <v>16.3</v>
      </c>
      <c r="Q12">
        <v>0.98699999999999999</v>
      </c>
      <c r="R12">
        <v>0.99</v>
      </c>
      <c r="S12">
        <v>0.63</v>
      </c>
      <c r="T12">
        <f>(Q12*Q4*SQRT(2*9.81*0.01*(E4-D4)))*1000*60</f>
        <v>15.367058018118945</v>
      </c>
      <c r="U12">
        <f>(R12*Q6*SQRT(2*9.81*0.01*(G4-F4)))*1000*60</f>
        <v>16.088339797192333</v>
      </c>
      <c r="V12">
        <f>(S12*Q8*SQRT(2*9.81*0.01*(I4-H4)))*1000*60</f>
        <v>10.052001953617843</v>
      </c>
      <c r="W12" s="10">
        <f>K4</f>
        <v>16.3</v>
      </c>
      <c r="X12" s="9">
        <v>16.5</v>
      </c>
      <c r="Y12">
        <f>J4/60</f>
        <v>16.316666666666666</v>
      </c>
      <c r="Z12">
        <f>48.5*0.01*A4</f>
        <v>16.489999999999998</v>
      </c>
    </row>
    <row r="13" spans="1:26" x14ac:dyDescent="0.65">
      <c r="B13" s="9">
        <f>AVERAGE(B4:C4)</f>
        <v>16.45</v>
      </c>
      <c r="C13">
        <f>SQRT((0.05^2)+((B13/60)^2))</f>
        <v>0.27868864546499039</v>
      </c>
      <c r="P13" s="2">
        <v>25.6</v>
      </c>
      <c r="Q13">
        <v>0.99199999999999999</v>
      </c>
      <c r="R13">
        <v>1</v>
      </c>
      <c r="S13">
        <v>0.63</v>
      </c>
      <c r="T13">
        <f>Q13*Q4*SQRT(2*9.81*0.01*(E5-D5))*1000*60</f>
        <v>24.281916618690151</v>
      </c>
      <c r="U13">
        <f>(R13*Q6*SQRT(2*9.81*0.01*(G5-F5)))*1000*60</f>
        <v>25.528893850458015</v>
      </c>
      <c r="V13">
        <f>(S13*Q8*SQRT(2*9.81*0.01*(I5-H5)))*1000*60</f>
        <v>15.754799124004473</v>
      </c>
      <c r="W13" s="10">
        <f t="shared" ref="W13:W14" si="4">K5</f>
        <v>25.6</v>
      </c>
      <c r="X13" s="9">
        <f>AVERAGE(B5,C5)</f>
        <v>26.236032000000002</v>
      </c>
      <c r="Y13">
        <f t="shared" ref="Y13:Y14" si="5">J5/60</f>
        <v>25.633333333333333</v>
      </c>
      <c r="Z13">
        <f t="shared" ref="Z13:Z14" si="6">48.5*0.01*A5</f>
        <v>25.704999999999998</v>
      </c>
    </row>
    <row r="14" spans="1:26" x14ac:dyDescent="0.65">
      <c r="B14" s="9">
        <f>AVERAGE(B5:C5)</f>
        <v>26.236032000000002</v>
      </c>
      <c r="C14">
        <f t="shared" ref="C14:C15" si="7">SQRT((0.05^2)+((B14/60)^2))</f>
        <v>0.44011658023282879</v>
      </c>
      <c r="P14" s="2">
        <v>34.200000000000003</v>
      </c>
      <c r="Q14">
        <v>0.99199999999999999</v>
      </c>
      <c r="R14">
        <v>1</v>
      </c>
      <c r="S14">
        <v>0.63</v>
      </c>
      <c r="T14">
        <f>Q14*Q4*SQRT(2*9.81*0.01*(E6-D6))*1000*60</f>
        <v>32.453029484248731</v>
      </c>
      <c r="U14">
        <f>(R14*Q6*SQRT(2*9.81*0.01*(G6-F6)))*1000*60</f>
        <v>34.101364404168322</v>
      </c>
      <c r="V14">
        <f>(S14*Q8*SQRT(2*9.81*0.01*(I6-H6)))*1000*60</f>
        <v>21.06441164291423</v>
      </c>
      <c r="W14" s="10">
        <f t="shared" si="4"/>
        <v>34.200000000000003</v>
      </c>
      <c r="X14" s="9">
        <f t="shared" ref="X13:X14" si="8">AVERAGE(B6,C6)</f>
        <v>35.402130000000007</v>
      </c>
      <c r="Y14">
        <f t="shared" si="5"/>
        <v>34.233333333333334</v>
      </c>
      <c r="Z14">
        <f t="shared" si="6"/>
        <v>34.435000000000002</v>
      </c>
    </row>
    <row r="15" spans="1:26" x14ac:dyDescent="0.65">
      <c r="B15" s="9">
        <f>AVERAGE(B6:C6)</f>
        <v>35.402130000000007</v>
      </c>
      <c r="C15">
        <f t="shared" si="7"/>
        <v>0.59215022693591035</v>
      </c>
      <c r="T15" t="s">
        <v>24</v>
      </c>
    </row>
    <row r="16" spans="1:26" x14ac:dyDescent="0.65">
      <c r="T16">
        <f>(ABS(P12-T12)/P12)*100</f>
        <v>5.7235704409880741</v>
      </c>
      <c r="U16">
        <f>(ABS(P12-U12)/P12)*100</f>
        <v>1.2985288515807836</v>
      </c>
      <c r="V16">
        <f>(ABS(V12-P12)/P12)*100</f>
        <v>38.331276358172744</v>
      </c>
      <c r="X16">
        <f>(ABS(W12-X12))</f>
        <v>0.19999999999999929</v>
      </c>
      <c r="Y16">
        <f>(ABS(Y12-P12)/P12)*100</f>
        <v>0.10224948875255041</v>
      </c>
      <c r="Z16">
        <f>(ABS(Z12-P12)/P12)*100</f>
        <v>1.165644171779127</v>
      </c>
    </row>
    <row r="17" spans="13:26" x14ac:dyDescent="0.65">
      <c r="O17">
        <f>(16.5-16.3)/16.3</f>
        <v>1.2269938650306704E-2</v>
      </c>
      <c r="T17">
        <f t="shared" ref="T17:T18" si="9">(ABS(P13-T13)/P13)*100</f>
        <v>5.148763208241605</v>
      </c>
      <c r="U17">
        <f t="shared" ref="U17:U18" si="10">(ABS(P13-U13)/P13)*100</f>
        <v>0.27775839664838375</v>
      </c>
      <c r="V17">
        <f t="shared" ref="V17:V18" si="11">(ABS(V13-P13)/P13)*100</f>
        <v>38.457815921857531</v>
      </c>
      <c r="X17">
        <f>(ABS(X13-P13)/P13)*100</f>
        <v>2.4845000000000006</v>
      </c>
      <c r="Y17">
        <f t="shared" ref="Y17:Y19" si="12">(ABS(Y13-P13)/P13)*100</f>
        <v>0.13020833333332593</v>
      </c>
      <c r="Z17">
        <f t="shared" ref="Z17:Z19" si="13">(ABS(Z13-P13)/P13)*100</f>
        <v>0.41015624999998779</v>
      </c>
    </row>
    <row r="18" spans="13:26" x14ac:dyDescent="0.65">
      <c r="T18">
        <f t="shared" si="9"/>
        <v>5.1081009232493333</v>
      </c>
      <c r="U18">
        <f t="shared" si="10"/>
        <v>0.28840817494643473</v>
      </c>
      <c r="V18">
        <f t="shared" si="11"/>
        <v>38.408153090894068</v>
      </c>
      <c r="X18">
        <f t="shared" ref="X17:X19" si="14">(ABS(X14-P14)/P14)*100</f>
        <v>3.5150000000000112</v>
      </c>
      <c r="Y18">
        <f t="shared" si="12"/>
        <v>9.7465886939565607E-2</v>
      </c>
      <c r="Z18">
        <f t="shared" si="13"/>
        <v>0.68713450292397482</v>
      </c>
    </row>
    <row r="19" spans="13:26" x14ac:dyDescent="0.65">
      <c r="S19" t="s">
        <v>26</v>
      </c>
      <c r="T19">
        <f>AVERAGE(T16:T17)</f>
        <v>5.4361668246148396</v>
      </c>
      <c r="U19">
        <f t="shared" ref="U19:V19" si="15">AVERAGE(U16:U17)</f>
        <v>0.78814362411458361</v>
      </c>
      <c r="V19">
        <f t="shared" si="15"/>
        <v>38.394546140015137</v>
      </c>
      <c r="X19">
        <f>AVERAGE(X16:X18)</f>
        <v>2.0665000000000036</v>
      </c>
      <c r="Y19">
        <f>AVERAGE(Y16:Y18)</f>
        <v>0.10997456967514731</v>
      </c>
      <c r="Z19">
        <f>AVERAGE(Z16:Z18)</f>
        <v>0.75431164156769659</v>
      </c>
    </row>
    <row r="20" spans="13:26" x14ac:dyDescent="0.65">
      <c r="T20" t="s">
        <v>25</v>
      </c>
    </row>
    <row r="21" spans="13:26" x14ac:dyDescent="0.65">
      <c r="M21">
        <f>0.15/16.3</f>
        <v>9.2024539877300603E-3</v>
      </c>
      <c r="T21">
        <f>(T12/(2*0.01*(E4-D4)))*0.00071</f>
        <v>0.1029302942723062</v>
      </c>
      <c r="U21">
        <f>(U12/(2*0.01*(G4-F4)))*0.00071</f>
        <v>2.4512277373404626E-2</v>
      </c>
      <c r="V21">
        <f>(V12/(2*0.01*(I4-H4)))*0.00071</f>
        <v>3.8787616234068872E-2</v>
      </c>
      <c r="W21">
        <f>SQRT((0.05^2) +((W12/60)^2))</f>
        <v>0.27622957440827689</v>
      </c>
      <c r="X21">
        <f>SQRT((0.05^2) +((X12/60)^2))</f>
        <v>0.27950849718747373</v>
      </c>
      <c r="Y21">
        <v>1.7000000000000001E-2</v>
      </c>
      <c r="Z21">
        <v>0.24</v>
      </c>
    </row>
    <row r="22" spans="13:26" x14ac:dyDescent="0.65">
      <c r="T22">
        <f t="shared" ref="T22:T23" si="16">(T13/(2*0.01*(E5-D5)))*0.00071</f>
        <v>6.5802140455228988E-2</v>
      </c>
      <c r="U22">
        <f t="shared" ref="U22:U23" si="17">(U13/(2*0.01*(G5-F5)))*0.00071</f>
        <v>1.5761317072891468E-2</v>
      </c>
      <c r="V22">
        <f t="shared" ref="V22:V23" si="18">(V13/(2*0.01*(I5-H5)))*0.00071</f>
        <v>2.4747582694785789E-2</v>
      </c>
      <c r="W22">
        <f>SQRT((0.05^2) +((W13/60)^2))</f>
        <v>0.42958636436046765</v>
      </c>
      <c r="X22">
        <f t="shared" ref="X22:X23" si="19">SQRT((0.05^2) +((X13/60)^2))</f>
        <v>0.44011658023282879</v>
      </c>
      <c r="Y22">
        <v>1.7000000000000001E-2</v>
      </c>
      <c r="Z22">
        <v>0.24</v>
      </c>
    </row>
    <row r="23" spans="13:26" x14ac:dyDescent="0.65">
      <c r="T23">
        <f t="shared" si="16"/>
        <v>4.9234296867129469E-2</v>
      </c>
      <c r="U23">
        <f t="shared" si="17"/>
        <v>1.1799205032631339E-2</v>
      </c>
      <c r="V23">
        <f t="shared" si="18"/>
        <v>1.8509569636719184E-2</v>
      </c>
      <c r="W23">
        <f>SQRT((0.05^2) +((W14/60)^2))</f>
        <v>0.57218878003679874</v>
      </c>
      <c r="X23">
        <f t="shared" si="19"/>
        <v>0.59215022693591035</v>
      </c>
      <c r="Y23">
        <v>1.7000000000000001E-2</v>
      </c>
      <c r="Z23">
        <v>0.24</v>
      </c>
    </row>
  </sheetData>
  <mergeCells count="7">
    <mergeCell ref="J2:J3"/>
    <mergeCell ref="K2:K3"/>
    <mergeCell ref="A2:A3"/>
    <mergeCell ref="B2:C3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2020-05-19T13:59:11Z</dcterms:created>
  <dcterms:modified xsi:type="dcterms:W3CDTF">2020-05-23T08:28:48Z</dcterms:modified>
</cp:coreProperties>
</file>