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\Documents\projects\sustainbale-it\co2-inventory\"/>
    </mc:Choice>
  </mc:AlternateContent>
  <xr:revisionPtr revIDLastSave="0" documentId="13_ncr:1_{4C602F41-4BD0-41AC-99CE-703C0AEB70A9}" xr6:coauthVersionLast="47" xr6:coauthVersionMax="47" xr10:uidLastSave="{00000000-0000-0000-0000-000000000000}"/>
  <bookViews>
    <workbookView xWindow="-96" yWindow="-96" windowWidth="23232" windowHeight="13872" xr2:uid="{00DFB48A-7FA1-423F-947E-51911387DC15}"/>
  </bookViews>
  <sheets>
    <sheet name="Zusammenfassung" sheetId="6" r:id="rId1"/>
    <sheet name="Server" sheetId="1" r:id="rId2"/>
    <sheet name="Arbeitsplätze" sheetId="2" r:id="rId3"/>
    <sheet name="Andere-Devices" sheetId="8" r:id="rId4"/>
    <sheet name="Cloud" sheetId="3" r:id="rId5"/>
    <sheet name="Marketing u. Komm" sheetId="9" r:id="rId6"/>
    <sheet name="Transpor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8" l="1"/>
  <c r="H6" i="2"/>
  <c r="H5" i="2"/>
  <c r="H4" i="2"/>
  <c r="H3" i="2"/>
  <c r="H2" i="2"/>
  <c r="H6" i="8"/>
  <c r="G6" i="8"/>
  <c r="I6" i="8" s="1"/>
  <c r="H5" i="8"/>
  <c r="G5" i="8"/>
  <c r="H4" i="8"/>
  <c r="G4" i="8"/>
  <c r="H3" i="8"/>
  <c r="G3" i="8"/>
  <c r="G2" i="8"/>
  <c r="I2" i="8" s="1"/>
  <c r="G6" i="2"/>
  <c r="I6" i="2" s="1"/>
  <c r="G5" i="2"/>
  <c r="G4" i="2"/>
  <c r="G3" i="2"/>
  <c r="G2" i="2"/>
  <c r="I2" i="2" s="1"/>
  <c r="I5" i="8" l="1"/>
  <c r="I5" i="2"/>
  <c r="I4" i="8"/>
  <c r="I3" i="8"/>
  <c r="I4" i="2"/>
  <c r="I3" i="2"/>
  <c r="I10" i="1" l="1"/>
  <c r="I9" i="1"/>
  <c r="I8" i="1"/>
  <c r="I7" i="1"/>
  <c r="I6" i="1"/>
  <c r="I5" i="1"/>
  <c r="I4" i="1"/>
  <c r="I3" i="1"/>
  <c r="I2" i="1"/>
  <c r="F19" i="9"/>
  <c r="F18" i="9"/>
  <c r="F17" i="9"/>
  <c r="C9" i="4"/>
  <c r="C8" i="4"/>
  <c r="C7" i="4"/>
  <c r="C6" i="4"/>
  <c r="C5" i="4"/>
  <c r="C4" i="4"/>
  <c r="C3" i="4"/>
  <c r="E12" i="9"/>
  <c r="E11" i="9"/>
  <c r="E10" i="9"/>
  <c r="E13" i="9"/>
  <c r="D5" i="9"/>
  <c r="D4" i="9"/>
  <c r="D6" i="9"/>
  <c r="B6" i="3"/>
  <c r="C11" i="6" s="1"/>
  <c r="F11" i="8"/>
  <c r="G11" i="8"/>
  <c r="F12" i="8"/>
  <c r="G12" i="8"/>
  <c r="F13" i="8"/>
  <c r="G13" i="8"/>
  <c r="F14" i="8"/>
  <c r="G14" i="8"/>
  <c r="F15" i="8"/>
  <c r="G15" i="8"/>
  <c r="G19" i="8"/>
  <c r="F19" i="8"/>
  <c r="G18" i="8"/>
  <c r="F18" i="8"/>
  <c r="G17" i="8"/>
  <c r="F17" i="8"/>
  <c r="G16" i="8"/>
  <c r="F16" i="8"/>
  <c r="G19" i="2"/>
  <c r="G18" i="2"/>
  <c r="G17" i="2"/>
  <c r="G16" i="2"/>
  <c r="G15" i="2"/>
  <c r="G14" i="2"/>
  <c r="G13" i="2"/>
  <c r="G12" i="2"/>
  <c r="G11" i="2"/>
  <c r="F19" i="2"/>
  <c r="F18" i="2"/>
  <c r="F17" i="2"/>
  <c r="F16" i="2"/>
  <c r="F15" i="2"/>
  <c r="F14" i="2"/>
  <c r="F13" i="2"/>
  <c r="F12" i="2"/>
  <c r="F11" i="2"/>
  <c r="D3" i="1"/>
  <c r="D7" i="9" l="1"/>
  <c r="F20" i="9"/>
  <c r="C10" i="4"/>
  <c r="C13" i="6" s="1"/>
  <c r="I11" i="1"/>
  <c r="C8" i="6" s="1"/>
  <c r="C1" i="9" l="1"/>
  <c r="C12" i="6" s="1"/>
  <c r="I7" i="8"/>
  <c r="C10" i="6" s="1"/>
  <c r="I7" i="2"/>
  <c r="C9" i="6" s="1"/>
  <c r="C15" i="6" l="1"/>
</calcChain>
</file>

<file path=xl/sharedStrings.xml><?xml version="1.0" encoding="utf-8"?>
<sst xmlns="http://schemas.openxmlformats.org/spreadsheetml/2006/main" count="233" uniqueCount="145">
  <si>
    <t>Server-Kennung</t>
  </si>
  <si>
    <t>Marke</t>
  </si>
  <si>
    <t>Typ</t>
  </si>
  <si>
    <t>Standort</t>
  </si>
  <si>
    <t>PUE</t>
  </si>
  <si>
    <t>gCO2eq/kWh</t>
  </si>
  <si>
    <t>Schweiz</t>
  </si>
  <si>
    <t>Bemerkung</t>
  </si>
  <si>
    <t>Endgerät-Setup-ID</t>
  </si>
  <si>
    <t>Beschreibung</t>
  </si>
  <si>
    <t>Anzahl</t>
  </si>
  <si>
    <t>Kommentar</t>
  </si>
  <si>
    <t>HP</t>
  </si>
  <si>
    <t>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</t>
  </si>
  <si>
    <t>eCO2kg/Jahr</t>
  </si>
  <si>
    <t>Lebensdauer</t>
  </si>
  <si>
    <t>kgCO2eq Graue Energie</t>
  </si>
  <si>
    <t>Endgeräte-Setup-ID</t>
  </si>
  <si>
    <t>Gerät</t>
  </si>
  <si>
    <t>Laptop/2-Bildschirme/Dock</t>
  </si>
  <si>
    <t>Standard-Workplace</t>
  </si>
  <si>
    <t>Lenovo Laptop</t>
  </si>
  <si>
    <t>Bildschirm</t>
  </si>
  <si>
    <t>Einzeln kWh jährlich</t>
  </si>
  <si>
    <t>Dock</t>
  </si>
  <si>
    <t>Apple-Workplace</t>
  </si>
  <si>
    <t>iMac 24" 2019</t>
  </si>
  <si>
    <t>Bildschirm 24"</t>
  </si>
  <si>
    <t>iMac/Bildschirm</t>
  </si>
  <si>
    <t>Server</t>
  </si>
  <si>
    <t>Arbeitsplätze</t>
  </si>
  <si>
    <t>Andere Devices</t>
  </si>
  <si>
    <t>Total</t>
  </si>
  <si>
    <t>Total kgCO2eq/Jahr</t>
  </si>
  <si>
    <t>kgCOeq/Jahr</t>
  </si>
  <si>
    <t>Cloud</t>
  </si>
  <si>
    <t>Transport</t>
  </si>
  <si>
    <t>Device-Setup-ID</t>
  </si>
  <si>
    <t>läuft 24/7</t>
  </si>
  <si>
    <t>Synology</t>
  </si>
  <si>
    <t>Backup-NAS</t>
  </si>
  <si>
    <t>DS920+</t>
  </si>
  <si>
    <t>Mit diesem Sheet, lässt sich das CO2 Inventar einer Organisation erstellen.</t>
  </si>
  <si>
    <t>Zeitterminal</t>
  </si>
  <si>
    <t>kgCO2</t>
  </si>
  <si>
    <t>Transport-Art</t>
  </si>
  <si>
    <t>https://co2.myclimate.org/de/flight_calculators/new</t>
  </si>
  <si>
    <t>https://www.icao.int/environmental-protection/Carbonoffset/Pages/default.aspx</t>
  </si>
  <si>
    <t>https://co2.myclimate.org/en/car_calculators/new</t>
  </si>
  <si>
    <t>https://calculator.carbonfootprint.com/calculator.aspx?tab=4</t>
  </si>
  <si>
    <t>https://calculator.carbonfootprint.com/calculator.aspx?tab=3</t>
  </si>
  <si>
    <t>Flug-ZRH-JFK-Retour</t>
  </si>
  <si>
    <t>Pendeln-15km</t>
  </si>
  <si>
    <t>Cloud-Service</t>
  </si>
  <si>
    <t>Jira-Cloud</t>
  </si>
  <si>
    <t>unbekannt</t>
  </si>
  <si>
    <t>Test Server</t>
  </si>
  <si>
    <t>Main Server</t>
  </si>
  <si>
    <t>Maschinensteuerung</t>
  </si>
  <si>
    <t>Custom</t>
  </si>
  <si>
    <t>Anleitung</t>
  </si>
  <si>
    <t>Wähle einen Bereich aus, den du erfassen möchtest. Es ist sinnvoll Schritt für Schritt vorzugehen und pro Bereich ein Verständnis zu erarbeiten.</t>
  </si>
  <si>
    <t>Website</t>
  </si>
  <si>
    <t>Besucher pro Tag</t>
  </si>
  <si>
    <t>Legende Farben</t>
  </si>
  <si>
    <t>mysite.com</t>
  </si>
  <si>
    <t>Mail-Kampagnen</t>
  </si>
  <si>
    <t>Empfänger</t>
  </si>
  <si>
    <t>https://www.websitecarbon.com/</t>
  </si>
  <si>
    <t>Websites messen, Anzahl Besucher aus eigener Statistik</t>
  </si>
  <si>
    <t>0.3g kurzes mail, 17g langes mail</t>
  </si>
  <si>
    <t>Total Web</t>
  </si>
  <si>
    <t>Total Mail</t>
  </si>
  <si>
    <t>Image Campaign</t>
  </si>
  <si>
    <t>Anzahl Kampagnen/Jahr</t>
  </si>
  <si>
    <t>Newsletter</t>
  </si>
  <si>
    <t>Marketing/Kommunikation</t>
  </si>
  <si>
    <t>Total Server</t>
  </si>
  <si>
    <t>Pro Transportart mit Berechnungswebsite ausrechnen.</t>
  </si>
  <si>
    <t>kgCO2 bei Transport Art eintragen</t>
  </si>
  <si>
    <t>Mit gleicher Transport Art in oberer Tabelle Anzahl ergänzen (zB Anzahl Pendeltage)</t>
  </si>
  <si>
    <t>Autofahrten</t>
  </si>
  <si>
    <t>Flüge</t>
  </si>
  <si>
    <t>öffentlicher Verkehr</t>
  </si>
  <si>
    <t>https://calculator.carbonfootprint.com/calculator.aspx?lang=de&amp;tab=6</t>
  </si>
  <si>
    <t>Video-Calls</t>
  </si>
  <si>
    <t>Anzahl Calls</t>
  </si>
  <si>
    <t>Weekly Meetings</t>
  </si>
  <si>
    <t>Call Länge Stunden</t>
  </si>
  <si>
    <t>Anzahl Personen</t>
  </si>
  <si>
    <t>Call-Art</t>
  </si>
  <si>
    <t>Total Calls</t>
  </si>
  <si>
    <t>Audio</t>
  </si>
  <si>
    <t>Video</t>
  </si>
  <si>
    <t>Video HD</t>
  </si>
  <si>
    <t>Video UHD</t>
  </si>
  <si>
    <t>https://www.cmswire.com/digital-workplace/the-hidden-pollution-cost-of-online-meetings/</t>
  </si>
  <si>
    <t>Netzwerk KWH/GB</t>
  </si>
  <si>
    <t>https://www.green-coding.io/co2-formulas/</t>
  </si>
  <si>
    <t>GB</t>
  </si>
  <si>
    <t>Total Marketing und Kommunikation</t>
  </si>
  <si>
    <t>AWS Cloud Footprint</t>
  </si>
  <si>
    <t>Suche nach: "DS920+ carbon footprint"</t>
  </si>
  <si>
    <t>Boavizta datenbank (nicht sehr aktuell):</t>
  </si>
  <si>
    <t>https://github.com/Boavizta/environmental-footprint-data</t>
  </si>
  <si>
    <t>Durchschnittlicher CO2 Energie mix suchen oder CO2 der gekauften Energieart eintragen.</t>
  </si>
  <si>
    <t>Siehe auch:</t>
  </si>
  <si>
    <t>https://app.electricitymaps.com/map</t>
  </si>
  <si>
    <t>PUE des Datencenters eintragen</t>
  </si>
  <si>
    <t>Pro Gerät Verbrauch und graue Energie suchen</t>
  </si>
  <si>
    <t>Wenn unbekannt schätzen oder 1 eintragen</t>
  </si>
  <si>
    <t>Device-Setup-ID muss in den Tabellen gleich sein</t>
  </si>
  <si>
    <t>Cloud provider Daten abfragen</t>
  </si>
  <si>
    <t>z.B. AWS Carbon Dashboard</t>
  </si>
  <si>
    <t>https://aws.amazon.com/de/aws-cost-management/aws-customer-carbon-footprint-tool/</t>
  </si>
  <si>
    <t>https://github.com/green-coding-solutions/eco-server-energy-estimation</t>
  </si>
  <si>
    <t>CO2-Inventar IT-Infrastruktur</t>
  </si>
  <si>
    <t>© Stefan Aeschbacher 2025 - sustainabletech.io</t>
  </si>
  <si>
    <t>Fehler/Verbesserungen:</t>
  </si>
  <si>
    <t>https://github.com/imix/co2-inventory/issues</t>
  </si>
  <si>
    <t>https://github.com/imix/co2-inventory</t>
  </si>
  <si>
    <t>aktuelle Version</t>
  </si>
  <si>
    <t>Beispieldaten zur Verständnishilfe in den Sheets, vor dem Ausfüllen löschen.</t>
  </si>
  <si>
    <t>ProLiandtDL380 Gen 10</t>
  </si>
  <si>
    <t>ProLiant DL 380 Gen 9</t>
  </si>
  <si>
    <t>Öffne den Tab lies die Anleitung und fülle es aus.</t>
  </si>
  <si>
    <t>Spalten mit grauem Titel sind durch dich auszufüllen.</t>
  </si>
  <si>
    <t>Spalten mit orangen Titel sind durch dich auszufüllen.</t>
  </si>
  <si>
    <t>graues CO2 kg</t>
  </si>
  <si>
    <t>kWh/Jahr</t>
  </si>
  <si>
    <t>Total kWh/Jahr</t>
  </si>
  <si>
    <t>Total graue kgCO2eq</t>
  </si>
  <si>
    <t>kgCO2eq graue Energie</t>
  </si>
  <si>
    <t>gCO2eq/Seite</t>
  </si>
  <si>
    <t>gCO2eq/Mail</t>
  </si>
  <si>
    <t>kgCO2eq/Jahr</t>
  </si>
  <si>
    <t>kgCO2eq</t>
  </si>
  <si>
    <t>Durchschnittlicher CO2eq gehalt deines Energie mix suchen oder CO2eq der gekauften Energieart eintragen.</t>
  </si>
  <si>
    <t>PUE üblicherweise von 1.2 bis 2.5, kleinere und ältere RZ üblicherweise höher</t>
  </si>
  <si>
    <t>Oder mit folgendem Tool schätzen (für cloud server):</t>
  </si>
  <si>
    <t>CO2eq/email (https://www.fortomorrow.eu/en/blog/carbon-email)</t>
  </si>
  <si>
    <t>Anzahl Kampagnen und Empfänger einfüllen</t>
  </si>
  <si>
    <t>Anzahl Calls, Personen und Länge angeben</t>
  </si>
  <si>
    <t>Call Art aud der Liste unten auswählen</t>
  </si>
  <si>
    <t>Text ausserhalb der Tabellen nicht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</si>
</sst>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Lato"/>
      <family val="2"/>
    </font>
    <font>
      <b/>
      <sz val="11"/>
      <color theme="1"/>
      <name val="Lato"/>
      <family val="2"/>
    </font>
    <font>
      <u/>
      <sz val="11"/>
      <color theme="10"/>
      <name val="Lato"/>
      <family val="2"/>
    </font>
    <font>
      <sz val="18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1" applyBorder="1"/>
    <xf numFmtId="1" fontId="0" fillId="0" borderId="1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1" fontId="1" fillId="0" borderId="1" xfId="0" applyNumberFormat="1" applyFont="1" applyBorder="1"/>
    <xf numFmtId="0" fontId="2" fillId="0" borderId="0" xfId="1"/>
    <xf numFmtId="1" fontId="0" fillId="0" borderId="0" xfId="0" applyNumberForma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29</xdr:row>
      <xdr:rowOff>167640</xdr:rowOff>
    </xdr:from>
    <xdr:to>
      <xdr:col>1</xdr:col>
      <xdr:colOff>1447800</xdr:colOff>
      <xdr:row>32</xdr:row>
      <xdr:rowOff>144780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D1CA636-8312-6CF2-D2FC-66380FA18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5356860"/>
          <a:ext cx="144018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mix/co2-inventory" TargetMode="External"/><Relationship Id="rId1" Type="http://schemas.openxmlformats.org/officeDocument/2006/relationships/hyperlink" Target="https://github.com/imix/co2-inventory/issu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electricitymaps.com/map" TargetMode="External"/><Relationship Id="rId2" Type="http://schemas.openxmlformats.org/officeDocument/2006/relationships/hyperlink" Target="https://github.com/Boavizta/environmental-footprint-data" TargetMode="External"/><Relationship Id="rId1" Type="http://schemas.openxmlformats.org/officeDocument/2006/relationships/hyperlink" Target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pp.electricitymaps.com/map" TargetMode="External"/><Relationship Id="rId1" Type="http://schemas.openxmlformats.org/officeDocument/2006/relationships/hyperlink" Target="https://github.com/Boavizta/environmental-footprint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app.electricitymaps.com/map" TargetMode="External"/><Relationship Id="rId1" Type="http://schemas.openxmlformats.org/officeDocument/2006/relationships/hyperlink" Target="https://github.com/Boavizta/environmental-footprint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reen-coding-solutions/eco-server-energy-estimation" TargetMode="External"/><Relationship Id="rId1" Type="http://schemas.openxmlformats.org/officeDocument/2006/relationships/hyperlink" Target="https://aws.amazon.com/de/aws-cost-management/aws-customer-carbon-footprint-too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ebsitecarbon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carbonfootprint.com/calculator.aspx?tab=3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icao.int/environmental-protection/Carbonoffset/Pages/default.aspx" TargetMode="External"/><Relationship Id="rId1" Type="http://schemas.openxmlformats.org/officeDocument/2006/relationships/hyperlink" Target="https://co2.myclimate.org/de/flight_calculators/new" TargetMode="External"/><Relationship Id="rId6" Type="http://schemas.openxmlformats.org/officeDocument/2006/relationships/hyperlink" Target="https://calculator.carbonfootprint.com/calculator.aspx?lang=de&amp;tab=6" TargetMode="External"/><Relationship Id="rId5" Type="http://schemas.openxmlformats.org/officeDocument/2006/relationships/hyperlink" Target="https://co2.myclimate.org/en/car_calculators/new" TargetMode="External"/><Relationship Id="rId4" Type="http://schemas.openxmlformats.org/officeDocument/2006/relationships/hyperlink" Target="https://calculator.carbonfootprint.com/calculator.aspx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078-33AE-48DF-88A2-9A7F517C507E}">
  <dimension ref="A2:C29"/>
  <sheetViews>
    <sheetView tabSelected="1" workbookViewId="0">
      <selection activeCell="B27" sqref="B27"/>
    </sheetView>
  </sheetViews>
  <sheetFormatPr baseColWidth="10" defaultRowHeight="13.8" x14ac:dyDescent="0.25"/>
  <cols>
    <col min="1" max="1" width="16.3984375" customWidth="1"/>
    <col min="2" max="2" width="22.59765625" customWidth="1"/>
  </cols>
  <sheetData>
    <row r="2" spans="1:3" ht="22.2" x14ac:dyDescent="0.35">
      <c r="A2" s="13" t="s">
        <v>116</v>
      </c>
    </row>
    <row r="3" spans="1:3" x14ac:dyDescent="0.25">
      <c r="A3" t="s">
        <v>121</v>
      </c>
      <c r="B3" s="10" t="s">
        <v>120</v>
      </c>
    </row>
    <row r="5" spans="1:3" x14ac:dyDescent="0.25">
      <c r="A5" t="s">
        <v>42</v>
      </c>
    </row>
    <row r="7" spans="1:3" x14ac:dyDescent="0.25">
      <c r="C7" s="8" t="s">
        <v>14</v>
      </c>
    </row>
    <row r="8" spans="1:3" x14ac:dyDescent="0.25">
      <c r="B8" s="2" t="s">
        <v>29</v>
      </c>
      <c r="C8" s="6">
        <f>Server!I11</f>
        <v>573.24306666666666</v>
      </c>
    </row>
    <row r="9" spans="1:3" x14ac:dyDescent="0.25">
      <c r="B9" s="2" t="s">
        <v>30</v>
      </c>
      <c r="C9" s="6">
        <f ca="1">Arbeitsplätze!I7</f>
        <v>1255.8050000000001</v>
      </c>
    </row>
    <row r="10" spans="1:3" x14ac:dyDescent="0.25">
      <c r="B10" s="2" t="s">
        <v>31</v>
      </c>
      <c r="C10" s="6">
        <f ca="1">'Andere-Devices'!I7</f>
        <v>658.20266666666669</v>
      </c>
    </row>
    <row r="11" spans="1:3" x14ac:dyDescent="0.25">
      <c r="B11" s="2" t="s">
        <v>35</v>
      </c>
      <c r="C11" s="2">
        <f>Cloud!B6</f>
        <v>433</v>
      </c>
    </row>
    <row r="12" spans="1:3" x14ac:dyDescent="0.25">
      <c r="B12" s="2" t="s">
        <v>76</v>
      </c>
      <c r="C12" s="6">
        <f>'Marketing u. Komm'!C1</f>
        <v>7165.1822499999998</v>
      </c>
    </row>
    <row r="13" spans="1:3" x14ac:dyDescent="0.25">
      <c r="B13" s="2" t="s">
        <v>36</v>
      </c>
      <c r="C13" s="2">
        <f>Transport!C10</f>
        <v>8800</v>
      </c>
    </row>
    <row r="15" spans="1:3" x14ac:dyDescent="0.25">
      <c r="B15" s="1" t="s">
        <v>32</v>
      </c>
      <c r="C15" s="9">
        <f ca="1">SUM(C8:C13)</f>
        <v>18885.432983333332</v>
      </c>
    </row>
    <row r="18" spans="1:3" x14ac:dyDescent="0.25">
      <c r="A18" s="12" t="s">
        <v>60</v>
      </c>
    </row>
    <row r="19" spans="1:3" x14ac:dyDescent="0.25">
      <c r="A19" t="s">
        <v>61</v>
      </c>
    </row>
    <row r="20" spans="1:3" x14ac:dyDescent="0.25">
      <c r="A20" t="s">
        <v>125</v>
      </c>
    </row>
    <row r="21" spans="1:3" x14ac:dyDescent="0.25">
      <c r="A21" t="s">
        <v>122</v>
      </c>
    </row>
    <row r="23" spans="1:3" x14ac:dyDescent="0.25">
      <c r="A23" s="12" t="s">
        <v>64</v>
      </c>
    </row>
    <row r="24" spans="1:3" x14ac:dyDescent="0.25">
      <c r="A24" s="3"/>
      <c r="B24" t="s">
        <v>126</v>
      </c>
    </row>
    <row r="25" spans="1:3" x14ac:dyDescent="0.25">
      <c r="A25" s="8"/>
      <c r="B25" t="s">
        <v>127</v>
      </c>
    </row>
    <row r="26" spans="1:3" x14ac:dyDescent="0.25">
      <c r="B26" t="s">
        <v>144</v>
      </c>
    </row>
    <row r="28" spans="1:3" x14ac:dyDescent="0.25">
      <c r="B28" t="s">
        <v>117</v>
      </c>
    </row>
    <row r="29" spans="1:3" x14ac:dyDescent="0.25">
      <c r="B29" t="s">
        <v>118</v>
      </c>
      <c r="C29" s="10" t="s">
        <v>119</v>
      </c>
    </row>
  </sheetData>
  <hyperlinks>
    <hyperlink ref="C29" r:id="rId1" xr:uid="{420B7DBD-1B4D-4030-8EA3-390698C60411}"/>
    <hyperlink ref="B3" r:id="rId2" xr:uid="{2D96C7B5-7C39-4596-9F71-DDCB3242C4B3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AC3F-6295-4FEB-9E9F-27E4A1E23E64}">
  <dimension ref="A1:I27"/>
  <sheetViews>
    <sheetView workbookViewId="0">
      <selection activeCell="C35" sqref="C35"/>
    </sheetView>
  </sheetViews>
  <sheetFormatPr baseColWidth="10" defaultRowHeight="13.8" x14ac:dyDescent="0.25"/>
  <cols>
    <col min="1" max="1" width="21.3984375" bestFit="1" customWidth="1"/>
    <col min="3" max="3" width="18.5" bestFit="1" customWidth="1"/>
    <col min="5" max="5" width="16" customWidth="1"/>
    <col min="6" max="7" width="20.796875" customWidth="1"/>
    <col min="8" max="8" width="24.296875" customWidth="1"/>
    <col min="9" max="9" width="20.79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129</v>
      </c>
      <c r="E1" s="3" t="s">
        <v>128</v>
      </c>
      <c r="F1" s="3" t="s">
        <v>3</v>
      </c>
      <c r="G1" s="3" t="s">
        <v>15</v>
      </c>
      <c r="H1" s="3" t="s">
        <v>7</v>
      </c>
      <c r="I1" s="7" t="s">
        <v>34</v>
      </c>
    </row>
    <row r="2" spans="1:9" x14ac:dyDescent="0.25">
      <c r="A2" s="2" t="s">
        <v>57</v>
      </c>
      <c r="B2" s="2" t="s">
        <v>12</v>
      </c>
      <c r="C2" s="2" t="s">
        <v>123</v>
      </c>
      <c r="D2" s="2">
        <v>2700</v>
      </c>
      <c r="E2" s="2">
        <v>1700</v>
      </c>
      <c r="F2" s="2" t="s">
        <v>6</v>
      </c>
      <c r="G2" s="2">
        <v>10</v>
      </c>
      <c r="H2" s="5" t="s">
        <v>13</v>
      </c>
      <c r="I2" s="6">
        <f>IFERROR((_xlfn.XLOOKUP(F2,$A$15:$A$21,$B$15:$B$21,0)*_xlfn.XLOOKUP(F2,$A$15:$A$21,$C$15:$C$21,0)*D2+(E2/G2))/1000,0)</f>
        <v>492.65</v>
      </c>
    </row>
    <row r="3" spans="1:9" x14ac:dyDescent="0.25">
      <c r="A3" s="2" t="s">
        <v>56</v>
      </c>
      <c r="B3" s="2" t="s">
        <v>12</v>
      </c>
      <c r="C3" s="2" t="s">
        <v>124</v>
      </c>
      <c r="D3" s="2">
        <f>0.1*2700</f>
        <v>270</v>
      </c>
      <c r="E3" s="2">
        <v>1700</v>
      </c>
      <c r="F3" s="2" t="s">
        <v>6</v>
      </c>
      <c r="G3" s="2">
        <v>12</v>
      </c>
      <c r="H3" s="2"/>
      <c r="I3" s="6">
        <f t="shared" ref="I3:I10" si="0">IFERROR((_xlfn.XLOOKUP(F3,$A$15:$A$21,$B$15:$B$21,0)*_xlfn.XLOOKUP(F3,$A$15:$A$21,$C$15:$C$21,0)*D3+(E3/G3))/1000,0)</f>
        <v>49.389666666666663</v>
      </c>
    </row>
    <row r="4" spans="1:9" x14ac:dyDescent="0.25">
      <c r="A4" s="2" t="s">
        <v>40</v>
      </c>
      <c r="B4" s="2" t="s">
        <v>39</v>
      </c>
      <c r="C4" s="2" t="s">
        <v>41</v>
      </c>
      <c r="D4" s="2">
        <v>171</v>
      </c>
      <c r="E4" s="2">
        <v>65</v>
      </c>
      <c r="F4" s="2" t="s">
        <v>6</v>
      </c>
      <c r="G4" s="2">
        <v>5</v>
      </c>
      <c r="H4" s="2"/>
      <c r="I4" s="6">
        <f t="shared" si="0"/>
        <v>31.203400000000002</v>
      </c>
    </row>
    <row r="5" spans="1:9" x14ac:dyDescent="0.25">
      <c r="A5" s="2"/>
      <c r="B5" s="2"/>
      <c r="C5" s="2"/>
      <c r="D5" s="2"/>
      <c r="E5" s="2"/>
      <c r="F5" s="2"/>
      <c r="G5" s="2"/>
      <c r="H5" s="2"/>
      <c r="I5" s="6">
        <f t="shared" si="0"/>
        <v>0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6">
        <f t="shared" si="0"/>
        <v>0</v>
      </c>
    </row>
    <row r="7" spans="1:9" x14ac:dyDescent="0.25">
      <c r="A7" s="2"/>
      <c r="B7" s="2"/>
      <c r="C7" s="2"/>
      <c r="D7" s="2"/>
      <c r="E7" s="2"/>
      <c r="F7" s="2"/>
      <c r="G7" s="2"/>
      <c r="H7" s="2"/>
      <c r="I7" s="6">
        <f t="shared" si="0"/>
        <v>0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6">
        <f t="shared" si="0"/>
        <v>0</v>
      </c>
    </row>
    <row r="9" spans="1:9" x14ac:dyDescent="0.25">
      <c r="A9" s="2"/>
      <c r="B9" s="2"/>
      <c r="C9" s="2"/>
      <c r="D9" s="2"/>
      <c r="E9" s="2"/>
      <c r="F9" s="2"/>
      <c r="G9" s="2"/>
      <c r="H9" s="2"/>
      <c r="I9" s="6">
        <f t="shared" si="0"/>
        <v>0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6">
        <f t="shared" si="0"/>
        <v>0</v>
      </c>
    </row>
    <row r="11" spans="1:9" x14ac:dyDescent="0.25">
      <c r="H11" s="1" t="s">
        <v>77</v>
      </c>
      <c r="I11" s="9">
        <f>SUM(I2:I10)</f>
        <v>573.24306666666666</v>
      </c>
    </row>
    <row r="14" spans="1:9" x14ac:dyDescent="0.25">
      <c r="A14" s="3" t="s">
        <v>3</v>
      </c>
      <c r="B14" s="3" t="s">
        <v>4</v>
      </c>
      <c r="C14" s="3" t="s">
        <v>5</v>
      </c>
      <c r="D14" s="3" t="s">
        <v>7</v>
      </c>
      <c r="F14" s="12" t="s">
        <v>60</v>
      </c>
    </row>
    <row r="15" spans="1:9" x14ac:dyDescent="0.25">
      <c r="A15" s="2" t="s">
        <v>6</v>
      </c>
      <c r="B15" s="2">
        <v>1.6</v>
      </c>
      <c r="C15" s="2">
        <v>114</v>
      </c>
      <c r="D15" s="2"/>
      <c r="F15" t="s">
        <v>109</v>
      </c>
    </row>
    <row r="16" spans="1:9" x14ac:dyDescent="0.25">
      <c r="A16" s="2"/>
      <c r="B16" s="2"/>
      <c r="C16" s="2"/>
      <c r="D16" s="2"/>
      <c r="F16" t="s">
        <v>102</v>
      </c>
    </row>
    <row r="17" spans="1:6" x14ac:dyDescent="0.25">
      <c r="A17" s="2"/>
      <c r="B17" s="2"/>
      <c r="C17" s="2"/>
      <c r="D17" s="2"/>
      <c r="F17" t="s">
        <v>103</v>
      </c>
    </row>
    <row r="18" spans="1:6" x14ac:dyDescent="0.25">
      <c r="A18" s="2"/>
      <c r="B18" s="2"/>
      <c r="C18" s="2"/>
      <c r="D18" s="2"/>
      <c r="F18" s="10" t="s">
        <v>104</v>
      </c>
    </row>
    <row r="19" spans="1:6" x14ac:dyDescent="0.25">
      <c r="A19" s="2"/>
      <c r="B19" s="2"/>
      <c r="C19" s="2"/>
      <c r="D19" s="2"/>
    </row>
    <row r="20" spans="1:6" x14ac:dyDescent="0.25">
      <c r="A20" s="2"/>
      <c r="B20" s="2"/>
      <c r="C20" s="2"/>
      <c r="D20" s="2"/>
      <c r="F20" t="s">
        <v>3</v>
      </c>
    </row>
    <row r="21" spans="1:6" x14ac:dyDescent="0.25">
      <c r="A21" s="2"/>
      <c r="B21" s="2"/>
      <c r="C21" s="2"/>
      <c r="D21" s="2"/>
      <c r="F21" t="s">
        <v>137</v>
      </c>
    </row>
    <row r="22" spans="1:6" x14ac:dyDescent="0.25">
      <c r="F22" t="s">
        <v>106</v>
      </c>
    </row>
    <row r="23" spans="1:6" x14ac:dyDescent="0.25">
      <c r="F23" s="10" t="s">
        <v>107</v>
      </c>
    </row>
    <row r="25" spans="1:6" x14ac:dyDescent="0.25">
      <c r="F25" t="s">
        <v>108</v>
      </c>
    </row>
    <row r="26" spans="1:6" x14ac:dyDescent="0.25">
      <c r="F26" t="s">
        <v>110</v>
      </c>
    </row>
    <row r="27" spans="1:6" x14ac:dyDescent="0.25">
      <c r="F27" t="s">
        <v>138</v>
      </c>
    </row>
  </sheetData>
  <hyperlinks>
    <hyperlink ref="H2" r:id="rId1" display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xr:uid="{1FD1CDE4-B875-4767-8F4F-40AE827AB51E}"/>
    <hyperlink ref="F18" r:id="rId2" xr:uid="{4C355E38-8E9A-4D95-A804-BDEA9F47D860}"/>
    <hyperlink ref="F23" r:id="rId3" xr:uid="{4DBB6C20-3243-4755-BFFA-C4D71B6C2A78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A676-4543-48A0-BAD5-44AE4469035E}">
  <dimension ref="A1:I32"/>
  <sheetViews>
    <sheetView workbookViewId="0">
      <selection activeCell="I2" sqref="I2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9" width="17.09765625" bestFit="1" customWidth="1"/>
  </cols>
  <sheetData>
    <row r="1" spans="1:9" x14ac:dyDescent="0.25">
      <c r="A1" s="3" t="s">
        <v>10</v>
      </c>
      <c r="B1" s="3" t="s">
        <v>8</v>
      </c>
      <c r="C1" s="3" t="s">
        <v>9</v>
      </c>
      <c r="D1" s="4" t="s">
        <v>11</v>
      </c>
      <c r="E1" s="4" t="s">
        <v>15</v>
      </c>
      <c r="F1" s="4" t="s">
        <v>3</v>
      </c>
      <c r="G1" s="7" t="s">
        <v>129</v>
      </c>
      <c r="H1" s="7" t="s">
        <v>132</v>
      </c>
      <c r="I1" s="7" t="s">
        <v>33</v>
      </c>
    </row>
    <row r="2" spans="1:9" x14ac:dyDescent="0.25">
      <c r="A2" s="2">
        <v>5</v>
      </c>
      <c r="B2" s="2" t="s">
        <v>20</v>
      </c>
      <c r="C2" s="2" t="s">
        <v>19</v>
      </c>
      <c r="D2" s="2"/>
      <c r="E2" s="2">
        <v>4</v>
      </c>
      <c r="F2" s="2" t="s">
        <v>6</v>
      </c>
      <c r="G2" s="2">
        <f ca="1">A2*SUMIF($A$11:$F$19,B2,$F$11:$F$101)</f>
        <v>400</v>
      </c>
      <c r="H2" s="2">
        <f ca="1">A2*SUMIF($A$11:$G$19,B2,$G$11:$G$101)</f>
        <v>3200</v>
      </c>
      <c r="I2" s="6">
        <f ca="1">IFERROR((_xlfn.XLOOKUP(F2,$A$23:$A$29,$B$23:$B$29)*G2)/1000+(H2/E2),0)</f>
        <v>845.6</v>
      </c>
    </row>
    <row r="3" spans="1:9" x14ac:dyDescent="0.25">
      <c r="A3" s="2">
        <v>3</v>
      </c>
      <c r="B3" s="2" t="s">
        <v>25</v>
      </c>
      <c r="C3" s="2" t="s">
        <v>28</v>
      </c>
      <c r="D3" s="2"/>
      <c r="E3" s="2">
        <v>8</v>
      </c>
      <c r="F3" s="2" t="s">
        <v>6</v>
      </c>
      <c r="G3" s="2">
        <f ca="1">A3*SUMIF($A$11:$F$19,B3,$F$11:$F$101)</f>
        <v>720</v>
      </c>
      <c r="H3" s="2">
        <f t="shared" ref="H3:H6" ca="1" si="0">A3*SUMIF($A$11:$G$19,B3,$G$11:$G$101)</f>
        <v>2625</v>
      </c>
      <c r="I3" s="6">
        <f ca="1">IFERROR((_xlfn.XLOOKUP(F3,$A$23:$A$29,$B$23:$B$29)*G3)/1000+(H3/E3),0)</f>
        <v>410.20499999999998</v>
      </c>
    </row>
    <row r="4" spans="1:9" x14ac:dyDescent="0.25">
      <c r="A4" s="2"/>
      <c r="B4" s="2"/>
      <c r="C4" s="2"/>
      <c r="D4" s="2"/>
      <c r="E4" s="2"/>
      <c r="F4" s="2"/>
      <c r="G4" s="2">
        <f ca="1">A4*SUMIF($A$11:$F$19,B4,$F$11:$F$101)</f>
        <v>0</v>
      </c>
      <c r="H4" s="2">
        <f t="shared" ca="1" si="0"/>
        <v>0</v>
      </c>
      <c r="I4" s="6">
        <f ca="1">IFERROR((_xlfn.XLOOKUP(F4,$A$23:$A$29,$B$23:$B$29)*G4)/1000+(H4/E4),0)</f>
        <v>0</v>
      </c>
    </row>
    <row r="5" spans="1:9" x14ac:dyDescent="0.25">
      <c r="A5" s="2"/>
      <c r="B5" s="2"/>
      <c r="C5" s="2"/>
      <c r="D5" s="2"/>
      <c r="E5" s="2"/>
      <c r="F5" s="2"/>
      <c r="G5" s="2">
        <f ca="1">A5*SUMIF($A$11:$F$19,B5,$F$11:$F$101)</f>
        <v>0</v>
      </c>
      <c r="H5" s="2">
        <f t="shared" ca="1" si="0"/>
        <v>0</v>
      </c>
      <c r="I5" s="6">
        <f ca="1">IFERROR((_xlfn.XLOOKUP(F5,$A$23:$A$29,$B$23:$B$29)*G5)/1000+(H5/E5),0)</f>
        <v>0</v>
      </c>
    </row>
    <row r="6" spans="1:9" x14ac:dyDescent="0.25">
      <c r="A6" s="2"/>
      <c r="B6" s="2"/>
      <c r="C6" s="2"/>
      <c r="D6" s="2"/>
      <c r="E6" s="2"/>
      <c r="F6" s="2"/>
      <c r="G6" s="2">
        <f ca="1">A6*SUMIF($A$11:$F$19,B6,$F$11:$F$101)</f>
        <v>0</v>
      </c>
      <c r="H6" s="2">
        <f t="shared" ca="1" si="0"/>
        <v>0</v>
      </c>
      <c r="I6" s="6">
        <f ca="1">IFERROR((_xlfn.XLOOKUP(F6,$A$23:$A$29,$B$23:$B$29)*G6)/1000+(H6/E6),0)</f>
        <v>0</v>
      </c>
    </row>
    <row r="7" spans="1:9" x14ac:dyDescent="0.25">
      <c r="A7" t="s">
        <v>32</v>
      </c>
      <c r="H7" s="1" t="s">
        <v>32</v>
      </c>
      <c r="I7" s="9">
        <f ca="1">SUM(I2:I6)</f>
        <v>1255.8050000000001</v>
      </c>
    </row>
    <row r="10" spans="1:9" x14ac:dyDescent="0.25">
      <c r="A10" s="3" t="s">
        <v>17</v>
      </c>
      <c r="B10" s="3" t="s">
        <v>18</v>
      </c>
      <c r="C10" s="3" t="s">
        <v>10</v>
      </c>
      <c r="D10" s="3" t="s">
        <v>23</v>
      </c>
      <c r="E10" s="3" t="s">
        <v>16</v>
      </c>
      <c r="F10" s="7" t="s">
        <v>130</v>
      </c>
      <c r="G10" s="7" t="s">
        <v>131</v>
      </c>
    </row>
    <row r="11" spans="1:9" x14ac:dyDescent="0.25">
      <c r="A11" s="2" t="s">
        <v>20</v>
      </c>
      <c r="B11" s="2" t="s">
        <v>21</v>
      </c>
      <c r="C11" s="2">
        <v>1</v>
      </c>
      <c r="D11" s="2">
        <v>24</v>
      </c>
      <c r="E11" s="2">
        <v>290</v>
      </c>
      <c r="F11" s="2">
        <f>C11*D11</f>
        <v>24</v>
      </c>
      <c r="G11" s="2">
        <f>C11*E11</f>
        <v>290</v>
      </c>
    </row>
    <row r="12" spans="1:9" x14ac:dyDescent="0.25">
      <c r="A12" s="2" t="s">
        <v>20</v>
      </c>
      <c r="B12" s="2" t="s">
        <v>22</v>
      </c>
      <c r="C12" s="2">
        <v>2</v>
      </c>
      <c r="D12" s="2">
        <v>24</v>
      </c>
      <c r="E12" s="2">
        <v>150</v>
      </c>
      <c r="F12" s="2">
        <f t="shared" ref="F12:F19" si="1">C12*D12</f>
        <v>48</v>
      </c>
      <c r="G12" s="2">
        <f t="shared" ref="G12:G19" si="2">C12*E12</f>
        <v>300</v>
      </c>
    </row>
    <row r="13" spans="1:9" x14ac:dyDescent="0.25">
      <c r="A13" s="2" t="s">
        <v>20</v>
      </c>
      <c r="B13" s="2" t="s">
        <v>24</v>
      </c>
      <c r="C13" s="2">
        <v>1</v>
      </c>
      <c r="D13" s="2">
        <v>8</v>
      </c>
      <c r="E13" s="2">
        <v>50</v>
      </c>
      <c r="F13" s="2">
        <f t="shared" si="1"/>
        <v>8</v>
      </c>
      <c r="G13" s="2">
        <f t="shared" si="2"/>
        <v>50</v>
      </c>
    </row>
    <row r="14" spans="1:9" x14ac:dyDescent="0.25">
      <c r="A14" s="2" t="s">
        <v>25</v>
      </c>
      <c r="B14" s="2" t="s">
        <v>26</v>
      </c>
      <c r="C14" s="2">
        <v>1</v>
      </c>
      <c r="D14" s="2">
        <v>200</v>
      </c>
      <c r="E14" s="2">
        <v>675</v>
      </c>
      <c r="F14" s="2">
        <f t="shared" si="1"/>
        <v>200</v>
      </c>
      <c r="G14" s="2">
        <f t="shared" si="2"/>
        <v>675</v>
      </c>
    </row>
    <row r="15" spans="1:9" x14ac:dyDescent="0.25">
      <c r="A15" s="2" t="s">
        <v>25</v>
      </c>
      <c r="B15" s="2" t="s">
        <v>27</v>
      </c>
      <c r="C15" s="2">
        <v>1</v>
      </c>
      <c r="D15" s="2">
        <v>40</v>
      </c>
      <c r="E15" s="2">
        <v>200</v>
      </c>
      <c r="F15" s="2">
        <f t="shared" si="1"/>
        <v>40</v>
      </c>
      <c r="G15" s="2">
        <f t="shared" si="2"/>
        <v>200</v>
      </c>
    </row>
    <row r="16" spans="1:9" x14ac:dyDescent="0.25">
      <c r="A16" s="2"/>
      <c r="B16" s="2"/>
      <c r="C16" s="2"/>
      <c r="D16" s="2"/>
      <c r="E16" s="2"/>
      <c r="F16" s="2">
        <f t="shared" si="1"/>
        <v>0</v>
      </c>
      <c r="G16" s="2">
        <f t="shared" si="2"/>
        <v>0</v>
      </c>
    </row>
    <row r="17" spans="1:7" x14ac:dyDescent="0.25">
      <c r="A17" s="2"/>
      <c r="B17" s="2"/>
      <c r="C17" s="2"/>
      <c r="D17" s="2"/>
      <c r="E17" s="2"/>
      <c r="F17" s="2">
        <f t="shared" si="1"/>
        <v>0</v>
      </c>
      <c r="G17" s="2">
        <f t="shared" si="2"/>
        <v>0</v>
      </c>
    </row>
    <row r="18" spans="1:7" x14ac:dyDescent="0.25">
      <c r="A18" s="2"/>
      <c r="B18" s="2"/>
      <c r="C18" s="2"/>
      <c r="D18" s="2"/>
      <c r="E18" s="2"/>
      <c r="F18" s="2">
        <f t="shared" si="1"/>
        <v>0</v>
      </c>
      <c r="G18" s="2">
        <f t="shared" si="2"/>
        <v>0</v>
      </c>
    </row>
    <row r="19" spans="1:7" x14ac:dyDescent="0.25">
      <c r="A19" s="2"/>
      <c r="B19" s="2"/>
      <c r="C19" s="2"/>
      <c r="D19" s="2"/>
      <c r="E19" s="2"/>
      <c r="F19" s="2">
        <f t="shared" si="1"/>
        <v>0</v>
      </c>
      <c r="G19" s="2">
        <f t="shared" si="2"/>
        <v>0</v>
      </c>
    </row>
    <row r="22" spans="1:7" x14ac:dyDescent="0.25">
      <c r="A22" s="3" t="s">
        <v>3</v>
      </c>
      <c r="B22" s="3" t="s">
        <v>5</v>
      </c>
      <c r="C22" s="3" t="s">
        <v>7</v>
      </c>
      <c r="E22" s="12" t="s">
        <v>60</v>
      </c>
    </row>
    <row r="23" spans="1:7" x14ac:dyDescent="0.25">
      <c r="A23" s="2" t="s">
        <v>6</v>
      </c>
      <c r="B23" s="2">
        <v>114</v>
      </c>
      <c r="C23" s="2"/>
      <c r="E23" t="s">
        <v>109</v>
      </c>
    </row>
    <row r="24" spans="1:7" x14ac:dyDescent="0.25">
      <c r="A24" s="2"/>
      <c r="B24" s="2"/>
      <c r="C24" s="2"/>
      <c r="E24" t="s">
        <v>102</v>
      </c>
    </row>
    <row r="25" spans="1:7" x14ac:dyDescent="0.25">
      <c r="A25" s="2"/>
      <c r="B25" s="2"/>
      <c r="C25" s="2"/>
      <c r="E25" t="s">
        <v>103</v>
      </c>
    </row>
    <row r="26" spans="1:7" x14ac:dyDescent="0.25">
      <c r="A26" s="2"/>
      <c r="B26" s="2"/>
      <c r="C26" s="2"/>
      <c r="E26" s="10" t="s">
        <v>104</v>
      </c>
    </row>
    <row r="27" spans="1:7" x14ac:dyDescent="0.25">
      <c r="A27" s="2"/>
      <c r="B27" s="2"/>
      <c r="C27" s="2"/>
      <c r="E27" t="s">
        <v>111</v>
      </c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  <c r="E29" t="s">
        <v>3</v>
      </c>
    </row>
    <row r="30" spans="1:7" x14ac:dyDescent="0.25">
      <c r="E30" t="s">
        <v>105</v>
      </c>
    </row>
    <row r="31" spans="1:7" x14ac:dyDescent="0.25">
      <c r="E31" t="s">
        <v>106</v>
      </c>
    </row>
    <row r="32" spans="1:7" x14ac:dyDescent="0.25">
      <c r="E32" s="10" t="s">
        <v>107</v>
      </c>
    </row>
  </sheetData>
  <hyperlinks>
    <hyperlink ref="E26" r:id="rId1" xr:uid="{1FB0E899-C57E-42EA-86AC-6534CA6810B9}"/>
    <hyperlink ref="E32" r:id="rId2" xr:uid="{CB035DDA-6E4F-4C13-8FBF-0AAE3176C8EB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0D55-2CF2-4276-9928-338E80E097C9}">
  <dimension ref="A1:I32"/>
  <sheetViews>
    <sheetView workbookViewId="0">
      <selection activeCell="A2" sqref="A2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9" width="17.09765625" bestFit="1" customWidth="1"/>
  </cols>
  <sheetData>
    <row r="1" spans="1:9" x14ac:dyDescent="0.25">
      <c r="A1" s="3" t="s">
        <v>10</v>
      </c>
      <c r="B1" s="3" t="s">
        <v>37</v>
      </c>
      <c r="C1" s="3" t="s">
        <v>9</v>
      </c>
      <c r="D1" s="4" t="s">
        <v>11</v>
      </c>
      <c r="E1" s="4" t="s">
        <v>15</v>
      </c>
      <c r="F1" s="4" t="s">
        <v>3</v>
      </c>
      <c r="G1" s="7" t="s">
        <v>129</v>
      </c>
      <c r="H1" s="7" t="s">
        <v>132</v>
      </c>
      <c r="I1" s="7" t="s">
        <v>33</v>
      </c>
    </row>
    <row r="2" spans="1:9" x14ac:dyDescent="0.25">
      <c r="A2" s="2">
        <v>1</v>
      </c>
      <c r="B2" s="2" t="s">
        <v>58</v>
      </c>
      <c r="C2" s="2"/>
      <c r="D2" s="2" t="s">
        <v>38</v>
      </c>
      <c r="E2" s="2">
        <v>15</v>
      </c>
      <c r="F2" s="2" t="s">
        <v>6</v>
      </c>
      <c r="G2" s="2">
        <f ca="1">A2*SUMIF($A$11:$F$19,B2,$F$11:$F$101)</f>
        <v>4024</v>
      </c>
      <c r="H2" s="2">
        <f ca="1">A2*SUMIF($A$11:$G$19,B2,$G$11:$G$101)</f>
        <v>2150</v>
      </c>
      <c r="I2" s="6">
        <f ca="1">IFERROR((_xlfn.XLOOKUP(F2,$A$23:$A$29,$B$23:$B$29)*G2)/1000+(H2/E2),0)</f>
        <v>602.06933333333336</v>
      </c>
    </row>
    <row r="3" spans="1:9" x14ac:dyDescent="0.25">
      <c r="A3" s="2">
        <v>5</v>
      </c>
      <c r="B3" s="2" t="s">
        <v>43</v>
      </c>
      <c r="C3" s="2"/>
      <c r="D3" s="2" t="s">
        <v>38</v>
      </c>
      <c r="E3" s="2">
        <v>15</v>
      </c>
      <c r="F3" s="2" t="s">
        <v>6</v>
      </c>
      <c r="G3" s="2">
        <f t="shared" ref="G3:G6" ca="1" si="0">A3*SUMIF($A$11:$F$19,B3,$F$11:$F$101)</f>
        <v>200</v>
      </c>
      <c r="H3" s="2">
        <f t="shared" ref="H3:H6" ca="1" si="1">A3*SUMIF($A$11:$G$19,B3,$G$11:$G$101)</f>
        <v>500</v>
      </c>
      <c r="I3" s="6">
        <f ca="1">IFERROR((_xlfn.XLOOKUP(F3,$A$23:$A$29,$B$23:$B$29)*G3)/1000+(H3/E3),0)</f>
        <v>56.13333333333334</v>
      </c>
    </row>
    <row r="4" spans="1:9" x14ac:dyDescent="0.25">
      <c r="A4" s="2"/>
      <c r="B4" s="2"/>
      <c r="C4" s="2"/>
      <c r="D4" s="2"/>
      <c r="E4" s="2"/>
      <c r="F4" s="2"/>
      <c r="G4" s="2">
        <f t="shared" ca="1" si="0"/>
        <v>0</v>
      </c>
      <c r="H4" s="2">
        <f t="shared" ca="1" si="1"/>
        <v>0</v>
      </c>
      <c r="I4" s="6">
        <f ca="1">IFERROR((_xlfn.XLOOKUP(F4,$A$23:$A$29,$B$23:$B$29)*G4)/1000+(H4/E4),0)</f>
        <v>0</v>
      </c>
    </row>
    <row r="5" spans="1:9" x14ac:dyDescent="0.25">
      <c r="A5" s="2"/>
      <c r="B5" s="2"/>
      <c r="C5" s="2"/>
      <c r="D5" s="2"/>
      <c r="E5" s="2"/>
      <c r="F5" s="2"/>
      <c r="G5" s="2">
        <f t="shared" ca="1" si="0"/>
        <v>0</v>
      </c>
      <c r="H5" s="2">
        <f t="shared" ca="1" si="1"/>
        <v>0</v>
      </c>
      <c r="I5" s="6">
        <f ca="1">IFERROR((_xlfn.XLOOKUP(F5,$A$23:$A$29,$B$23:$B$29)*G5)/1000+(H5/E5),0)</f>
        <v>0</v>
      </c>
    </row>
    <row r="6" spans="1:9" x14ac:dyDescent="0.25">
      <c r="A6" s="2"/>
      <c r="B6" s="2"/>
      <c r="C6" s="2"/>
      <c r="D6" s="2"/>
      <c r="E6" s="2"/>
      <c r="F6" s="2"/>
      <c r="G6" s="2">
        <f t="shared" ca="1" si="0"/>
        <v>0</v>
      </c>
      <c r="H6" s="2">
        <f t="shared" ca="1" si="1"/>
        <v>0</v>
      </c>
      <c r="I6" s="6">
        <f ca="1">IFERROR((_xlfn.XLOOKUP(F6,$A$23:$A$29,$B$23:$B$29)*G6)/1000+(H6/E6),0)</f>
        <v>0</v>
      </c>
    </row>
    <row r="7" spans="1:9" x14ac:dyDescent="0.25">
      <c r="A7" t="s">
        <v>32</v>
      </c>
      <c r="H7" s="1" t="s">
        <v>32</v>
      </c>
      <c r="I7" s="9">
        <f ca="1">SUM(I2:I6)</f>
        <v>658.20266666666669</v>
      </c>
    </row>
    <row r="10" spans="1:9" x14ac:dyDescent="0.25">
      <c r="A10" s="3" t="s">
        <v>37</v>
      </c>
      <c r="B10" s="3" t="s">
        <v>18</v>
      </c>
      <c r="C10" s="3" t="s">
        <v>10</v>
      </c>
      <c r="D10" s="3" t="s">
        <v>23</v>
      </c>
      <c r="E10" s="3" t="s">
        <v>16</v>
      </c>
      <c r="F10" s="7" t="s">
        <v>130</v>
      </c>
      <c r="G10" s="7" t="s">
        <v>131</v>
      </c>
    </row>
    <row r="11" spans="1:9" x14ac:dyDescent="0.25">
      <c r="A11" s="2" t="s">
        <v>58</v>
      </c>
      <c r="B11" s="2" t="s">
        <v>12</v>
      </c>
      <c r="C11" s="2">
        <v>1</v>
      </c>
      <c r="D11" s="2">
        <v>4000</v>
      </c>
      <c r="E11" s="2">
        <v>2000</v>
      </c>
      <c r="F11" s="2">
        <f>C11*D11</f>
        <v>4000</v>
      </c>
      <c r="G11" s="2">
        <f>C11*E11</f>
        <v>2000</v>
      </c>
    </row>
    <row r="12" spans="1:9" x14ac:dyDescent="0.25">
      <c r="A12" s="2" t="s">
        <v>58</v>
      </c>
      <c r="B12" s="2" t="s">
        <v>22</v>
      </c>
      <c r="C12" s="2">
        <v>1</v>
      </c>
      <c r="D12" s="2">
        <v>24</v>
      </c>
      <c r="E12" s="2">
        <v>150</v>
      </c>
      <c r="F12" s="2">
        <f t="shared" ref="F12:F19" si="2">C12*D12</f>
        <v>24</v>
      </c>
      <c r="G12" s="2">
        <f t="shared" ref="G12:G19" si="3">C12*E12</f>
        <v>150</v>
      </c>
    </row>
    <row r="13" spans="1:9" x14ac:dyDescent="0.25">
      <c r="A13" s="2" t="s">
        <v>43</v>
      </c>
      <c r="B13" s="2" t="s">
        <v>59</v>
      </c>
      <c r="C13" s="2">
        <v>1</v>
      </c>
      <c r="D13" s="2">
        <v>40</v>
      </c>
      <c r="E13" s="2">
        <v>100</v>
      </c>
      <c r="F13" s="2">
        <f t="shared" si="2"/>
        <v>40</v>
      </c>
      <c r="G13" s="2">
        <f t="shared" si="3"/>
        <v>100</v>
      </c>
    </row>
    <row r="14" spans="1:9" x14ac:dyDescent="0.25">
      <c r="A14" s="2"/>
      <c r="B14" s="2"/>
      <c r="C14" s="2"/>
      <c r="D14" s="2"/>
      <c r="E14" s="2"/>
      <c r="F14" s="2">
        <f t="shared" si="2"/>
        <v>0</v>
      </c>
      <c r="G14" s="2">
        <f t="shared" si="3"/>
        <v>0</v>
      </c>
    </row>
    <row r="15" spans="1:9" x14ac:dyDescent="0.25">
      <c r="A15" s="2"/>
      <c r="B15" s="2"/>
      <c r="C15" s="2"/>
      <c r="D15" s="2"/>
      <c r="E15" s="2"/>
      <c r="F15" s="2">
        <f t="shared" si="2"/>
        <v>0</v>
      </c>
      <c r="G15" s="2">
        <f t="shared" si="3"/>
        <v>0</v>
      </c>
    </row>
    <row r="16" spans="1:9" x14ac:dyDescent="0.25">
      <c r="A16" s="2"/>
      <c r="B16" s="2"/>
      <c r="C16" s="2"/>
      <c r="D16" s="2"/>
      <c r="E16" s="2"/>
      <c r="F16" s="2">
        <f t="shared" si="2"/>
        <v>0</v>
      </c>
      <c r="G16" s="2">
        <f t="shared" si="3"/>
        <v>0</v>
      </c>
    </row>
    <row r="17" spans="1:7" x14ac:dyDescent="0.25">
      <c r="A17" s="2"/>
      <c r="B17" s="2"/>
      <c r="C17" s="2"/>
      <c r="D17" s="2"/>
      <c r="E17" s="2"/>
      <c r="F17" s="2">
        <f t="shared" si="2"/>
        <v>0</v>
      </c>
      <c r="G17" s="2">
        <f t="shared" si="3"/>
        <v>0</v>
      </c>
    </row>
    <row r="18" spans="1:7" x14ac:dyDescent="0.25">
      <c r="A18" s="2"/>
      <c r="B18" s="2"/>
      <c r="C18" s="2"/>
      <c r="D18" s="2"/>
      <c r="E18" s="2"/>
      <c r="F18" s="2">
        <f t="shared" si="2"/>
        <v>0</v>
      </c>
      <c r="G18" s="2">
        <f t="shared" si="3"/>
        <v>0</v>
      </c>
    </row>
    <row r="19" spans="1:7" x14ac:dyDescent="0.25">
      <c r="A19" s="2"/>
      <c r="B19" s="2"/>
      <c r="C19" s="2"/>
      <c r="D19" s="2"/>
      <c r="E19" s="2"/>
      <c r="F19" s="2">
        <f t="shared" si="2"/>
        <v>0</v>
      </c>
      <c r="G19" s="2">
        <f t="shared" si="3"/>
        <v>0</v>
      </c>
    </row>
    <row r="22" spans="1:7" x14ac:dyDescent="0.25">
      <c r="A22" s="3" t="s">
        <v>3</v>
      </c>
      <c r="B22" s="3" t="s">
        <v>5</v>
      </c>
      <c r="C22" s="3" t="s">
        <v>7</v>
      </c>
      <c r="E22" s="12" t="s">
        <v>60</v>
      </c>
    </row>
    <row r="23" spans="1:7" x14ac:dyDescent="0.25">
      <c r="A23" s="2" t="s">
        <v>6</v>
      </c>
      <c r="B23" s="2">
        <v>114</v>
      </c>
      <c r="C23" s="2"/>
      <c r="E23" t="s">
        <v>109</v>
      </c>
    </row>
    <row r="24" spans="1:7" x14ac:dyDescent="0.25">
      <c r="A24" s="2"/>
      <c r="B24" s="2"/>
      <c r="C24" s="2"/>
      <c r="E24" t="s">
        <v>102</v>
      </c>
    </row>
    <row r="25" spans="1:7" x14ac:dyDescent="0.25">
      <c r="A25" s="2"/>
      <c r="B25" s="2"/>
      <c r="C25" s="2"/>
      <c r="E25" t="s">
        <v>103</v>
      </c>
    </row>
    <row r="26" spans="1:7" x14ac:dyDescent="0.25">
      <c r="A26" s="2"/>
      <c r="B26" s="2"/>
      <c r="C26" s="2"/>
      <c r="E26" s="10" t="s">
        <v>104</v>
      </c>
    </row>
    <row r="27" spans="1:7" x14ac:dyDescent="0.25">
      <c r="A27" s="2"/>
      <c r="B27" s="2"/>
      <c r="C27" s="2"/>
      <c r="E27" t="s">
        <v>111</v>
      </c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  <c r="E29" t="s">
        <v>3</v>
      </c>
    </row>
    <row r="30" spans="1:7" x14ac:dyDescent="0.25">
      <c r="E30" t="s">
        <v>105</v>
      </c>
    </row>
    <row r="31" spans="1:7" x14ac:dyDescent="0.25">
      <c r="E31" t="s">
        <v>106</v>
      </c>
    </row>
    <row r="32" spans="1:7" x14ac:dyDescent="0.25">
      <c r="E32" s="10" t="s">
        <v>107</v>
      </c>
    </row>
  </sheetData>
  <hyperlinks>
    <hyperlink ref="E26" r:id="rId1" xr:uid="{CF660D81-856F-48F3-AF45-D454A55DB102}"/>
    <hyperlink ref="E32" r:id="rId2" xr:uid="{F0128631-CF49-44CC-B564-AB2B12E562EC}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82F6-EC85-4152-99A0-2081A93FC63E}">
  <dimension ref="A2:E8"/>
  <sheetViews>
    <sheetView workbookViewId="0">
      <selection activeCell="E8" sqref="E8"/>
    </sheetView>
  </sheetViews>
  <sheetFormatPr baseColWidth="10" defaultRowHeight="13.8" x14ac:dyDescent="0.25"/>
  <cols>
    <col min="1" max="1" width="18.09765625" customWidth="1"/>
  </cols>
  <sheetData>
    <row r="2" spans="1:5" x14ac:dyDescent="0.25">
      <c r="A2" s="3" t="s">
        <v>53</v>
      </c>
      <c r="B2" s="3" t="s">
        <v>44</v>
      </c>
      <c r="C2" s="3" t="s">
        <v>7</v>
      </c>
      <c r="E2" s="12" t="s">
        <v>60</v>
      </c>
    </row>
    <row r="3" spans="1:5" x14ac:dyDescent="0.25">
      <c r="A3" s="2" t="s">
        <v>54</v>
      </c>
      <c r="B3" s="2">
        <v>0</v>
      </c>
      <c r="C3" s="2" t="s">
        <v>55</v>
      </c>
      <c r="E3" t="s">
        <v>112</v>
      </c>
    </row>
    <row r="4" spans="1:5" x14ac:dyDescent="0.25">
      <c r="A4" s="2" t="s">
        <v>101</v>
      </c>
      <c r="B4" s="2">
        <v>433</v>
      </c>
      <c r="C4" s="2"/>
      <c r="E4" t="s">
        <v>113</v>
      </c>
    </row>
    <row r="5" spans="1:5" x14ac:dyDescent="0.25">
      <c r="A5" s="2"/>
      <c r="B5" s="2"/>
      <c r="C5" s="2"/>
      <c r="E5" s="10" t="s">
        <v>114</v>
      </c>
    </row>
    <row r="6" spans="1:5" x14ac:dyDescent="0.25">
      <c r="A6" s="1" t="s">
        <v>32</v>
      </c>
      <c r="B6" s="1">
        <f>SUM(B3:B5)</f>
        <v>433</v>
      </c>
    </row>
    <row r="7" spans="1:5" x14ac:dyDescent="0.25">
      <c r="E7" t="s">
        <v>139</v>
      </c>
    </row>
    <row r="8" spans="1:5" x14ac:dyDescent="0.25">
      <c r="E8" s="10" t="s">
        <v>115</v>
      </c>
    </row>
  </sheetData>
  <hyperlinks>
    <hyperlink ref="E5" r:id="rId1" xr:uid="{51A70993-A734-4863-A964-6F8FB24333B0}"/>
    <hyperlink ref="E8" r:id="rId2" xr:uid="{C999A833-B9E9-4957-B4C9-BBF4B256C27A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9EF7-9EFA-4255-B07E-3D279B9089F6}">
  <dimension ref="A1:J26"/>
  <sheetViews>
    <sheetView workbookViewId="0">
      <selection activeCell="F17" sqref="F17:F19"/>
    </sheetView>
  </sheetViews>
  <sheetFormatPr baseColWidth="10" defaultRowHeight="13.8" x14ac:dyDescent="0.25"/>
  <cols>
    <col min="1" max="1" width="21.8984375" customWidth="1"/>
    <col min="2" max="2" width="20.3984375" bestFit="1" customWidth="1"/>
    <col min="3" max="3" width="14.69921875" bestFit="1" customWidth="1"/>
    <col min="4" max="4" width="16.09765625" bestFit="1" customWidth="1"/>
    <col min="5" max="6" width="12.5" bestFit="1" customWidth="1"/>
  </cols>
  <sheetData>
    <row r="1" spans="1:8" x14ac:dyDescent="0.25">
      <c r="A1" t="s">
        <v>100</v>
      </c>
      <c r="C1" s="11">
        <f>D7+E13+F20</f>
        <v>7165.1822499999998</v>
      </c>
    </row>
    <row r="3" spans="1:8" x14ac:dyDescent="0.25">
      <c r="A3" s="3" t="s">
        <v>62</v>
      </c>
      <c r="B3" s="3" t="s">
        <v>133</v>
      </c>
      <c r="C3" s="3" t="s">
        <v>63</v>
      </c>
      <c r="D3" s="7" t="s">
        <v>135</v>
      </c>
      <c r="H3" s="12" t="s">
        <v>60</v>
      </c>
    </row>
    <row r="4" spans="1:8" x14ac:dyDescent="0.25">
      <c r="A4" s="2" t="s">
        <v>65</v>
      </c>
      <c r="B4" s="2">
        <v>1.9</v>
      </c>
      <c r="C4" s="2">
        <v>10000</v>
      </c>
      <c r="D4" s="6">
        <f>(B4*C4*365)/1000</f>
        <v>6935</v>
      </c>
      <c r="H4" t="s">
        <v>69</v>
      </c>
    </row>
    <row r="5" spans="1:8" x14ac:dyDescent="0.25">
      <c r="A5" s="2"/>
      <c r="B5" s="2"/>
      <c r="C5" s="2"/>
      <c r="D5" s="6">
        <f>(B5*C5*365)/1000</f>
        <v>0</v>
      </c>
      <c r="H5" s="10" t="s">
        <v>68</v>
      </c>
    </row>
    <row r="6" spans="1:8" x14ac:dyDescent="0.25">
      <c r="A6" s="2"/>
      <c r="B6" s="2"/>
      <c r="C6" s="2"/>
      <c r="D6" s="6">
        <f>(B6*C6*365)/1000</f>
        <v>0</v>
      </c>
    </row>
    <row r="7" spans="1:8" x14ac:dyDescent="0.25">
      <c r="C7" s="1" t="s">
        <v>71</v>
      </c>
      <c r="D7" s="6">
        <f>SUM(D4:D6)</f>
        <v>6935</v>
      </c>
    </row>
    <row r="9" spans="1:8" x14ac:dyDescent="0.25">
      <c r="A9" s="3" t="s">
        <v>66</v>
      </c>
      <c r="B9" s="3" t="s">
        <v>74</v>
      </c>
      <c r="C9" s="3" t="s">
        <v>134</v>
      </c>
      <c r="D9" s="3" t="s">
        <v>67</v>
      </c>
      <c r="E9" s="7" t="s">
        <v>135</v>
      </c>
      <c r="H9" s="12" t="s">
        <v>60</v>
      </c>
    </row>
    <row r="10" spans="1:8" x14ac:dyDescent="0.25">
      <c r="A10" s="2" t="s">
        <v>73</v>
      </c>
      <c r="B10" s="2">
        <v>2</v>
      </c>
      <c r="C10" s="2">
        <v>17</v>
      </c>
      <c r="D10" s="2">
        <v>5000</v>
      </c>
      <c r="E10" s="2">
        <f>(B10*C10*D10)/1000</f>
        <v>170</v>
      </c>
      <c r="H10" t="s">
        <v>141</v>
      </c>
    </row>
    <row r="11" spans="1:8" x14ac:dyDescent="0.25">
      <c r="A11" s="2" t="s">
        <v>75</v>
      </c>
      <c r="B11" s="2">
        <v>6</v>
      </c>
      <c r="C11" s="2">
        <v>2</v>
      </c>
      <c r="D11" s="2">
        <v>5000</v>
      </c>
      <c r="E11" s="2">
        <f>(B11*C11*D11)/1000</f>
        <v>60</v>
      </c>
      <c r="H11" t="s">
        <v>140</v>
      </c>
    </row>
    <row r="12" spans="1:8" x14ac:dyDescent="0.25">
      <c r="A12" s="2"/>
      <c r="B12" s="2"/>
      <c r="C12" s="2"/>
      <c r="D12" s="2"/>
      <c r="E12" s="2">
        <f>(B12*C12*D12)/1000</f>
        <v>0</v>
      </c>
      <c r="H12" t="s">
        <v>70</v>
      </c>
    </row>
    <row r="13" spans="1:8" x14ac:dyDescent="0.25">
      <c r="D13" s="1" t="s">
        <v>72</v>
      </c>
      <c r="E13" s="2">
        <f>SUM(E10:E12)</f>
        <v>230</v>
      </c>
    </row>
    <row r="16" spans="1:8" x14ac:dyDescent="0.25">
      <c r="A16" s="3" t="s">
        <v>85</v>
      </c>
      <c r="B16" s="3" t="s">
        <v>86</v>
      </c>
      <c r="C16" s="3" t="s">
        <v>89</v>
      </c>
      <c r="D16" s="3" t="s">
        <v>88</v>
      </c>
      <c r="E16" s="3" t="s">
        <v>90</v>
      </c>
      <c r="F16" s="7" t="s">
        <v>135</v>
      </c>
      <c r="H16" s="12" t="s">
        <v>60</v>
      </c>
    </row>
    <row r="17" spans="1:10" x14ac:dyDescent="0.25">
      <c r="A17" s="2" t="s">
        <v>87</v>
      </c>
      <c r="B17" s="2">
        <v>40</v>
      </c>
      <c r="C17" s="2">
        <v>6</v>
      </c>
      <c r="D17" s="2">
        <v>1</v>
      </c>
      <c r="E17" s="2" t="s">
        <v>93</v>
      </c>
      <c r="F17" s="2">
        <f>B17*C17*D17*(_xlfn.XLOOKUP(E17,$H$21:$H$24,$I$21:$I$24,0)*$I$26)</f>
        <v>0.18225000000000002</v>
      </c>
      <c r="H17" t="s">
        <v>142</v>
      </c>
    </row>
    <row r="18" spans="1:10" x14ac:dyDescent="0.25">
      <c r="A18" s="2"/>
      <c r="B18" s="2"/>
      <c r="C18" s="2"/>
      <c r="D18" s="2"/>
      <c r="E18" s="2"/>
      <c r="F18" s="2">
        <f>B18*C18*D18*(_xlfn.XLOOKUP(E18,$H$21:$H$24,$I$21:$I$24,0)*$I$26)</f>
        <v>0</v>
      </c>
      <c r="H18" t="s">
        <v>143</v>
      </c>
    </row>
    <row r="19" spans="1:10" x14ac:dyDescent="0.25">
      <c r="A19" s="2"/>
      <c r="B19" s="2"/>
      <c r="C19" s="2"/>
      <c r="D19" s="2"/>
      <c r="E19" s="2"/>
      <c r="F19" s="2">
        <f>B19*C19*D19*(_xlfn.XLOOKUP(E19,$H$21:$H$24,$I$21:$I$24,0)*$I$26)</f>
        <v>0</v>
      </c>
    </row>
    <row r="20" spans="1:10" x14ac:dyDescent="0.25">
      <c r="E20" s="1" t="s">
        <v>91</v>
      </c>
      <c r="F20" s="2">
        <f>SUM(F17:F19)</f>
        <v>0.18225000000000002</v>
      </c>
      <c r="I20" t="s">
        <v>99</v>
      </c>
      <c r="J20" t="s">
        <v>96</v>
      </c>
    </row>
    <row r="21" spans="1:10" x14ac:dyDescent="0.25">
      <c r="H21" t="s">
        <v>92</v>
      </c>
      <c r="I21">
        <v>3.2000000000000001E-2</v>
      </c>
    </row>
    <row r="22" spans="1:10" x14ac:dyDescent="0.25">
      <c r="H22" t="s">
        <v>93</v>
      </c>
      <c r="I22">
        <v>0.27</v>
      </c>
    </row>
    <row r="23" spans="1:10" x14ac:dyDescent="0.25">
      <c r="H23" t="s">
        <v>94</v>
      </c>
      <c r="I23">
        <v>0.54</v>
      </c>
    </row>
    <row r="24" spans="1:10" x14ac:dyDescent="0.25">
      <c r="H24" t="s">
        <v>95</v>
      </c>
      <c r="I24">
        <v>1.3</v>
      </c>
    </row>
    <row r="26" spans="1:10" x14ac:dyDescent="0.25">
      <c r="H26" t="s">
        <v>97</v>
      </c>
      <c r="I26">
        <v>2.8124999999999999E-3</v>
      </c>
      <c r="J26" t="s">
        <v>98</v>
      </c>
    </row>
  </sheetData>
  <hyperlinks>
    <hyperlink ref="H5" r:id="rId1" xr:uid="{8595490C-15C6-4DEA-AE4E-BB70835ACB59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0E62-692C-462C-AD4C-BB7B65636D1B}">
  <dimension ref="A2:E19"/>
  <sheetViews>
    <sheetView workbookViewId="0">
      <selection activeCell="C3" sqref="C3:C9"/>
    </sheetView>
  </sheetViews>
  <sheetFormatPr baseColWidth="10" defaultRowHeight="13.8" x14ac:dyDescent="0.25"/>
  <cols>
    <col min="1" max="1" width="17.796875" customWidth="1"/>
    <col min="2" max="2" width="22.796875" customWidth="1"/>
  </cols>
  <sheetData>
    <row r="2" spans="1:5" x14ac:dyDescent="0.25">
      <c r="A2" s="3" t="s">
        <v>10</v>
      </c>
      <c r="B2" s="3" t="s">
        <v>45</v>
      </c>
      <c r="C2" s="7" t="s">
        <v>136</v>
      </c>
      <c r="E2" s="12" t="s">
        <v>60</v>
      </c>
    </row>
    <row r="3" spans="1:5" x14ac:dyDescent="0.25">
      <c r="A3" s="2">
        <v>200</v>
      </c>
      <c r="B3" s="2" t="s">
        <v>52</v>
      </c>
      <c r="C3" s="2">
        <f>_xlfn.XLOOKUP(B3,$A$13:$A$19,$B$13:$B$19,0)*A3</f>
        <v>800</v>
      </c>
      <c r="E3" t="s">
        <v>78</v>
      </c>
    </row>
    <row r="4" spans="1:5" x14ac:dyDescent="0.25">
      <c r="A4" s="2">
        <v>4</v>
      </c>
      <c r="B4" s="2" t="s">
        <v>51</v>
      </c>
      <c r="C4" s="2">
        <f t="shared" ref="C4:C9" si="0">_xlfn.XLOOKUP(B4,$A$13:$A$19,$B$13:$B$19,0)*A4</f>
        <v>8000</v>
      </c>
      <c r="E4" t="s">
        <v>79</v>
      </c>
    </row>
    <row r="5" spans="1:5" x14ac:dyDescent="0.25">
      <c r="A5" s="2"/>
      <c r="B5" s="2"/>
      <c r="C5" s="2">
        <f t="shared" si="0"/>
        <v>0</v>
      </c>
      <c r="E5" t="s">
        <v>80</v>
      </c>
    </row>
    <row r="6" spans="1:5" x14ac:dyDescent="0.25">
      <c r="A6" s="2"/>
      <c r="B6" s="2"/>
      <c r="C6" s="2">
        <f t="shared" si="0"/>
        <v>0</v>
      </c>
    </row>
    <row r="7" spans="1:5" x14ac:dyDescent="0.25">
      <c r="A7" s="2"/>
      <c r="B7" s="2"/>
      <c r="C7" s="2">
        <f t="shared" si="0"/>
        <v>0</v>
      </c>
      <c r="E7" t="s">
        <v>81</v>
      </c>
    </row>
    <row r="8" spans="1:5" x14ac:dyDescent="0.25">
      <c r="A8" s="2"/>
      <c r="B8" s="2"/>
      <c r="C8" s="2">
        <f t="shared" si="0"/>
        <v>0</v>
      </c>
      <c r="E8" s="10" t="s">
        <v>48</v>
      </c>
    </row>
    <row r="9" spans="1:5" x14ac:dyDescent="0.25">
      <c r="A9" s="2"/>
      <c r="B9" s="2"/>
      <c r="C9" s="2">
        <f t="shared" si="0"/>
        <v>0</v>
      </c>
      <c r="E9" s="10" t="s">
        <v>49</v>
      </c>
    </row>
    <row r="10" spans="1:5" x14ac:dyDescent="0.25">
      <c r="B10" s="1" t="s">
        <v>32</v>
      </c>
      <c r="C10" s="1">
        <f>SUM(C3:C9)</f>
        <v>8800</v>
      </c>
    </row>
    <row r="11" spans="1:5" x14ac:dyDescent="0.25">
      <c r="E11" t="s">
        <v>82</v>
      </c>
    </row>
    <row r="12" spans="1:5" x14ac:dyDescent="0.25">
      <c r="A12" s="3" t="s">
        <v>45</v>
      </c>
      <c r="B12" s="3" t="s">
        <v>136</v>
      </c>
      <c r="E12" s="10" t="s">
        <v>46</v>
      </c>
    </row>
    <row r="13" spans="1:5" x14ac:dyDescent="0.25">
      <c r="A13" s="2" t="s">
        <v>51</v>
      </c>
      <c r="B13" s="2">
        <v>2000</v>
      </c>
      <c r="E13" s="10" t="s">
        <v>47</v>
      </c>
    </row>
    <row r="14" spans="1:5" x14ac:dyDescent="0.25">
      <c r="A14" s="2" t="s">
        <v>52</v>
      </c>
      <c r="B14" s="2">
        <v>4</v>
      </c>
      <c r="E14" s="10" t="s">
        <v>50</v>
      </c>
    </row>
    <row r="15" spans="1:5" x14ac:dyDescent="0.25">
      <c r="A15" s="2"/>
      <c r="B15" s="2"/>
    </row>
    <row r="16" spans="1:5" x14ac:dyDescent="0.25">
      <c r="A16" s="2"/>
      <c r="B16" s="2"/>
      <c r="E16" t="s">
        <v>83</v>
      </c>
    </row>
    <row r="17" spans="1:5" x14ac:dyDescent="0.25">
      <c r="A17" s="2"/>
      <c r="B17" s="2"/>
      <c r="E17" s="10" t="s">
        <v>84</v>
      </c>
    </row>
    <row r="18" spans="1:5" x14ac:dyDescent="0.25">
      <c r="A18" s="2"/>
      <c r="B18" s="2"/>
    </row>
    <row r="19" spans="1:5" x14ac:dyDescent="0.25">
      <c r="A19" s="2"/>
      <c r="B19" s="2"/>
    </row>
  </sheetData>
  <hyperlinks>
    <hyperlink ref="E12" r:id="rId1" xr:uid="{AC45E8C4-83EE-45DF-8195-B0B17117C311}"/>
    <hyperlink ref="E13" r:id="rId2" xr:uid="{26389E7A-2CC6-4890-B0B8-035A327212A2}"/>
    <hyperlink ref="E14" r:id="rId3" xr:uid="{22F0CAE4-F1A0-4F6A-8B16-448534404305}"/>
    <hyperlink ref="E9" r:id="rId4" xr:uid="{D0E9C54B-81A7-4D75-A3D7-AA8F16ABDE4B}"/>
    <hyperlink ref="E8" r:id="rId5" xr:uid="{8900EFC6-2F1F-4CA1-A68D-864E0BC92113}"/>
    <hyperlink ref="E17" r:id="rId6" xr:uid="{F46573C0-3F40-4B51-9B76-C4A930EFBA25}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Server</vt:lpstr>
      <vt:lpstr>Arbeitsplätze</vt:lpstr>
      <vt:lpstr>Andere-Devices</vt:lpstr>
      <vt:lpstr>Cloud</vt:lpstr>
      <vt:lpstr>Marketing u. Komm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Aeschbacher</dc:creator>
  <cp:lastModifiedBy>Stefan Aeschbacher</cp:lastModifiedBy>
  <dcterms:created xsi:type="dcterms:W3CDTF">2025-01-15T09:34:20Z</dcterms:created>
  <dcterms:modified xsi:type="dcterms:W3CDTF">2025-01-17T15:58:08Z</dcterms:modified>
</cp:coreProperties>
</file>