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10" yWindow="555" windowWidth="19305" windowHeight="9150" activeTab="2"/>
  </bookViews>
  <sheets>
    <sheet name="Sheet1" sheetId="1" r:id="rId1"/>
    <sheet name="thermo physical properties" sheetId="2" r:id="rId2"/>
    <sheet name="Copy of thermo physical propert" sheetId="3" r:id="rId3"/>
    <sheet name="dumka paper for reference CS" sheetId="4" r:id="rId4"/>
    <sheet name="dumka paper for reference MSS" sheetId="5" r:id="rId5"/>
  </sheets>
  <calcPr calcId="145621"/>
</workbook>
</file>

<file path=xl/calcChain.xml><?xml version="1.0" encoding="utf-8"?>
<calcChain xmlns="http://schemas.openxmlformats.org/spreadsheetml/2006/main">
  <c r="V16" i="3" l="1"/>
  <c r="L21" i="4" l="1"/>
  <c r="M21" i="4" s="1"/>
  <c r="L20" i="4"/>
  <c r="M20" i="4" s="1"/>
  <c r="L19" i="4"/>
  <c r="M19" i="4" s="1"/>
  <c r="M22" i="4" s="1"/>
  <c r="C20" i="3"/>
  <c r="E20" i="3" s="1"/>
  <c r="C19" i="3"/>
  <c r="E19" i="3" s="1"/>
  <c r="C18" i="3"/>
  <c r="E18" i="3" s="1"/>
  <c r="C17" i="3"/>
  <c r="E17" i="3" s="1"/>
  <c r="C16" i="3"/>
  <c r="E16" i="3" s="1"/>
  <c r="E15" i="3"/>
  <c r="C15" i="3"/>
  <c r="C14" i="3"/>
  <c r="E14" i="3" s="1"/>
  <c r="H11" i="3"/>
  <c r="N11" i="3" s="1"/>
  <c r="G11" i="3"/>
  <c r="F11" i="3"/>
  <c r="D11" i="3"/>
  <c r="M11" i="3" s="1"/>
  <c r="K10" i="3"/>
  <c r="H10" i="3"/>
  <c r="G10" i="3"/>
  <c r="F10" i="3"/>
  <c r="D10" i="3"/>
  <c r="J10" i="3" s="1"/>
  <c r="N9" i="3"/>
  <c r="J9" i="3"/>
  <c r="H9" i="3"/>
  <c r="G9" i="3"/>
  <c r="F9" i="3"/>
  <c r="D9" i="3"/>
  <c r="M9" i="3" s="1"/>
  <c r="P8" i="3"/>
  <c r="L8" i="3"/>
  <c r="K8" i="3"/>
  <c r="H8" i="3"/>
  <c r="O8" i="3" s="1"/>
  <c r="T8" i="3" s="1"/>
  <c r="G8" i="3"/>
  <c r="F8" i="3"/>
  <c r="D8" i="3"/>
  <c r="J8" i="3" s="1"/>
  <c r="R8" i="3" s="1"/>
  <c r="N7" i="3"/>
  <c r="J7" i="3"/>
  <c r="H7" i="3"/>
  <c r="G7" i="3"/>
  <c r="F7" i="3"/>
  <c r="D7" i="3"/>
  <c r="M7" i="3" s="1"/>
  <c r="P6" i="3"/>
  <c r="L6" i="3"/>
  <c r="K6" i="3"/>
  <c r="H6" i="3"/>
  <c r="O6" i="3" s="1"/>
  <c r="T6" i="3" s="1"/>
  <c r="G6" i="3"/>
  <c r="F6" i="3"/>
  <c r="D6" i="3"/>
  <c r="J6" i="3" s="1"/>
  <c r="R6" i="3" s="1"/>
  <c r="N5" i="3"/>
  <c r="J5" i="3"/>
  <c r="H5" i="3"/>
  <c r="G5" i="3"/>
  <c r="F5" i="3"/>
  <c r="D5" i="3"/>
  <c r="M5" i="3" s="1"/>
  <c r="Q2" i="3"/>
  <c r="O16" i="2"/>
  <c r="L16" i="2"/>
  <c r="K16" i="2"/>
  <c r="J16" i="2"/>
  <c r="I16" i="2"/>
  <c r="Q16" i="2" s="1"/>
  <c r="H16" i="2"/>
  <c r="P16" i="2" s="1"/>
  <c r="R16" i="2" s="1"/>
  <c r="G16" i="2"/>
  <c r="F16" i="2"/>
  <c r="M16" i="2" s="1"/>
  <c r="E16" i="2"/>
  <c r="O15" i="2"/>
  <c r="P15" i="2" s="1"/>
  <c r="R15" i="2" s="1"/>
  <c r="M15" i="2"/>
  <c r="L15" i="2"/>
  <c r="K15" i="2"/>
  <c r="J15" i="2"/>
  <c r="I15" i="2"/>
  <c r="Q15" i="2" s="1"/>
  <c r="H15" i="2"/>
  <c r="G15" i="2"/>
  <c r="N15" i="2" s="1"/>
  <c r="S15" i="2" s="1"/>
  <c r="F15" i="2"/>
  <c r="E15" i="2"/>
  <c r="O14" i="2"/>
  <c r="L14" i="2"/>
  <c r="K14" i="2"/>
  <c r="J14" i="2"/>
  <c r="I14" i="2"/>
  <c r="Q14" i="2" s="1"/>
  <c r="H14" i="2"/>
  <c r="G14" i="2"/>
  <c r="M14" i="2" s="1"/>
  <c r="F14" i="2"/>
  <c r="N14" i="2" s="1"/>
  <c r="S14" i="2" s="1"/>
  <c r="E14" i="2"/>
  <c r="O13" i="2"/>
  <c r="L13" i="2"/>
  <c r="K13" i="2"/>
  <c r="J13" i="2"/>
  <c r="I13" i="2"/>
  <c r="Q13" i="2" s="1"/>
  <c r="H13" i="2"/>
  <c r="G13" i="2"/>
  <c r="N13" i="2" s="1"/>
  <c r="S13" i="2" s="1"/>
  <c r="F13" i="2"/>
  <c r="E13" i="2"/>
  <c r="O12" i="2"/>
  <c r="L12" i="2"/>
  <c r="K12" i="2"/>
  <c r="J12" i="2"/>
  <c r="I12" i="2"/>
  <c r="Q12" i="2" s="1"/>
  <c r="H12" i="2"/>
  <c r="G12" i="2"/>
  <c r="F12" i="2"/>
  <c r="M12" i="2" s="1"/>
  <c r="E12" i="2"/>
  <c r="O11" i="2"/>
  <c r="P11" i="2" s="1"/>
  <c r="R11" i="2" s="1"/>
  <c r="M11" i="2"/>
  <c r="L11" i="2"/>
  <c r="K11" i="2"/>
  <c r="J11" i="2"/>
  <c r="I11" i="2"/>
  <c r="Q11" i="2" s="1"/>
  <c r="H11" i="2"/>
  <c r="G11" i="2"/>
  <c r="N11" i="2" s="1"/>
  <c r="S11" i="2" s="1"/>
  <c r="F11" i="2"/>
  <c r="E11" i="2"/>
  <c r="O10" i="2"/>
  <c r="L10" i="2"/>
  <c r="K10" i="2"/>
  <c r="J10" i="2"/>
  <c r="I10" i="2"/>
  <c r="Q10" i="2" s="1"/>
  <c r="H10" i="2"/>
  <c r="P10" i="2" s="1"/>
  <c r="R10" i="2" s="1"/>
  <c r="G10" i="2"/>
  <c r="M10" i="2" s="1"/>
  <c r="F10" i="2"/>
  <c r="N10" i="2" s="1"/>
  <c r="S10" i="2" s="1"/>
  <c r="E10" i="2"/>
  <c r="O9" i="2"/>
  <c r="L9" i="2"/>
  <c r="K9" i="2"/>
  <c r="J9" i="2"/>
  <c r="I9" i="2"/>
  <c r="Q9" i="2" s="1"/>
  <c r="H9" i="2"/>
  <c r="G9" i="2"/>
  <c r="N9" i="2" s="1"/>
  <c r="S9" i="2" s="1"/>
  <c r="F9" i="2"/>
  <c r="E9" i="2"/>
  <c r="O8" i="2"/>
  <c r="L8" i="2"/>
  <c r="K8" i="2"/>
  <c r="J8" i="2"/>
  <c r="I8" i="2"/>
  <c r="Q8" i="2" s="1"/>
  <c r="H8" i="2"/>
  <c r="G8" i="2"/>
  <c r="F8" i="2"/>
  <c r="M8" i="2" s="1"/>
  <c r="E8" i="2"/>
  <c r="O7" i="2"/>
  <c r="P7" i="2" s="1"/>
  <c r="M7" i="2"/>
  <c r="L7" i="2"/>
  <c r="K7" i="2"/>
  <c r="J7" i="2"/>
  <c r="I7" i="2"/>
  <c r="Q7" i="2" s="1"/>
  <c r="H7" i="2"/>
  <c r="G7" i="2"/>
  <c r="N7" i="2" s="1"/>
  <c r="S7" i="2" s="1"/>
  <c r="F7" i="2"/>
  <c r="E7" i="2"/>
  <c r="O6" i="2"/>
  <c r="L6" i="2"/>
  <c r="K6" i="2"/>
  <c r="J6" i="2"/>
  <c r="I6" i="2"/>
  <c r="Q6" i="2" s="1"/>
  <c r="H6" i="2"/>
  <c r="P6" i="2" s="1"/>
  <c r="G6" i="2"/>
  <c r="M6" i="2" s="1"/>
  <c r="F6" i="2"/>
  <c r="N6" i="2" s="1"/>
  <c r="S6" i="2" s="1"/>
  <c r="E6" i="2"/>
  <c r="O5" i="2"/>
  <c r="L5" i="2"/>
  <c r="K5" i="2"/>
  <c r="J5" i="2"/>
  <c r="I5" i="2"/>
  <c r="Q5" i="2" s="1"/>
  <c r="H5" i="2"/>
  <c r="G5" i="2"/>
  <c r="N5" i="2" s="1"/>
  <c r="S5" i="2" s="1"/>
  <c r="F5" i="2"/>
  <c r="E5" i="2"/>
  <c r="E25" i="1"/>
  <c r="B25" i="1"/>
  <c r="E22" i="1"/>
  <c r="B22" i="1"/>
  <c r="R6" i="2" l="1"/>
  <c r="U11" i="2"/>
  <c r="T11" i="2"/>
  <c r="P12" i="2"/>
  <c r="R12" i="2" s="1"/>
  <c r="U10" i="2"/>
  <c r="T10" i="2"/>
  <c r="U15" i="2"/>
  <c r="T15" i="2"/>
  <c r="U16" i="2"/>
  <c r="P14" i="2"/>
  <c r="R14" i="2" s="1"/>
  <c r="R7" i="2"/>
  <c r="P8" i="2"/>
  <c r="R8" i="2" s="1"/>
  <c r="M5" i="2"/>
  <c r="P5" i="2" s="1"/>
  <c r="N8" i="2"/>
  <c r="S8" i="2" s="1"/>
  <c r="S17" i="2" s="1"/>
  <c r="M9" i="2"/>
  <c r="P9" i="2" s="1"/>
  <c r="R9" i="2" s="1"/>
  <c r="N12" i="2"/>
  <c r="S12" i="2" s="1"/>
  <c r="M13" i="2"/>
  <c r="P13" i="2" s="1"/>
  <c r="R13" i="2" s="1"/>
  <c r="N16" i="2"/>
  <c r="S16" i="2" s="1"/>
  <c r="T16" i="2" s="1"/>
  <c r="L10" i="3"/>
  <c r="R10" i="3" s="1"/>
  <c r="P10" i="3"/>
  <c r="J11" i="3"/>
  <c r="K5" i="3"/>
  <c r="R5" i="3" s="1"/>
  <c r="I6" i="3"/>
  <c r="Q6" i="3" s="1"/>
  <c r="S6" i="3" s="1"/>
  <c r="M6" i="3"/>
  <c r="K7" i="3"/>
  <c r="R7" i="3" s="1"/>
  <c r="I8" i="3"/>
  <c r="Q8" i="3" s="1"/>
  <c r="S8" i="3" s="1"/>
  <c r="M8" i="3"/>
  <c r="K9" i="3"/>
  <c r="R9" i="3" s="1"/>
  <c r="I10" i="3"/>
  <c r="M10" i="3"/>
  <c r="K11" i="3"/>
  <c r="L5" i="3"/>
  <c r="O5" i="3" s="1"/>
  <c r="T5" i="3" s="1"/>
  <c r="P5" i="3"/>
  <c r="Q5" i="3" s="1"/>
  <c r="N6" i="3"/>
  <c r="L7" i="3"/>
  <c r="O7" i="3" s="1"/>
  <c r="T7" i="3" s="1"/>
  <c r="P7" i="3"/>
  <c r="N8" i="3"/>
  <c r="L9" i="3"/>
  <c r="O9" i="3" s="1"/>
  <c r="T9" i="3" s="1"/>
  <c r="P9" i="3"/>
  <c r="N10" i="3"/>
  <c r="L11" i="3"/>
  <c r="O11" i="3" s="1"/>
  <c r="T11" i="3" s="1"/>
  <c r="P11" i="3"/>
  <c r="I5" i="3"/>
  <c r="I7" i="3"/>
  <c r="I9" i="3"/>
  <c r="I11" i="3"/>
  <c r="V6" i="3" l="1"/>
  <c r="U6" i="3"/>
  <c r="T9" i="2"/>
  <c r="U9" i="2"/>
  <c r="V8" i="3"/>
  <c r="U8" i="3"/>
  <c r="T13" i="2"/>
  <c r="U13" i="2"/>
  <c r="P2" i="2"/>
  <c r="R5" i="2"/>
  <c r="S5" i="3"/>
  <c r="Q7" i="3"/>
  <c r="S7" i="3" s="1"/>
  <c r="Q10" i="3"/>
  <c r="S10" i="3" s="1"/>
  <c r="U7" i="2"/>
  <c r="T7" i="2"/>
  <c r="U14" i="2"/>
  <c r="T14" i="2"/>
  <c r="Q9" i="3"/>
  <c r="S9" i="3" s="1"/>
  <c r="O10" i="3"/>
  <c r="T10" i="3" s="1"/>
  <c r="T12" i="3" s="1"/>
  <c r="Q11" i="3"/>
  <c r="S11" i="3" s="1"/>
  <c r="U6" i="2"/>
  <c r="T6" i="2"/>
  <c r="R11" i="3"/>
  <c r="R13" i="3" s="1"/>
  <c r="U8" i="2"/>
  <c r="T8" i="2"/>
  <c r="U12" i="2"/>
  <c r="T12" i="2"/>
  <c r="U9" i="3" l="1"/>
  <c r="V9" i="3"/>
  <c r="Q12" i="3"/>
  <c r="R12" i="3"/>
  <c r="V10" i="3"/>
  <c r="U10" i="3"/>
  <c r="Q13" i="3"/>
  <c r="U11" i="3"/>
  <c r="V11" i="3"/>
  <c r="U7" i="3"/>
  <c r="V7" i="3"/>
  <c r="T5" i="2"/>
  <c r="T17" i="2" s="1"/>
  <c r="T19" i="2" s="1"/>
  <c r="T20" i="2" s="1"/>
  <c r="R17" i="2"/>
  <c r="U5" i="2"/>
  <c r="U17" i="2" s="1"/>
  <c r="S12" i="3"/>
  <c r="U5" i="3"/>
  <c r="U12" i="3" s="1"/>
  <c r="U14" i="3" s="1"/>
  <c r="U15" i="3" s="1"/>
  <c r="V5" i="3"/>
  <c r="V12" i="3" s="1"/>
</calcChain>
</file>

<file path=xl/sharedStrings.xml><?xml version="1.0" encoding="utf-8"?>
<sst xmlns="http://schemas.openxmlformats.org/spreadsheetml/2006/main" count="200" uniqueCount="106">
  <si>
    <t>Abbrevation</t>
  </si>
  <si>
    <t>Input variables</t>
  </si>
  <si>
    <t xml:space="preserve">Formulae </t>
  </si>
  <si>
    <t>distillate Output(Kg/m^2-h)</t>
  </si>
  <si>
    <t>m_ew</t>
  </si>
  <si>
    <t>Saturated vapor pressure on water surface (Pa)</t>
  </si>
  <si>
    <t>P_w</t>
  </si>
  <si>
    <t>Saturated vapour pressure on inner glass cover (pa)</t>
  </si>
  <si>
    <t>P_ci</t>
  </si>
  <si>
    <t>Temperature of water surface</t>
  </si>
  <si>
    <t>T_w</t>
  </si>
  <si>
    <t xml:space="preserve">Inner glass cover temperature </t>
  </si>
  <si>
    <t>T_ci</t>
  </si>
  <si>
    <t>Emissivity of water surface</t>
  </si>
  <si>
    <t>E_w</t>
  </si>
  <si>
    <t>emissivity of glass surface</t>
  </si>
  <si>
    <t>E_ci</t>
  </si>
  <si>
    <t>basin area m^2</t>
  </si>
  <si>
    <t>A_b</t>
  </si>
  <si>
    <t>solar insolation (W/m^2)</t>
  </si>
  <si>
    <t>I(t)</t>
  </si>
  <si>
    <t>thermal conductivity of
humid air(W/m-K)</t>
  </si>
  <si>
    <t>k</t>
  </si>
  <si>
    <t>Latent heat of vaporization (J/Kg)</t>
  </si>
  <si>
    <t>L</t>
  </si>
  <si>
    <t>Ambient temperature</t>
  </si>
  <si>
    <t>T_a</t>
  </si>
  <si>
    <t>my still</t>
  </si>
  <si>
    <t>Dumka still</t>
  </si>
  <si>
    <t>Basin length</t>
  </si>
  <si>
    <t>mm</t>
  </si>
  <si>
    <t>Basin width</t>
  </si>
  <si>
    <t>Basin area</t>
  </si>
  <si>
    <t>mm^2</t>
  </si>
  <si>
    <t>Low side Heigh</t>
  </si>
  <si>
    <t>High side Heigh</t>
  </si>
  <si>
    <t>Angle</t>
  </si>
  <si>
    <t>Thickness of wood</t>
  </si>
  <si>
    <t>Thickness of FRP</t>
  </si>
  <si>
    <t>GI Tray thickness</t>
  </si>
  <si>
    <t>GI Tray Height</t>
  </si>
  <si>
    <t>Water feed</t>
  </si>
  <si>
    <t>kg</t>
  </si>
  <si>
    <t>Charactersitic length of solar still</t>
  </si>
  <si>
    <t>m</t>
  </si>
  <si>
    <t>Emissivity of glass surface</t>
  </si>
  <si>
    <t>df(Average space between water surface and glass cover)</t>
  </si>
  <si>
    <t>Pa</t>
  </si>
  <si>
    <t>(kg/m^3)</t>
  </si>
  <si>
    <t>Ns/m^2</t>
  </si>
  <si>
    <t>KJ/KgK</t>
  </si>
  <si>
    <t>W/mk</t>
  </si>
  <si>
    <t xml:space="preserve">Latent Heat of Vaporisation </t>
  </si>
  <si>
    <t>Saturated water Pressure on inner glass surface</t>
  </si>
  <si>
    <t>Saturated water Pressure on water surface</t>
  </si>
  <si>
    <t>density</t>
  </si>
  <si>
    <t>Viscosity</t>
  </si>
  <si>
    <t>sp.heat capacity</t>
  </si>
  <si>
    <t>thermal conductivity</t>
  </si>
  <si>
    <t>thermal diffusivity</t>
  </si>
  <si>
    <t>Coefficient of volumetric thermal expansion</t>
  </si>
  <si>
    <t>rho</t>
  </si>
  <si>
    <t>mu</t>
  </si>
  <si>
    <t>cpm</t>
  </si>
  <si>
    <t>alpha</t>
  </si>
  <si>
    <t>delT</t>
  </si>
  <si>
    <t>R</t>
  </si>
  <si>
    <t>beta'</t>
  </si>
  <si>
    <t>Gr</t>
  </si>
  <si>
    <t>Pr</t>
  </si>
  <si>
    <t>X</t>
  </si>
  <si>
    <t>Y</t>
  </si>
  <si>
    <t>X.Y</t>
  </si>
  <si>
    <t>X^2</t>
  </si>
  <si>
    <t>N</t>
  </si>
  <si>
    <t>SUM</t>
  </si>
  <si>
    <t>x</t>
  </si>
  <si>
    <t>y</t>
  </si>
  <si>
    <t>xy</t>
  </si>
  <si>
    <t>x^2</t>
  </si>
  <si>
    <t>n</t>
  </si>
  <si>
    <t>C</t>
  </si>
  <si>
    <t>T_f</t>
  </si>
  <si>
    <t>max</t>
  </si>
  <si>
    <t>ml</t>
  </si>
  <si>
    <t>m3</t>
  </si>
  <si>
    <t>min</t>
  </si>
  <si>
    <t>INPUT</t>
  </si>
  <si>
    <t>OUTPUT</t>
  </si>
  <si>
    <t>Time</t>
  </si>
  <si>
    <t>Solar Intensity</t>
  </si>
  <si>
    <t>h_cw</t>
  </si>
  <si>
    <t>h_ew</t>
  </si>
  <si>
    <t>h_rw</t>
  </si>
  <si>
    <t>h_1w</t>
  </si>
  <si>
    <t>F_cw</t>
  </si>
  <si>
    <t>F_ew</t>
  </si>
  <si>
    <t>F_rw</t>
  </si>
  <si>
    <t>Internal efficiency</t>
  </si>
  <si>
    <t>TIME</t>
  </si>
  <si>
    <t>Actual OP</t>
  </si>
  <si>
    <t>ANN OP</t>
  </si>
  <si>
    <t>Error</t>
  </si>
  <si>
    <t>% of error</t>
  </si>
  <si>
    <t>Average Error %</t>
  </si>
  <si>
    <t xml:space="preserve">This calculation based on the paper ESTIMATION OF CONVECTIVE MASS TRANSFER IN SOLAR
DISTILLATION SYSTEMS  and the formulas used here are based on the SOLAR ENERGY Fundamentals, Design, Modelling and Applications Book written by G.N.Tiwari
</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</si>
</sst>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0"/>
      <color rgb="FF000000"/>
      <name val="Arial"/>
    </font>
    <font>
      <sz val="10"/>
      <color theme="1"/>
      <name val="Arial"/>
    </font>
    <font>
      <b/>
      <sz val="12"/>
      <color theme="1"/>
      <name val="Arial"/>
    </font>
    <font>
      <sz val="10"/>
      <name val="Arial"/>
    </font>
    <font>
      <sz val="11"/>
      <color rgb="FF000000"/>
      <name val="Inconsolata"/>
    </font>
    <font>
      <sz val="10"/>
      <color rgb="FFFF0000"/>
      <name val="Arial"/>
      <family val="2"/>
    </font>
  </fonts>
  <fills count="6">
    <fill>
      <patternFill patternType="none"/>
    </fill>
    <fill>
      <patternFill patternType="gray125"/>
    </fill>
    <fill>
      <patternFill patternType="solid">
        <fgColor rgb="FFFFFF00"/>
        <bgColor rgb="FFFFFF00"/>
      </patternFill>
    </fill>
    <fill>
      <patternFill patternType="solid">
        <fgColor rgb="FFFF9900"/>
        <bgColor rgb="FFFF9900"/>
      </patternFill>
    </fill>
    <fill>
      <patternFill patternType="solid">
        <fgColor rgb="FFFFFFFF"/>
        <bgColor rgb="FFFFFFFF"/>
      </patternFill>
    </fill>
    <fill>
      <patternFill patternType="solid">
        <fgColor rgb="FFFFFF00"/>
        <bgColor indexed="64"/>
      </patternFill>
    </fill>
  </fills>
  <borders count="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applyFont="1" applyAlignment="1"/>
    <xf numFmtId="0" fontId="1" fillId="0" borderId="0" xfId="0" applyFont="1" applyAlignment="1"/>
    <xf numFmtId="0" fontId="2" fillId="3" borderId="0" xfId="0" applyFont="1" applyFill="1" applyAlignment="1">
      <alignment horizontal="center"/>
    </xf>
    <xf numFmtId="0" fontId="1" fillId="2" borderId="3" xfId="0" applyFont="1" applyFill="1" applyBorder="1" applyAlignment="1">
      <alignment wrapText="1"/>
    </xf>
    <xf numFmtId="0" fontId="1" fillId="2" borderId="3" xfId="0" applyFont="1" applyFill="1" applyBorder="1" applyAlignment="1"/>
    <xf numFmtId="0" fontId="1" fillId="2" borderId="3" xfId="0" applyFont="1" applyFill="1" applyBorder="1"/>
    <xf numFmtId="0" fontId="1" fillId="0" borderId="3" xfId="0" applyFont="1" applyBorder="1"/>
    <xf numFmtId="0" fontId="1" fillId="2" borderId="3" xfId="0" applyFont="1" applyFill="1" applyBorder="1" applyAlignment="1">
      <alignment vertical="center" wrapText="1"/>
    </xf>
    <xf numFmtId="0" fontId="1" fillId="0" borderId="0" xfId="0" applyFont="1" applyAlignment="1">
      <alignment wrapText="1"/>
    </xf>
    <xf numFmtId="0" fontId="3" fillId="0" borderId="0" xfId="0" applyFont="1" applyAlignment="1"/>
    <xf numFmtId="0" fontId="1" fillId="0" borderId="0" xfId="0" applyFont="1"/>
    <xf numFmtId="0" fontId="4" fillId="4" borderId="0" xfId="0" applyFont="1" applyFill="1"/>
    <xf numFmtId="0" fontId="1" fillId="0" borderId="0" xfId="0" applyFont="1" applyAlignment="1"/>
    <xf numFmtId="0" fontId="2" fillId="2" borderId="1" xfId="0" applyFont="1" applyFill="1" applyBorder="1" applyAlignment="1">
      <alignment horizontal="center"/>
    </xf>
    <xf numFmtId="0" fontId="3" fillId="0" borderId="2" xfId="0" applyFont="1" applyBorder="1"/>
    <xf numFmtId="0" fontId="2" fillId="3" borderId="0" xfId="0" applyFont="1" applyFill="1" applyAlignment="1">
      <alignment horizontal="center"/>
    </xf>
    <xf numFmtId="0" fontId="0" fillId="0" borderId="0" xfId="0" applyFont="1" applyAlignment="1"/>
    <xf numFmtId="0" fontId="1" fillId="0" borderId="0" xfId="0" applyFont="1" applyAlignment="1"/>
    <xf numFmtId="0" fontId="5" fillId="5" borderId="0" xfId="0" applyFont="1" applyFill="1" applyAlignment="1">
      <alignment horizontal="center" wrapText="1"/>
    </xf>
    <xf numFmtId="0" fontId="5" fillId="5"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0">
                <a:solidFill>
                  <a:srgbClr val="757575"/>
                </a:solidFill>
                <a:latin typeface="Arial black"/>
              </a:defRPr>
            </a:pPr>
            <a:r>
              <a:rPr lang="en-US" b="0">
                <a:solidFill>
                  <a:srgbClr val="757575"/>
                </a:solidFill>
                <a:latin typeface="Arial black"/>
              </a:rPr>
              <a:t>ACTUAL YIELD VS PREDICTED YIELD</a:t>
            </a:r>
          </a:p>
        </c:rich>
      </c:tx>
      <c:layout/>
      <c:overlay val="0"/>
    </c:title>
    <c:autoTitleDeleted val="0"/>
    <c:plotArea>
      <c:layout/>
      <c:lineChart>
        <c:grouping val="standard"/>
        <c:varyColors val="1"/>
        <c:ser>
          <c:idx val="0"/>
          <c:order val="0"/>
          <c:spPr>
            <a:ln w="38100" cmpd="sng">
              <a:solidFill>
                <a:srgbClr val="B45F06"/>
              </a:solidFill>
              <a:prstDash val="sysDot"/>
            </a:ln>
          </c:spPr>
          <c:marker>
            <c:symbol val="circle"/>
            <c:size val="14"/>
            <c:spPr>
              <a:solidFill>
                <a:srgbClr val="B45F06"/>
              </a:solidFill>
              <a:ln cmpd="sng">
                <a:solidFill>
                  <a:srgbClr val="B45F06"/>
                </a:solidFill>
              </a:ln>
            </c:spPr>
          </c:marker>
          <c:dLbls>
            <c:txPr>
              <a:bodyPr/>
              <a:lstStyle/>
              <a:p>
                <a:pPr lvl="0">
                  <a:defRPr>
                    <a:latin typeface="Georgia"/>
                  </a:defRPr>
                </a:pPr>
                <a:endParaRPr lang="en-US"/>
              </a:p>
            </c:txPr>
            <c:showLegendKey val="0"/>
            <c:showVal val="1"/>
            <c:showCatName val="0"/>
            <c:showSerName val="0"/>
            <c:showPercent val="0"/>
            <c:showBubbleSize val="0"/>
            <c:showLeaderLines val="0"/>
          </c:dLbls>
          <c:errBars>
            <c:errDir val="y"/>
            <c:errBarType val="both"/>
            <c:errValType val="percentage"/>
            <c:noEndCap val="0"/>
            <c:val val="10"/>
          </c:errBars>
          <c:cat>
            <c:numRef>
              <c:f>'dumka paper for reference CS'!$E$19:$E$21</c:f>
              <c:numCache>
                <c:formatCode>General</c:formatCode>
                <c:ptCount val="3"/>
                <c:pt idx="0">
                  <c:v>14</c:v>
                </c:pt>
                <c:pt idx="1">
                  <c:v>19</c:v>
                </c:pt>
                <c:pt idx="2">
                  <c:v>20</c:v>
                </c:pt>
              </c:numCache>
            </c:numRef>
          </c:cat>
          <c:val>
            <c:numRef>
              <c:f>'dumka paper for reference CS'!$J$19:$J$21</c:f>
              <c:numCache>
                <c:formatCode>General</c:formatCode>
                <c:ptCount val="3"/>
                <c:pt idx="0">
                  <c:v>0.20146800000000001</c:v>
                </c:pt>
                <c:pt idx="1">
                  <c:v>0.20807300000000001</c:v>
                </c:pt>
                <c:pt idx="2">
                  <c:v>0.16844000000000001</c:v>
                </c:pt>
              </c:numCache>
            </c:numRef>
          </c:val>
          <c:smooth val="1"/>
        </c:ser>
        <c:ser>
          <c:idx val="1"/>
          <c:order val="1"/>
          <c:spPr>
            <a:ln w="38100" cmpd="sng">
              <a:solidFill>
                <a:srgbClr val="0000FF"/>
              </a:solidFill>
              <a:prstDash val="dash"/>
            </a:ln>
          </c:spPr>
          <c:marker>
            <c:symbol val="circle"/>
            <c:size val="14"/>
            <c:spPr>
              <a:solidFill>
                <a:srgbClr val="0000FF"/>
              </a:solidFill>
              <a:ln cmpd="sng">
                <a:solidFill>
                  <a:srgbClr val="0000FF"/>
                </a:solidFill>
              </a:ln>
            </c:spPr>
          </c:marker>
          <c:dLbls>
            <c:txPr>
              <a:bodyPr/>
              <a:lstStyle/>
              <a:p>
                <a:pPr lvl="0">
                  <a:defRPr/>
                </a:pPr>
                <a:endParaRPr lang="en-US"/>
              </a:p>
            </c:txPr>
            <c:showLegendKey val="0"/>
            <c:showVal val="1"/>
            <c:showCatName val="0"/>
            <c:showSerName val="0"/>
            <c:showPercent val="0"/>
            <c:showBubbleSize val="0"/>
            <c:showLeaderLines val="0"/>
          </c:dLbls>
          <c:errBars>
            <c:errDir val="y"/>
            <c:errBarType val="both"/>
            <c:errValType val="percentage"/>
            <c:noEndCap val="0"/>
            <c:val val="10"/>
          </c:errBars>
          <c:cat>
            <c:numRef>
              <c:f>'dumka paper for reference CS'!$E$19:$E$21</c:f>
              <c:numCache>
                <c:formatCode>General</c:formatCode>
                <c:ptCount val="3"/>
                <c:pt idx="0">
                  <c:v>14</c:v>
                </c:pt>
                <c:pt idx="1">
                  <c:v>19</c:v>
                </c:pt>
                <c:pt idx="2">
                  <c:v>20</c:v>
                </c:pt>
              </c:numCache>
            </c:numRef>
          </c:cat>
          <c:val>
            <c:numRef>
              <c:f>'dumka paper for reference CS'!$K$19:$K$21</c:f>
              <c:numCache>
                <c:formatCode>General</c:formatCode>
                <c:ptCount val="3"/>
                <c:pt idx="0">
                  <c:v>0.20050000000000001</c:v>
                </c:pt>
                <c:pt idx="1">
                  <c:v>0.23569999999999999</c:v>
                </c:pt>
                <c:pt idx="2">
                  <c:v>0.1699</c:v>
                </c:pt>
              </c:numCache>
            </c:numRef>
          </c:val>
          <c:smooth val="1"/>
        </c:ser>
        <c:dLbls>
          <c:showLegendKey val="0"/>
          <c:showVal val="0"/>
          <c:showCatName val="0"/>
          <c:showSerName val="0"/>
          <c:showPercent val="0"/>
          <c:showBubbleSize val="0"/>
        </c:dLbls>
        <c:marker val="1"/>
        <c:smooth val="0"/>
        <c:axId val="44409984"/>
        <c:axId val="44411904"/>
      </c:lineChart>
      <c:catAx>
        <c:axId val="44409984"/>
        <c:scaling>
          <c:orientation val="minMax"/>
        </c:scaling>
        <c:delete val="0"/>
        <c:axPos val="b"/>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4411904"/>
        <c:crosses val="autoZero"/>
        <c:auto val="1"/>
        <c:lblAlgn val="ctr"/>
        <c:lblOffset val="100"/>
        <c:noMultiLvlLbl val="1"/>
      </c:catAx>
      <c:valAx>
        <c:axId val="444119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4409984"/>
        <c:crosses val="autoZero"/>
        <c:crossBetween val="between"/>
      </c:valAx>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alpha val="0"/>
      </a:srgbClr>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0">
                <a:solidFill>
                  <a:srgbClr val="0000FF"/>
                </a:solidFill>
                <a:latin typeface="serif"/>
              </a:defRPr>
            </a:pPr>
            <a:r>
              <a:rPr lang="en-US" b="0">
                <a:solidFill>
                  <a:srgbClr val="0000FF"/>
                </a:solidFill>
                <a:latin typeface="serif"/>
              </a:rPr>
              <a:t>ACTUAL VS ANN OUTPUT</a:t>
            </a:r>
          </a:p>
        </c:rich>
      </c:tx>
      <c:layout/>
      <c:overlay val="0"/>
    </c:title>
    <c:autoTitleDeleted val="0"/>
    <c:plotArea>
      <c:layout/>
      <c:lineChart>
        <c:grouping val="standard"/>
        <c:varyColors val="1"/>
        <c:ser>
          <c:idx val="0"/>
          <c:order val="0"/>
          <c:tx>
            <c:strRef>
              <c:f>'dumka paper for reference CS'!$J$18</c:f>
              <c:strCache>
                <c:ptCount val="1"/>
                <c:pt idx="0">
                  <c:v>Actual OP</c:v>
                </c:pt>
              </c:strCache>
            </c:strRef>
          </c:tx>
          <c:spPr>
            <a:ln w="38100" cmpd="sng">
              <a:solidFill>
                <a:srgbClr val="4285F4"/>
              </a:solidFill>
              <a:prstDash val="sysDot"/>
            </a:ln>
          </c:spPr>
          <c:marker>
            <c:symbol val="circle"/>
            <c:size val="7"/>
            <c:spPr>
              <a:solidFill>
                <a:srgbClr val="4285F4"/>
              </a:solidFill>
              <a:ln cmpd="sng">
                <a:solidFill>
                  <a:srgbClr val="4285F4"/>
                </a:solidFill>
              </a:ln>
            </c:spPr>
          </c:marker>
          <c:errBars>
            <c:errDir val="y"/>
            <c:errBarType val="both"/>
            <c:errValType val="percentage"/>
            <c:noEndCap val="0"/>
            <c:val val="10"/>
          </c:errBars>
          <c:cat>
            <c:numRef>
              <c:f>'dumka paper for reference CS'!$E$19:$E$21</c:f>
              <c:numCache>
                <c:formatCode>General</c:formatCode>
                <c:ptCount val="3"/>
                <c:pt idx="0">
                  <c:v>14</c:v>
                </c:pt>
                <c:pt idx="1">
                  <c:v>19</c:v>
                </c:pt>
                <c:pt idx="2">
                  <c:v>20</c:v>
                </c:pt>
              </c:numCache>
            </c:numRef>
          </c:cat>
          <c:val>
            <c:numRef>
              <c:f>'dumka paper for reference CS'!$J$19:$J$21</c:f>
              <c:numCache>
                <c:formatCode>General</c:formatCode>
                <c:ptCount val="3"/>
                <c:pt idx="0">
                  <c:v>0.20146800000000001</c:v>
                </c:pt>
                <c:pt idx="1">
                  <c:v>0.20807300000000001</c:v>
                </c:pt>
                <c:pt idx="2">
                  <c:v>0.16844000000000001</c:v>
                </c:pt>
              </c:numCache>
            </c:numRef>
          </c:val>
          <c:smooth val="1"/>
        </c:ser>
        <c:ser>
          <c:idx val="1"/>
          <c:order val="1"/>
          <c:tx>
            <c:strRef>
              <c:f>'dumka paper for reference CS'!$K$18</c:f>
              <c:strCache>
                <c:ptCount val="1"/>
                <c:pt idx="0">
                  <c:v>ANN OP</c:v>
                </c:pt>
              </c:strCache>
            </c:strRef>
          </c:tx>
          <c:spPr>
            <a:ln w="38100" cmpd="sng">
              <a:solidFill>
                <a:srgbClr val="EA4335"/>
              </a:solidFill>
              <a:prstDash val="dash"/>
            </a:ln>
          </c:spPr>
          <c:marker>
            <c:symbol val="circle"/>
            <c:size val="7"/>
            <c:spPr>
              <a:solidFill>
                <a:srgbClr val="EA4335"/>
              </a:solidFill>
              <a:ln cmpd="sng">
                <a:solidFill>
                  <a:srgbClr val="EA4335"/>
                </a:solidFill>
              </a:ln>
            </c:spPr>
          </c:marker>
          <c:errBars>
            <c:errDir val="y"/>
            <c:errBarType val="both"/>
            <c:errValType val="percentage"/>
            <c:noEndCap val="0"/>
            <c:val val="10"/>
          </c:errBars>
          <c:cat>
            <c:numRef>
              <c:f>'dumka paper for reference CS'!$E$19:$E$21</c:f>
              <c:numCache>
                <c:formatCode>General</c:formatCode>
                <c:ptCount val="3"/>
                <c:pt idx="0">
                  <c:v>14</c:v>
                </c:pt>
                <c:pt idx="1">
                  <c:v>19</c:v>
                </c:pt>
                <c:pt idx="2">
                  <c:v>20</c:v>
                </c:pt>
              </c:numCache>
            </c:numRef>
          </c:cat>
          <c:val>
            <c:numRef>
              <c:f>'dumka paper for reference CS'!$K$19:$K$21</c:f>
              <c:numCache>
                <c:formatCode>General</c:formatCode>
                <c:ptCount val="3"/>
                <c:pt idx="0">
                  <c:v>0.20050000000000001</c:v>
                </c:pt>
                <c:pt idx="1">
                  <c:v>0.23569999999999999</c:v>
                </c:pt>
                <c:pt idx="2">
                  <c:v>0.1699</c:v>
                </c:pt>
              </c:numCache>
            </c:numRef>
          </c:val>
          <c:smooth val="1"/>
        </c:ser>
        <c:dLbls>
          <c:showLegendKey val="0"/>
          <c:showVal val="0"/>
          <c:showCatName val="0"/>
          <c:showSerName val="0"/>
          <c:showPercent val="0"/>
          <c:showBubbleSize val="0"/>
        </c:dLbls>
        <c:marker val="1"/>
        <c:smooth val="0"/>
        <c:axId val="45106304"/>
        <c:axId val="45108224"/>
      </c:lineChart>
      <c:catAx>
        <c:axId val="45106304"/>
        <c:scaling>
          <c:orientation val="minMax"/>
        </c:scaling>
        <c:delete val="0"/>
        <c:axPos val="b"/>
        <c:title>
          <c:tx>
            <c:rich>
              <a:bodyPr/>
              <a:lstStyle/>
              <a:p>
                <a:pPr lvl="0">
                  <a:defRPr b="0">
                    <a:solidFill>
                      <a:srgbClr val="000000"/>
                    </a:solidFill>
                    <a:latin typeface="serif"/>
                  </a:defRPr>
                </a:pPr>
                <a:endParaRPr lang="en-US"/>
              </a:p>
            </c:rich>
          </c:tx>
          <c:layout/>
          <c:overlay val="0"/>
        </c:title>
        <c:numFmt formatCode="General" sourceLinked="1"/>
        <c:majorTickMark val="none"/>
        <c:minorTickMark val="none"/>
        <c:tickLblPos val="nextTo"/>
        <c:txPr>
          <a:bodyPr/>
          <a:lstStyle/>
          <a:p>
            <a:pPr lvl="0">
              <a:defRPr b="0">
                <a:solidFill>
                  <a:srgbClr val="000000"/>
                </a:solidFill>
                <a:latin typeface="serif"/>
              </a:defRPr>
            </a:pPr>
            <a:endParaRPr lang="en-US"/>
          </a:p>
        </c:txPr>
        <c:crossAx val="45108224"/>
        <c:crosses val="autoZero"/>
        <c:auto val="1"/>
        <c:lblAlgn val="ctr"/>
        <c:lblOffset val="100"/>
        <c:noMultiLvlLbl val="1"/>
      </c:catAx>
      <c:valAx>
        <c:axId val="45108224"/>
        <c:scaling>
          <c:orientation val="minMax"/>
        </c:scaling>
        <c:delete val="0"/>
        <c:axPos val="l"/>
        <c:majorGridlines>
          <c:spPr>
            <a:ln>
              <a:solidFill>
                <a:srgbClr val="B7B7B7"/>
              </a:solidFill>
            </a:ln>
          </c:spPr>
        </c:majorGridlines>
        <c:minorGridlines>
          <c:spPr>
            <a:ln>
              <a:solidFill>
                <a:srgbClr val="CFE2F3"/>
              </a:solidFill>
            </a:ln>
          </c:spPr>
        </c:minorGridlines>
        <c:title>
          <c:tx>
            <c:rich>
              <a:bodyPr/>
              <a:lstStyle/>
              <a:p>
                <a:pPr lvl="0">
                  <a:defRPr b="0">
                    <a:solidFill>
                      <a:srgbClr val="000000"/>
                    </a:solidFill>
                    <a:latin typeface="serif"/>
                  </a:defRPr>
                </a:pPr>
                <a:endParaRPr lang="en-US"/>
              </a:p>
            </c:rich>
          </c:tx>
          <c:layout/>
          <c:overlay val="0"/>
        </c:title>
        <c:numFmt formatCode="General" sourceLinked="1"/>
        <c:majorTickMark val="cross"/>
        <c:minorTickMark val="cross"/>
        <c:tickLblPos val="nextTo"/>
        <c:spPr>
          <a:ln/>
        </c:spPr>
        <c:txPr>
          <a:bodyPr/>
          <a:lstStyle/>
          <a:p>
            <a:pPr lvl="0">
              <a:defRPr b="0">
                <a:solidFill>
                  <a:srgbClr val="000000"/>
                </a:solidFill>
                <a:latin typeface="serif"/>
              </a:defRPr>
            </a:pPr>
            <a:endParaRPr lang="en-US"/>
          </a:p>
        </c:txPr>
        <c:crossAx val="45106304"/>
        <c:crosses val="autoZero"/>
        <c:crossBetween val="between"/>
      </c:valAx>
    </c:plotArea>
    <c:legend>
      <c:legendPos val="r"/>
      <c:layout/>
      <c:overlay val="0"/>
      <c:txPr>
        <a:bodyPr/>
        <a:lstStyle/>
        <a:p>
          <a:pPr lvl="0">
            <a:defRPr b="0">
              <a:solidFill>
                <a:srgbClr val="1A1A1A"/>
              </a:solidFill>
              <a:latin typeface="serif"/>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447675</xdr:colOff>
      <xdr:row>17</xdr:row>
      <xdr:rowOff>152400</xdr:rowOff>
    </xdr:from>
    <xdr:ext cx="1704975" cy="704850"/>
    <xdr:pic>
      <xdr:nvPicPr>
        <xdr:cNvPr id="2" name="image1.png" title="Image"/>
        <xdr:cNvPicPr preferRelativeResize="0"/>
      </xdr:nvPicPr>
      <xdr:blipFill>
        <a:blip xmlns:r="http://schemas.openxmlformats.org/officeDocument/2006/relationships" r:embed="rId1" cstate="print"/>
        <a:stretch>
          <a:fillRect/>
        </a:stretch>
      </xdr:blipFill>
      <xdr:spPr>
        <a:xfrm>
          <a:off x="1409700" y="3552825"/>
          <a:ext cx="1704975" cy="7048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295275</xdr:colOff>
      <xdr:row>17</xdr:row>
      <xdr:rowOff>133350</xdr:rowOff>
    </xdr:from>
    <xdr:ext cx="1704975" cy="704850"/>
    <xdr:pic>
      <xdr:nvPicPr>
        <xdr:cNvPr id="2" name="image1.png" title="Image"/>
        <xdr:cNvPicPr preferRelativeResize="0"/>
      </xdr:nvPicPr>
      <xdr:blipFill>
        <a:blip xmlns:r="http://schemas.openxmlformats.org/officeDocument/2006/relationships" r:embed="rId1" cstate="print"/>
        <a:stretch>
          <a:fillRect/>
        </a:stretch>
      </xdr:blipFill>
      <xdr:spPr>
        <a:xfrm>
          <a:off x="6067425" y="3533775"/>
          <a:ext cx="1704975" cy="70485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171450</xdr:colOff>
      <xdr:row>25</xdr:row>
      <xdr:rowOff>76200</xdr:rowOff>
    </xdr:from>
    <xdr:ext cx="5715000" cy="3533775"/>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419100</xdr:colOff>
      <xdr:row>49</xdr:row>
      <xdr:rowOff>47625</xdr:rowOff>
    </xdr:from>
    <xdr:ext cx="5715000" cy="3533775"/>
    <xdr:graphicFrame macro="">
      <xdr:nvGraphicFramePr>
        <xdr:cNvPr id="3" name="Chart 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F33"/>
  <sheetViews>
    <sheetView topLeftCell="A31" workbookViewId="0">
      <selection activeCell="E33" sqref="E33"/>
    </sheetView>
  </sheetViews>
  <sheetFormatPr defaultColWidth="14.42578125" defaultRowHeight="15.75" customHeight="1"/>
  <cols>
    <col min="1" max="1" width="21.5703125" customWidth="1"/>
  </cols>
  <sheetData>
    <row r="2" spans="1:6">
      <c r="A2" s="1" t="s">
        <v>0</v>
      </c>
      <c r="B2" s="13" t="s">
        <v>1</v>
      </c>
      <c r="C2" s="14"/>
      <c r="D2" s="2" t="s">
        <v>0</v>
      </c>
      <c r="E2" s="15" t="s">
        <v>2</v>
      </c>
      <c r="F2" s="16"/>
    </row>
    <row r="3" spans="1:6" ht="15.75" customHeight="1">
      <c r="A3" s="3" t="s">
        <v>3</v>
      </c>
      <c r="B3" s="4" t="s">
        <v>4</v>
      </c>
      <c r="C3" s="5"/>
      <c r="F3" s="6"/>
    </row>
    <row r="4" spans="1:6" ht="15.75" customHeight="1">
      <c r="A4" s="7" t="s">
        <v>5</v>
      </c>
      <c r="B4" s="4" t="s">
        <v>6</v>
      </c>
      <c r="C4" s="5"/>
    </row>
    <row r="5" spans="1:6" ht="15.75" customHeight="1">
      <c r="A5" s="3" t="s">
        <v>7</v>
      </c>
      <c r="B5" s="4" t="s">
        <v>8</v>
      </c>
      <c r="C5" s="5"/>
    </row>
    <row r="6" spans="1:6" ht="15.75" customHeight="1">
      <c r="A6" s="3" t="s">
        <v>9</v>
      </c>
      <c r="B6" s="4" t="s">
        <v>10</v>
      </c>
      <c r="C6" s="5"/>
    </row>
    <row r="7" spans="1:6" ht="15.75" customHeight="1">
      <c r="A7" s="3" t="s">
        <v>11</v>
      </c>
      <c r="B7" s="4" t="s">
        <v>12</v>
      </c>
      <c r="C7" s="5"/>
    </row>
    <row r="8" spans="1:6" ht="15.75" customHeight="1">
      <c r="A8" s="3" t="s">
        <v>13</v>
      </c>
      <c r="B8" s="4" t="s">
        <v>14</v>
      </c>
      <c r="C8" s="5"/>
    </row>
    <row r="9" spans="1:6" ht="15.75" customHeight="1">
      <c r="A9" s="3" t="s">
        <v>15</v>
      </c>
      <c r="B9" s="4" t="s">
        <v>16</v>
      </c>
      <c r="C9" s="5"/>
    </row>
    <row r="10" spans="1:6" ht="15.75" customHeight="1">
      <c r="A10" s="4" t="s">
        <v>17</v>
      </c>
      <c r="B10" s="4" t="s">
        <v>18</v>
      </c>
      <c r="C10" s="5"/>
    </row>
    <row r="11" spans="1:6" ht="15.75" customHeight="1">
      <c r="A11" s="4" t="s">
        <v>19</v>
      </c>
      <c r="B11" s="4" t="s">
        <v>20</v>
      </c>
      <c r="C11" s="5"/>
    </row>
    <row r="12" spans="1:6" ht="15.75" customHeight="1">
      <c r="A12" s="4" t="s">
        <v>21</v>
      </c>
      <c r="B12" s="4" t="s">
        <v>22</v>
      </c>
      <c r="C12" s="5"/>
    </row>
    <row r="13" spans="1:6" ht="15.75" customHeight="1">
      <c r="A13" s="3" t="s">
        <v>23</v>
      </c>
      <c r="B13" s="4" t="s">
        <v>24</v>
      </c>
      <c r="C13" s="5"/>
    </row>
    <row r="14" spans="1:6" ht="15.75" customHeight="1">
      <c r="A14" s="4" t="s">
        <v>25</v>
      </c>
      <c r="B14" s="4" t="s">
        <v>26</v>
      </c>
      <c r="C14" s="5"/>
    </row>
    <row r="18" spans="1:6" ht="15.75" customHeight="1">
      <c r="A18" s="17" t="s">
        <v>27</v>
      </c>
      <c r="B18" s="16"/>
      <c r="D18" s="17" t="s">
        <v>28</v>
      </c>
      <c r="E18" s="16"/>
    </row>
    <row r="20" spans="1:6" ht="15.75" customHeight="1">
      <c r="A20" s="4" t="s">
        <v>29</v>
      </c>
      <c r="B20" s="4">
        <v>500</v>
      </c>
      <c r="C20" s="1" t="s">
        <v>30</v>
      </c>
      <c r="D20" s="4" t="s">
        <v>29</v>
      </c>
      <c r="E20" s="4">
        <v>1000</v>
      </c>
      <c r="F20" s="1" t="s">
        <v>30</v>
      </c>
    </row>
    <row r="21" spans="1:6" ht="15.75" customHeight="1">
      <c r="A21" s="4" t="s">
        <v>31</v>
      </c>
      <c r="B21" s="4">
        <v>480</v>
      </c>
      <c r="C21" s="1" t="s">
        <v>30</v>
      </c>
      <c r="D21" s="4" t="s">
        <v>31</v>
      </c>
      <c r="E21" s="4">
        <v>1000</v>
      </c>
      <c r="F21" s="1" t="s">
        <v>30</v>
      </c>
    </row>
    <row r="22" spans="1:6" ht="15.75" customHeight="1">
      <c r="A22" s="4" t="s">
        <v>32</v>
      </c>
      <c r="B22" s="5">
        <f>B20*B21</f>
        <v>240000</v>
      </c>
      <c r="C22" s="1" t="s">
        <v>33</v>
      </c>
      <c r="D22" s="4" t="s">
        <v>32</v>
      </c>
      <c r="E22" s="5">
        <f>E20*E21</f>
        <v>1000000</v>
      </c>
      <c r="F22" s="1" t="s">
        <v>33</v>
      </c>
    </row>
    <row r="23" spans="1:6" ht="12.75">
      <c r="A23" s="4" t="s">
        <v>34</v>
      </c>
      <c r="B23" s="4">
        <v>300</v>
      </c>
      <c r="C23" s="1" t="s">
        <v>30</v>
      </c>
      <c r="D23" s="4" t="s">
        <v>34</v>
      </c>
      <c r="E23" s="4">
        <v>195</v>
      </c>
      <c r="F23" s="1">
        <v>195</v>
      </c>
    </row>
    <row r="24" spans="1:6" ht="12.75">
      <c r="A24" s="4" t="s">
        <v>35</v>
      </c>
      <c r="B24" s="4">
        <v>600</v>
      </c>
      <c r="C24" s="1" t="s">
        <v>30</v>
      </c>
      <c r="D24" s="4" t="s">
        <v>35</v>
      </c>
      <c r="E24" s="4">
        <v>645</v>
      </c>
      <c r="F24" s="1" t="s">
        <v>30</v>
      </c>
    </row>
    <row r="25" spans="1:6" ht="12.75">
      <c r="A25" s="4" t="s">
        <v>36</v>
      </c>
      <c r="B25" s="5">
        <f>DEGREES(ASIN((B24-B23)/B20))</f>
        <v>36.86989764584402</v>
      </c>
      <c r="D25" s="4" t="s">
        <v>36</v>
      </c>
      <c r="E25" s="5">
        <f>DEGREES(ASIN((E24-E23)/E20))</f>
        <v>26.743683950403007</v>
      </c>
    </row>
    <row r="26" spans="1:6" ht="12.75">
      <c r="A26" s="1" t="s">
        <v>37</v>
      </c>
      <c r="D26" s="1" t="s">
        <v>38</v>
      </c>
      <c r="E26" s="1">
        <v>5</v>
      </c>
      <c r="F26" s="1" t="s">
        <v>30</v>
      </c>
    </row>
    <row r="27" spans="1:6" ht="12.75">
      <c r="D27" s="1" t="s">
        <v>39</v>
      </c>
      <c r="E27" s="1">
        <v>0.74</v>
      </c>
      <c r="F27" s="1" t="s">
        <v>30</v>
      </c>
    </row>
    <row r="28" spans="1:6" ht="12.75">
      <c r="D28" s="1" t="s">
        <v>40</v>
      </c>
      <c r="E28" s="1">
        <v>100</v>
      </c>
      <c r="F28" s="1" t="s">
        <v>30</v>
      </c>
    </row>
    <row r="29" spans="1:6" ht="12.75">
      <c r="D29" s="1" t="s">
        <v>41</v>
      </c>
      <c r="E29" s="1">
        <v>50</v>
      </c>
      <c r="F29" s="1" t="s">
        <v>42</v>
      </c>
    </row>
    <row r="30" spans="1:6" ht="38.25">
      <c r="D30" s="8" t="s">
        <v>43</v>
      </c>
      <c r="F30" s="1" t="s">
        <v>44</v>
      </c>
    </row>
    <row r="31" spans="1:6" ht="25.5">
      <c r="D31" s="8" t="s">
        <v>45</v>
      </c>
      <c r="E31" s="1">
        <v>0.94</v>
      </c>
    </row>
    <row r="32" spans="1:6" ht="25.5">
      <c r="D32" s="8" t="s">
        <v>13</v>
      </c>
      <c r="E32" s="1">
        <v>0.95</v>
      </c>
    </row>
    <row r="33" spans="4:6" ht="63.75">
      <c r="D33" s="8" t="s">
        <v>46</v>
      </c>
      <c r="E33" s="9">
        <v>0.155</v>
      </c>
      <c r="F33" s="1" t="s">
        <v>44</v>
      </c>
    </row>
  </sheetData>
  <mergeCells count="4">
    <mergeCell ref="B2:C2"/>
    <mergeCell ref="E2:F2"/>
    <mergeCell ref="A18:B18"/>
    <mergeCell ref="D18:E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W20"/>
  <sheetViews>
    <sheetView topLeftCell="D1" workbookViewId="0">
      <selection activeCell="A6" sqref="A6"/>
    </sheetView>
  </sheetViews>
  <sheetFormatPr defaultColWidth="14.42578125" defaultRowHeight="15.75" customHeight="1"/>
  <sheetData>
    <row r="2" spans="1:23" ht="15.75" customHeight="1">
      <c r="F2" s="1" t="s">
        <v>47</v>
      </c>
      <c r="G2" s="1" t="s">
        <v>47</v>
      </c>
      <c r="H2" s="1" t="s">
        <v>48</v>
      </c>
      <c r="I2" s="1" t="s">
        <v>49</v>
      </c>
      <c r="J2" s="1" t="s">
        <v>50</v>
      </c>
      <c r="K2" s="1" t="s">
        <v>51</v>
      </c>
      <c r="P2" s="10">
        <f>P5/10000000</f>
        <v>0.49184892148518738</v>
      </c>
    </row>
    <row r="3" spans="1:23" ht="15.75" customHeight="1">
      <c r="E3" s="8" t="s">
        <v>52</v>
      </c>
      <c r="F3" s="8" t="s">
        <v>53</v>
      </c>
      <c r="G3" s="8" t="s">
        <v>54</v>
      </c>
      <c r="H3" s="1" t="s">
        <v>55</v>
      </c>
      <c r="I3" s="1" t="s">
        <v>56</v>
      </c>
      <c r="J3" s="1" t="s">
        <v>57</v>
      </c>
      <c r="K3" s="8" t="s">
        <v>58</v>
      </c>
      <c r="L3" s="8" t="s">
        <v>59</v>
      </c>
      <c r="O3" s="8" t="s">
        <v>60</v>
      </c>
    </row>
    <row r="4" spans="1:23" ht="15.75" customHeight="1">
      <c r="A4" s="1" t="s">
        <v>26</v>
      </c>
      <c r="B4" s="1" t="s">
        <v>10</v>
      </c>
      <c r="C4" s="1" t="s">
        <v>12</v>
      </c>
      <c r="D4" s="1" t="s">
        <v>4</v>
      </c>
      <c r="E4" s="1" t="s">
        <v>24</v>
      </c>
      <c r="F4" s="1" t="s">
        <v>8</v>
      </c>
      <c r="G4" s="1" t="s">
        <v>6</v>
      </c>
      <c r="H4" s="1" t="s">
        <v>61</v>
      </c>
      <c r="I4" s="1" t="s">
        <v>62</v>
      </c>
      <c r="J4" s="1" t="s">
        <v>63</v>
      </c>
      <c r="K4" s="1" t="s">
        <v>22</v>
      </c>
      <c r="L4" s="1" t="s">
        <v>64</v>
      </c>
      <c r="M4" s="1" t="s">
        <v>65</v>
      </c>
      <c r="N4" s="1" t="s">
        <v>66</v>
      </c>
      <c r="O4" s="1" t="s">
        <v>67</v>
      </c>
      <c r="P4" s="1" t="s">
        <v>68</v>
      </c>
      <c r="Q4" s="1" t="s">
        <v>69</v>
      </c>
      <c r="R4" s="1" t="s">
        <v>70</v>
      </c>
      <c r="S4" s="1" t="s">
        <v>71</v>
      </c>
      <c r="T4" s="1" t="s">
        <v>72</v>
      </c>
      <c r="U4" s="1" t="s">
        <v>73</v>
      </c>
      <c r="V4" s="1" t="s">
        <v>74</v>
      </c>
      <c r="W4" s="1">
        <v>12</v>
      </c>
    </row>
    <row r="5" spans="1:23" ht="15.75" customHeight="1">
      <c r="A5" s="1">
        <v>34.884799999999998</v>
      </c>
      <c r="B5" s="1">
        <v>35.032299999999999</v>
      </c>
      <c r="C5" s="1">
        <v>42.847900000000003</v>
      </c>
      <c r="D5" s="1">
        <v>1.3211000000000001E-2</v>
      </c>
      <c r="E5" s="10">
        <f t="shared" ref="E5:E16" si="0">(2503.943143 - (2.451556893*B5) ) *10^3</f>
        <v>2418059.4664573558</v>
      </c>
      <c r="F5" s="10">
        <f t="shared" ref="F5:F16" si="1">((((1.10581611*10^-6)*(C5^4))+((-6.220459433*10^-5)*(C5^3))+((5.591559189*10^-3)*(C5^2))+((-3.750393331*10^-2)*C5))+1.131439334)*(10^3)</f>
        <v>8624.2094952461903</v>
      </c>
      <c r="G5" s="11">
        <f t="shared" ref="G5:G16" si="2">((((1.10581611*10^-6)*(B5^4))+((-6.220459433*10^-5)*(B5^3))+((5.591559189*10^-3)*(B5^2))+((-3.750393331*10^-2)*B5))+1.131439334)*(10^3)</f>
        <v>5671.0354054256341</v>
      </c>
      <c r="H5" s="10">
        <f t="shared" ref="H5:H16" si="3">1.299995662+((-6.043625845*10^-3)*B5)+((4.697926602*10^-5)*B5^2)+((-5.760867827*10^-7)*B5^3)</f>
        <v>1.1211612514414913</v>
      </c>
      <c r="I5" s="10">
        <f t="shared" ref="I5:I16" si="4">(1.685731574*10^-5)+((9.151853945*10^-8)*B5)+((-2.16276222*10^-9)*B5^2)+((3.413922553*10^-11)*B5^3)+((-2.644372665*10^-13)*B5^4)</f>
        <v>1.8478632096212833E-5</v>
      </c>
      <c r="J5" s="10">
        <f t="shared" ref="J5:J16" si="5">(1.088022802+(-0.01057758092*B5)+((4.769110559*10^-4)*B5^2)+((-7.898561559*10^-6)*B5^3)+((5.122303796*10^-8)*B5^4))*(10^3)</f>
        <v>1040.3220913300975</v>
      </c>
      <c r="K5" s="10">
        <f t="shared" ref="K5:K16" si="6">0.02416826077+((5.526004*10^-5)*B5)+((4.631207189*10^-7)*B5^2)+((-9.489325324*10^-9)*B5^3)</f>
        <v>2.626453527932119E-2</v>
      </c>
      <c r="L5" s="10">
        <f t="shared" ref="L5:L16" si="7">(1.881493006*10^-5)+((8.027692454*10^-8)*B5)+((1.496456991*10^-9)*B5^2)+((-2.112432387*10^-11)*B5^3)</f>
        <v>2.2555545017267059E-5</v>
      </c>
      <c r="M5" s="10">
        <f t="shared" ref="M5:M16" si="8">ABS((B5-C5)+(((G5-F5)*(B5+273))/((2.689*10^5)-G5)))</f>
        <v>11.271424128582936</v>
      </c>
      <c r="N5" s="10">
        <f>0.0163*ABS(G5-F5)*(K5/Sheet1!$E$33)*(3600/E5)</f>
        <v>1.2143676802132675E-2</v>
      </c>
      <c r="O5" s="10">
        <f t="shared" ref="O5:O16" si="9">1/(B5+273.15)</f>
        <v>3.2448326850698433E-3</v>
      </c>
      <c r="P5" s="10">
        <f>(9.81*O5*(H5^2)*(Sheet1!$E$33^3)*M5)/(I5^2)</f>
        <v>4918489.2148518739</v>
      </c>
      <c r="Q5" s="10">
        <f t="shared" ref="Q5:Q16" si="10">(I5*J5)/K5</f>
        <v>0.73192725410173098</v>
      </c>
      <c r="R5" s="10">
        <f t="shared" ref="R5:R16" si="11">LN(P5*Q5)</f>
        <v>15.096437821558986</v>
      </c>
      <c r="S5" s="10">
        <f t="shared" ref="S5:S16" si="12">LN(D5/N5)</f>
        <v>8.4241209387224972E-2</v>
      </c>
      <c r="T5" s="10">
        <f t="shared" ref="T5:T16" si="13">R5*S5</f>
        <v>1.2717421795271731</v>
      </c>
      <c r="U5" s="10">
        <f t="shared" ref="U5:U16" si="14">R5^2</f>
        <v>227.90243490019662</v>
      </c>
    </row>
    <row r="6" spans="1:23" ht="15.75" customHeight="1">
      <c r="A6" s="1">
        <v>37.539200000000001</v>
      </c>
      <c r="B6" s="1">
        <v>43.142899999999997</v>
      </c>
      <c r="C6" s="1">
        <v>49.041499999999999</v>
      </c>
      <c r="D6" s="1">
        <v>8.2568799999999994E-3</v>
      </c>
      <c r="E6" s="10">
        <f t="shared" si="0"/>
        <v>2398175.8691209904</v>
      </c>
      <c r="F6" s="10">
        <f t="shared" si="1"/>
        <v>11799.789317061915</v>
      </c>
      <c r="G6" s="11">
        <f t="shared" si="2"/>
        <v>8756.9341451836608</v>
      </c>
      <c r="H6" s="10">
        <f t="shared" si="3"/>
        <v>1.080437990091963</v>
      </c>
      <c r="I6" s="10">
        <f t="shared" si="4"/>
        <v>1.8605442724547709E-5</v>
      </c>
      <c r="J6" s="10">
        <f t="shared" si="5"/>
        <v>1062.5427266922838</v>
      </c>
      <c r="K6" s="10">
        <f t="shared" si="6"/>
        <v>2.6652335610127122E-2</v>
      </c>
      <c r="L6" s="10">
        <f t="shared" si="7"/>
        <v>2.3367347615301027E-5</v>
      </c>
      <c r="M6" s="10">
        <f t="shared" si="8"/>
        <v>9.5964769937864176</v>
      </c>
      <c r="N6" s="10">
        <f>0.0163*ABS(G6-F6)*(K6/Sheet1!$E$33)*(3600/E6)</f>
        <v>1.2802474920115679E-2</v>
      </c>
      <c r="O6" s="10">
        <f t="shared" si="9"/>
        <v>3.1616264544667302E-3</v>
      </c>
      <c r="P6" s="10">
        <f>(9.81*O6*(H6^2)*(Sheet1!$E$33^3)*M6)/(I6^2)</f>
        <v>3737714.8022069475</v>
      </c>
      <c r="Q6" s="10">
        <f t="shared" si="10"/>
        <v>0.74173904054946527</v>
      </c>
      <c r="R6" s="10">
        <f t="shared" si="11"/>
        <v>14.835227172144542</v>
      </c>
      <c r="S6" s="10">
        <f t="shared" si="12"/>
        <v>-0.43859171316302664</v>
      </c>
      <c r="T6" s="10">
        <f t="shared" si="13"/>
        <v>-6.5066077005935581</v>
      </c>
      <c r="U6" s="10">
        <f t="shared" si="14"/>
        <v>220.08396524913573</v>
      </c>
    </row>
    <row r="7" spans="1:23" ht="15.75" customHeight="1">
      <c r="A7" s="1">
        <v>40.046100000000003</v>
      </c>
      <c r="B7" s="1">
        <v>50.811100000000003</v>
      </c>
      <c r="C7" s="1">
        <v>53.612900000000003</v>
      </c>
      <c r="D7" s="1">
        <v>2.1467900000000002E-2</v>
      </c>
      <c r="E7" s="10">
        <f t="shared" si="0"/>
        <v>2379376.8405540879</v>
      </c>
      <c r="F7" s="10">
        <f t="shared" si="1"/>
        <v>14743.04446160963</v>
      </c>
      <c r="G7" s="11">
        <f t="shared" si="2"/>
        <v>12872.624445049665</v>
      </c>
      <c r="H7" s="10">
        <f t="shared" si="3"/>
        <v>1.0386294601775659</v>
      </c>
      <c r="I7" s="10">
        <f t="shared" si="4"/>
        <v>1.8639577839383502E-5</v>
      </c>
      <c r="J7" s="10">
        <f t="shared" si="5"/>
        <v>1087.1136042380369</v>
      </c>
      <c r="K7" s="10">
        <f t="shared" si="6"/>
        <v>2.6926921289011113E-2</v>
      </c>
      <c r="L7" s="10">
        <f t="shared" si="7"/>
        <v>2.3986252598700746E-5</v>
      </c>
      <c r="M7" s="10">
        <f t="shared" si="8"/>
        <v>5.1674171989870246</v>
      </c>
      <c r="N7" s="10">
        <f>0.0163*ABS(G7-F7)*(K7/Sheet1!$E$33)*(3600/E7)</f>
        <v>8.0134774516417377E-3</v>
      </c>
      <c r="O7" s="10">
        <f t="shared" si="9"/>
        <v>3.0867903584720514E-3</v>
      </c>
      <c r="P7" s="10">
        <f>(9.81*O7*(H7^2)*(Sheet1!$E$33^3)*M7)/(I7^2)</f>
        <v>1809230.4702810475</v>
      </c>
      <c r="Q7" s="10">
        <f t="shared" si="10"/>
        <v>0.75253083815107813</v>
      </c>
      <c r="R7" s="10">
        <f t="shared" si="11"/>
        <v>14.124098856030198</v>
      </c>
      <c r="S7" s="10">
        <f t="shared" si="12"/>
        <v>0.98543399055693004</v>
      </c>
      <c r="T7" s="10">
        <f t="shared" si="13"/>
        <v>13.918367098718408</v>
      </c>
      <c r="U7" s="10">
        <f t="shared" si="14"/>
        <v>199.49016849491355</v>
      </c>
    </row>
    <row r="8" spans="1:23" ht="15.75" customHeight="1">
      <c r="A8" s="1">
        <v>41.3733</v>
      </c>
      <c r="B8" s="1">
        <v>57.447000000000003</v>
      </c>
      <c r="C8" s="1">
        <v>57.299500000000002</v>
      </c>
      <c r="D8" s="1">
        <v>0.110642</v>
      </c>
      <c r="E8" s="10">
        <f t="shared" si="0"/>
        <v>2363108.554167829</v>
      </c>
      <c r="F8" s="10">
        <f t="shared" si="1"/>
        <v>17558.746231065968</v>
      </c>
      <c r="G8" s="11">
        <f t="shared" si="2"/>
        <v>17680.461699815954</v>
      </c>
      <c r="H8" s="10">
        <f t="shared" si="3"/>
        <v>0.99862954765701684</v>
      </c>
      <c r="I8" s="10">
        <f t="shared" si="4"/>
        <v>1.8569583974004547E-5</v>
      </c>
      <c r="J8" s="10">
        <f t="shared" si="5"/>
        <v>1114.6842886610511</v>
      </c>
      <c r="K8" s="10">
        <f t="shared" si="6"/>
        <v>2.7072129920701196E-2</v>
      </c>
      <c r="L8" s="10">
        <f t="shared" si="7"/>
        <v>2.4360305452839814E-5</v>
      </c>
      <c r="M8" s="10">
        <f t="shared" si="8"/>
        <v>0.30760104856560588</v>
      </c>
      <c r="N8" s="10">
        <f>0.0163*ABS(G8-F8)*(K8/Sheet1!$E$33)*(3600/E8)</f>
        <v>5.2788939366699562E-4</v>
      </c>
      <c r="O8" s="10">
        <f t="shared" si="9"/>
        <v>3.0248308363354779E-3</v>
      </c>
      <c r="P8" s="10">
        <f>(9.81*O8*(H8^2)*(Sheet1!$E$33^3)*M8)/(I8^2)</f>
        <v>98300.897013833572</v>
      </c>
      <c r="Q8" s="10">
        <f t="shared" si="10"/>
        <v>0.76459530755158189</v>
      </c>
      <c r="R8" s="10">
        <f t="shared" si="11"/>
        <v>11.227379836494398</v>
      </c>
      <c r="S8" s="10">
        <f t="shared" si="12"/>
        <v>5.3451682627496231</v>
      </c>
      <c r="T8" s="10">
        <f t="shared" si="13"/>
        <v>60.012234375864907</v>
      </c>
      <c r="U8" s="10">
        <f t="shared" si="14"/>
        <v>126.05405799292097</v>
      </c>
    </row>
    <row r="9" spans="1:23" ht="15.75" customHeight="1">
      <c r="A9" s="1">
        <v>41.963099999999997</v>
      </c>
      <c r="B9" s="1">
        <v>62.460799999999999</v>
      </c>
      <c r="C9" s="1">
        <v>61.428600000000003</v>
      </c>
      <c r="D9" s="1">
        <v>0.20146800000000001</v>
      </c>
      <c r="E9" s="10">
        <f t="shared" si="0"/>
        <v>2350816.9382177056</v>
      </c>
      <c r="F9" s="10">
        <f t="shared" si="1"/>
        <v>21254.073371327282</v>
      </c>
      <c r="G9" s="11">
        <f t="shared" si="2"/>
        <v>22276.563020571954</v>
      </c>
      <c r="H9" s="10">
        <f t="shared" si="3"/>
        <v>0.96540687523373347</v>
      </c>
      <c r="I9" s="10">
        <f t="shared" si="4"/>
        <v>1.8430161203408184E-5</v>
      </c>
      <c r="J9" s="10">
        <f t="shared" si="5"/>
        <v>1142.8451807679144</v>
      </c>
      <c r="K9" s="10">
        <f t="shared" si="6"/>
        <v>2.7114270414660552E-2</v>
      </c>
      <c r="L9" s="10">
        <f t="shared" si="7"/>
        <v>2.4519688038547374E-5</v>
      </c>
      <c r="M9" s="10">
        <f t="shared" si="8"/>
        <v>2.4230053505715574</v>
      </c>
      <c r="N9" s="10">
        <f>0.0163*ABS(G9-F9)*(K9/Sheet1!$E$33)*(3600/E9)</f>
        <v>4.4647427329903653E-3</v>
      </c>
      <c r="O9" s="10">
        <f t="shared" si="9"/>
        <v>2.9796418947185253E-3</v>
      </c>
      <c r="P9" s="10">
        <f>(9.81*O9*(H9^2)*(Sheet1!$E$33^3)*M9)/(I9^2)</f>
        <v>723677.47312020999</v>
      </c>
      <c r="Q9" s="10">
        <f t="shared" si="10"/>
        <v>0.77681680495088179</v>
      </c>
      <c r="R9" s="10">
        <f t="shared" si="11"/>
        <v>13.239550364319694</v>
      </c>
      <c r="S9" s="10">
        <f t="shared" si="12"/>
        <v>3.8094189657649973</v>
      </c>
      <c r="T9" s="10">
        <f t="shared" si="13"/>
        <v>50.434994256040319</v>
      </c>
      <c r="U9" s="10">
        <f t="shared" si="14"/>
        <v>175.28569384935773</v>
      </c>
    </row>
    <row r="10" spans="1:23" ht="15.75" customHeight="1">
      <c r="A10" s="1">
        <v>42.110599999999998</v>
      </c>
      <c r="B10" s="1">
        <v>60.248800000000003</v>
      </c>
      <c r="C10" s="1">
        <v>59.2166</v>
      </c>
      <c r="D10" s="1">
        <v>0.26917400000000002</v>
      </c>
      <c r="E10" s="10">
        <f t="shared" si="0"/>
        <v>2356239.7820650218</v>
      </c>
      <c r="F10" s="10">
        <f t="shared" si="1"/>
        <v>19198.667395040764</v>
      </c>
      <c r="G10" s="11">
        <f t="shared" si="2"/>
        <v>20135.309689349066</v>
      </c>
      <c r="H10" s="10">
        <f t="shared" si="3"/>
        <v>0.98041619483987552</v>
      </c>
      <c r="I10" s="10">
        <f t="shared" si="4"/>
        <v>1.8502429908892021E-5</v>
      </c>
      <c r="J10" s="10">
        <f t="shared" si="5"/>
        <v>1129.413365300107</v>
      </c>
      <c r="K10" s="10">
        <f t="shared" si="6"/>
        <v>2.7103403710644038E-2</v>
      </c>
      <c r="L10" s="10">
        <f t="shared" si="7"/>
        <v>2.4463682894430494E-5</v>
      </c>
      <c r="M10" s="10">
        <f t="shared" si="8"/>
        <v>2.2869396506220521</v>
      </c>
      <c r="N10" s="10">
        <f>0.0163*ABS(G10-F10)*(K10/Sheet1!$E$33)*(3600/E10)</f>
        <v>4.0788386075426356E-3</v>
      </c>
      <c r="O10" s="10">
        <f t="shared" si="9"/>
        <v>2.9994109156961575E-3</v>
      </c>
      <c r="P10" s="10">
        <f>(9.81*O10*(H10^2)*(Sheet1!$E$33^3)*M10)/(I10^2)</f>
        <v>703587.62352653779</v>
      </c>
      <c r="Q10" s="10">
        <f t="shared" si="10"/>
        <v>0.77100617519210224</v>
      </c>
      <c r="R10" s="10">
        <f t="shared" si="11"/>
        <v>13.203888805355801</v>
      </c>
      <c r="S10" s="10">
        <f t="shared" si="12"/>
        <v>4.1895457177595361</v>
      </c>
      <c r="T10" s="10">
        <f t="shared" si="13"/>
        <v>55.31829580225147</v>
      </c>
      <c r="U10" s="10">
        <f t="shared" si="14"/>
        <v>174.34267958420023</v>
      </c>
    </row>
    <row r="11" spans="1:23" ht="15.75" customHeight="1">
      <c r="A11" s="1">
        <v>42.552999999999997</v>
      </c>
      <c r="B11" s="1">
        <v>60.396299999999997</v>
      </c>
      <c r="C11" s="1">
        <v>58.479300000000002</v>
      </c>
      <c r="D11" s="1">
        <v>0.259266</v>
      </c>
      <c r="E11" s="10">
        <f t="shared" si="0"/>
        <v>2355878.1774233039</v>
      </c>
      <c r="F11" s="10">
        <f t="shared" si="1"/>
        <v>18552.934091555722</v>
      </c>
      <c r="G11" s="11">
        <f t="shared" si="2"/>
        <v>20272.330700899733</v>
      </c>
      <c r="H11" s="10">
        <f t="shared" si="3"/>
        <v>0.97943316311917261</v>
      </c>
      <c r="I11" s="10">
        <f t="shared" si="4"/>
        <v>1.8498165953839356E-5</v>
      </c>
      <c r="J11" s="10">
        <f t="shared" si="5"/>
        <v>1130.2555355456136</v>
      </c>
      <c r="K11" s="10">
        <f t="shared" si="6"/>
        <v>2.7104516403014516E-2</v>
      </c>
      <c r="L11" s="10">
        <f t="shared" si="7"/>
        <v>2.4468139578566861E-5</v>
      </c>
      <c r="M11" s="10">
        <f t="shared" si="8"/>
        <v>4.222618153457514</v>
      </c>
      <c r="N11" s="10">
        <f>0.0163*ABS(G11-F11)*(K11/Sheet1!$E$33)*(3600/E11)</f>
        <v>7.4889909660682827E-3</v>
      </c>
      <c r="O11" s="10">
        <f t="shared" si="9"/>
        <v>2.9980845237977459E-3</v>
      </c>
      <c r="P11" s="10">
        <f>(9.81*O11*(H11^2)*(Sheet1!$E$33^3)*M11)/(I11^2)</f>
        <v>1296528.4531413557</v>
      </c>
      <c r="Q11" s="10">
        <f t="shared" si="10"/>
        <v>0.77137161039490176</v>
      </c>
      <c r="R11" s="10">
        <f t="shared" si="11"/>
        <v>13.815615793249306</v>
      </c>
      <c r="S11" s="10">
        <f t="shared" si="12"/>
        <v>3.544420490722084</v>
      </c>
      <c r="T11" s="10">
        <f t="shared" si="13"/>
        <v>48.968351709536478</v>
      </c>
      <c r="U11" s="10">
        <f t="shared" si="14"/>
        <v>190.87123974667963</v>
      </c>
    </row>
    <row r="12" spans="1:23" ht="15.75" customHeight="1">
      <c r="A12" s="1">
        <v>40.635899999999999</v>
      </c>
      <c r="B12" s="1">
        <v>57.004600000000003</v>
      </c>
      <c r="C12" s="1">
        <v>53.612900000000003</v>
      </c>
      <c r="D12" s="1">
        <v>0.24770600000000001</v>
      </c>
      <c r="E12" s="10">
        <f t="shared" si="0"/>
        <v>2364193.1229372923</v>
      </c>
      <c r="F12" s="10">
        <f t="shared" si="1"/>
        <v>14743.04446160963</v>
      </c>
      <c r="G12" s="11">
        <f t="shared" si="2"/>
        <v>17317.570617935929</v>
      </c>
      <c r="H12" s="10">
        <f t="shared" si="3"/>
        <v>1.0014283892009621</v>
      </c>
      <c r="I12" s="10">
        <f t="shared" si="4"/>
        <v>1.8577919970911132E-5</v>
      </c>
      <c r="J12" s="10">
        <f t="shared" si="5"/>
        <v>1112.5586808773032</v>
      </c>
      <c r="K12" s="10">
        <f t="shared" si="6"/>
        <v>2.7065477207842383E-2</v>
      </c>
      <c r="L12" s="10">
        <f t="shared" si="7"/>
        <v>2.4340833448798719E-5</v>
      </c>
      <c r="M12" s="10">
        <f t="shared" si="8"/>
        <v>6.7687461494262378</v>
      </c>
      <c r="N12" s="10">
        <f>0.0163*ABS(G12-F12)*(K12/Sheet1!$E$33)*(3600/E12)</f>
        <v>1.1158053889563892E-2</v>
      </c>
      <c r="O12" s="10">
        <f t="shared" si="9"/>
        <v>3.0288840440205896E-3</v>
      </c>
      <c r="P12" s="10">
        <f>(9.81*O12*(H12^2)*(Sheet1!$E$33^3)*M12)/(I12^2)</f>
        <v>2176208.9827395827</v>
      </c>
      <c r="Q12" s="10">
        <f t="shared" si="10"/>
        <v>0.76366753032132106</v>
      </c>
      <c r="R12" s="10">
        <f t="shared" si="11"/>
        <v>14.323472167942443</v>
      </c>
      <c r="S12" s="10">
        <f t="shared" si="12"/>
        <v>3.1000809999609911</v>
      </c>
      <c r="T12" s="10">
        <f t="shared" si="13"/>
        <v>44.403923921308433</v>
      </c>
      <c r="U12" s="10">
        <f t="shared" si="14"/>
        <v>205.16185494582177</v>
      </c>
    </row>
    <row r="13" spans="1:23" ht="15.75" customHeight="1">
      <c r="A13" s="1">
        <v>40.7834</v>
      </c>
      <c r="B13" s="1">
        <v>55.234999999999999</v>
      </c>
      <c r="C13" s="1">
        <v>49.483899999999998</v>
      </c>
      <c r="D13" s="1">
        <v>0.246055</v>
      </c>
      <c r="E13" s="10">
        <f t="shared" si="0"/>
        <v>2368531.3980151452</v>
      </c>
      <c r="F13" s="10">
        <f t="shared" si="1"/>
        <v>12060.515473415773</v>
      </c>
      <c r="G13" s="11">
        <f t="shared" si="2"/>
        <v>15929.672090263992</v>
      </c>
      <c r="H13" s="10">
        <f t="shared" si="3"/>
        <v>1.0124250042206826</v>
      </c>
      <c r="I13" s="10">
        <f t="shared" si="4"/>
        <v>1.8605602969260305E-5</v>
      </c>
      <c r="J13" s="10">
        <f t="shared" si="5"/>
        <v>1104.5258274605892</v>
      </c>
      <c r="K13" s="10">
        <f t="shared" si="6"/>
        <v>2.7034376236228376E-2</v>
      </c>
      <c r="L13" s="10">
        <f t="shared" si="7"/>
        <v>2.425477203310359E-5</v>
      </c>
      <c r="M13" s="10">
        <f t="shared" si="8"/>
        <v>10.771422472698575</v>
      </c>
      <c r="N13" s="10">
        <f>0.0163*ABS(G13-F13)*(K13/Sheet1!$E$33)*(3600/E13)</f>
        <v>1.6719062600263644E-2</v>
      </c>
      <c r="O13" s="10">
        <f t="shared" si="9"/>
        <v>3.0452060843217566E-3</v>
      </c>
      <c r="P13" s="10">
        <f>(9.81*O13*(H13^2)*(Sheet1!$E$33^3)*M13)/(I13^2)</f>
        <v>3548069.1664901809</v>
      </c>
      <c r="Q13" s="10">
        <f t="shared" si="10"/>
        <v>0.76015695111493575</v>
      </c>
      <c r="R13" s="10">
        <f t="shared" si="11"/>
        <v>14.807683764324716</v>
      </c>
      <c r="S13" s="10">
        <f t="shared" si="12"/>
        <v>2.6890055466711247</v>
      </c>
      <c r="T13" s="10">
        <f t="shared" si="13"/>
        <v>39.817943775621124</v>
      </c>
      <c r="U13" s="10">
        <f t="shared" si="14"/>
        <v>219.26749846424579</v>
      </c>
    </row>
    <row r="14" spans="1:23" ht="15.75" customHeight="1">
      <c r="A14" s="1">
        <v>38.571399999999997</v>
      </c>
      <c r="B14" s="1">
        <v>51.4009</v>
      </c>
      <c r="C14" s="1">
        <v>45.797199999999997</v>
      </c>
      <c r="D14" s="1">
        <v>0.20807300000000001</v>
      </c>
      <c r="E14" s="10">
        <f t="shared" si="0"/>
        <v>2377930.9122985965</v>
      </c>
      <c r="F14" s="10">
        <f t="shared" si="1"/>
        <v>10030.994613551606</v>
      </c>
      <c r="G14" s="11">
        <f t="shared" si="2"/>
        <v>13248.356046457324</v>
      </c>
      <c r="H14" s="10">
        <f t="shared" si="3"/>
        <v>1.0352347236983954</v>
      </c>
      <c r="I14" s="10">
        <f t="shared" si="4"/>
        <v>1.8637669982905226E-5</v>
      </c>
      <c r="J14" s="10">
        <f t="shared" si="5"/>
        <v>1089.2538156993985</v>
      </c>
      <c r="K14" s="10">
        <f t="shared" si="6"/>
        <v>2.6943578649775479E-2</v>
      </c>
      <c r="L14" s="10">
        <f t="shared" si="7"/>
        <v>2.402618910658695E-5</v>
      </c>
      <c r="M14" s="10">
        <f t="shared" si="8"/>
        <v>9.6862669192628807</v>
      </c>
      <c r="N14" s="10">
        <f>0.0163*ABS(G14-F14)*(K14/Sheet1!$E$33)*(3600/E14)</f>
        <v>1.3801119115115047E-2</v>
      </c>
      <c r="O14" s="10">
        <f t="shared" si="9"/>
        <v>3.0811807947536121E-3</v>
      </c>
      <c r="P14" s="10">
        <f>(9.81*O14*(H14^2)*(Sheet1!$E$33^3)*M14)/(I14^2)</f>
        <v>3363815.310842955</v>
      </c>
      <c r="Q14" s="10">
        <f t="shared" si="10"/>
        <v>0.75346906988522222</v>
      </c>
      <c r="R14" s="10">
        <f t="shared" si="11"/>
        <v>14.745519086564869</v>
      </c>
      <c r="S14" s="10">
        <f t="shared" si="12"/>
        <v>2.71313929549388</v>
      </c>
      <c r="T14" s="10">
        <f t="shared" si="13"/>
        <v>40.006647266214166</v>
      </c>
      <c r="U14" s="10">
        <f t="shared" si="14"/>
        <v>217.43033313224885</v>
      </c>
    </row>
    <row r="15" spans="1:23" ht="15.75" customHeight="1">
      <c r="A15" s="1">
        <v>35.622100000000003</v>
      </c>
      <c r="B15" s="1">
        <v>47.419400000000003</v>
      </c>
      <c r="C15" s="1">
        <v>41.668199999999999</v>
      </c>
      <c r="D15" s="1">
        <v>0.16844000000000001</v>
      </c>
      <c r="E15" s="10">
        <f t="shared" si="0"/>
        <v>2387691.7860680758</v>
      </c>
      <c r="F15" s="10">
        <f t="shared" si="1"/>
        <v>8110.2608828439425</v>
      </c>
      <c r="G15" s="11">
        <f t="shared" si="2"/>
        <v>10884.725429302778</v>
      </c>
      <c r="H15" s="10">
        <f t="shared" si="3"/>
        <v>1.0576215614782196</v>
      </c>
      <c r="I15" s="10">
        <f t="shared" si="4"/>
        <v>1.863700766314281E-5</v>
      </c>
      <c r="J15" s="10">
        <f t="shared" si="5"/>
        <v>1075.6143195657487</v>
      </c>
      <c r="K15" s="10">
        <f t="shared" si="6"/>
        <v>2.6818211167178981E-2</v>
      </c>
      <c r="L15" s="10">
        <f t="shared" si="7"/>
        <v>2.3734117762712881E-5</v>
      </c>
      <c r="M15" s="10">
        <f t="shared" si="8"/>
        <v>9.1967024679324787</v>
      </c>
      <c r="N15" s="10">
        <f>0.0163*ABS(G15-F15)*(K15/Sheet1!$E$33)*(3600/E15)</f>
        <v>1.1797476671723997E-2</v>
      </c>
      <c r="O15" s="10">
        <f t="shared" si="9"/>
        <v>3.1194493298487007E-3</v>
      </c>
      <c r="P15" s="10">
        <f>(9.81*O15*(H15^2)*(Sheet1!$E$33^3)*M15)/(I15^2)</f>
        <v>3375066.9993644846</v>
      </c>
      <c r="Q15" s="10">
        <f t="shared" si="10"/>
        <v>0.74748581071903275</v>
      </c>
      <c r="R15" s="10">
        <f t="shared" si="11"/>
        <v>14.74088577754214</v>
      </c>
      <c r="S15" s="10">
        <f t="shared" si="12"/>
        <v>2.658693936068758</v>
      </c>
      <c r="T15" s="10">
        <f t="shared" si="13"/>
        <v>39.191503629033484</v>
      </c>
      <c r="U15" s="10">
        <f t="shared" si="14"/>
        <v>217.29371350654412</v>
      </c>
    </row>
    <row r="16" spans="1:23" ht="15.75" customHeight="1">
      <c r="A16" s="1">
        <v>34.442399999999999</v>
      </c>
      <c r="B16" s="1">
        <v>44.1751</v>
      </c>
      <c r="C16" s="1">
        <v>38.423999999999999</v>
      </c>
      <c r="D16" s="1">
        <v>0.12055</v>
      </c>
      <c r="E16" s="10">
        <f t="shared" si="0"/>
        <v>2395645.3720960356</v>
      </c>
      <c r="F16" s="10">
        <f t="shared" si="1"/>
        <v>6827.3844929705219</v>
      </c>
      <c r="G16" s="11">
        <f t="shared" si="2"/>
        <v>9235.0154330759506</v>
      </c>
      <c r="H16" s="10">
        <f t="shared" si="3"/>
        <v>1.0750334991677577</v>
      </c>
      <c r="I16" s="10">
        <f t="shared" si="4"/>
        <v>1.8615622130049212E-5</v>
      </c>
      <c r="J16" s="10">
        <f t="shared" si="5"/>
        <v>1065.5876670501891</v>
      </c>
      <c r="K16" s="10">
        <f t="shared" si="6"/>
        <v>2.6695103003159665E-2</v>
      </c>
      <c r="L16" s="10">
        <f t="shared" si="7"/>
        <v>2.3460393409252463E-5</v>
      </c>
      <c r="M16" s="10">
        <f t="shared" si="8"/>
        <v>8.6919685405336917</v>
      </c>
      <c r="N16" s="10">
        <f>0.0163*ABS(G16-F16)*(K16/Sheet1!$E$33)*(3600/E16)</f>
        <v>1.0156811533479953E-2</v>
      </c>
      <c r="O16" s="10">
        <f t="shared" si="9"/>
        <v>3.1513422669684817E-3</v>
      </c>
      <c r="P16" s="10">
        <f>(9.81*O16*(H16^2)*(Sheet1!$E$33^3)*M16)/(I16^2)</f>
        <v>3337080.6866096975</v>
      </c>
      <c r="Q16" s="10">
        <f t="shared" si="10"/>
        <v>0.74307925891498272</v>
      </c>
      <c r="R16" s="10">
        <f t="shared" si="11"/>
        <v>14.723654371052097</v>
      </c>
      <c r="S16" s="10">
        <f t="shared" si="12"/>
        <v>2.4739200371752408</v>
      </c>
      <c r="T16" s="10">
        <f t="shared" si="13"/>
        <v>36.425143568988602</v>
      </c>
      <c r="U16" s="10">
        <f t="shared" si="14"/>
        <v>216.78599803820154</v>
      </c>
    </row>
    <row r="17" spans="17:21" ht="15.75" customHeight="1">
      <c r="Q17" s="1" t="s">
        <v>75</v>
      </c>
      <c r="R17" s="10">
        <f t="shared" ref="R17:U17" si="15">SUM(R5:R16)</f>
        <v>168.88341381657918</v>
      </c>
      <c r="S17" s="10">
        <f t="shared" si="15"/>
        <v>31.154476739147363</v>
      </c>
      <c r="T17" s="10">
        <f t="shared" si="15"/>
        <v>423.26253988251096</v>
      </c>
      <c r="U17" s="10">
        <f t="shared" si="15"/>
        <v>2389.9696379044663</v>
      </c>
    </row>
    <row r="18" spans="17:21" ht="15.75" customHeight="1">
      <c r="R18" s="1" t="s">
        <v>76</v>
      </c>
      <c r="S18" s="1" t="s">
        <v>77</v>
      </c>
      <c r="T18" s="1" t="s">
        <v>78</v>
      </c>
      <c r="U18" s="1" t="s">
        <v>79</v>
      </c>
    </row>
    <row r="19" spans="17:21" ht="15.75" customHeight="1">
      <c r="S19" s="1" t="s">
        <v>80</v>
      </c>
      <c r="T19" s="10">
        <f>((12*T17)-(R17*S17))/((12*U17)-(R17^2))</f>
        <v>-1.153742923262381</v>
      </c>
    </row>
    <row r="20" spans="17:21" ht="15.75" customHeight="1">
      <c r="S20" s="1" t="s">
        <v>81</v>
      </c>
      <c r="T20" s="10">
        <f>EXP((S17/12)-(T19*(R17/12)))</f>
        <v>151113740.14141768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0"/>
  <sheetViews>
    <sheetView tabSelected="1" topLeftCell="Q1" workbookViewId="0">
      <selection activeCell="T15" sqref="T15"/>
    </sheetView>
  </sheetViews>
  <sheetFormatPr defaultColWidth="14.42578125" defaultRowHeight="15.75" customHeight="1"/>
  <sheetData>
    <row r="1" spans="1:24" ht="15.75" customHeight="1">
      <c r="A1" s="18" t="s">
        <v>105</v>
      </c>
      <c r="B1" s="19"/>
      <c r="C1" s="19"/>
      <c r="D1" s="19"/>
      <c r="E1" s="19"/>
      <c r="F1" s="19"/>
    </row>
    <row r="2" spans="1:24" ht="15.75" customHeight="1">
      <c r="A2" s="19"/>
      <c r="B2" s="19"/>
      <c r="C2" s="19"/>
      <c r="D2" s="19"/>
      <c r="E2" s="19"/>
      <c r="F2" s="19"/>
      <c r="G2" s="1" t="s">
        <v>47</v>
      </c>
      <c r="H2" s="1" t="s">
        <v>47</v>
      </c>
      <c r="I2" s="1" t="s">
        <v>48</v>
      </c>
      <c r="J2" s="1" t="s">
        <v>49</v>
      </c>
      <c r="K2" s="1" t="s">
        <v>50</v>
      </c>
      <c r="L2" s="1" t="s">
        <v>51</v>
      </c>
      <c r="Q2" s="10" t="e">
        <f>#REF!/10000000</f>
        <v>#REF!</v>
      </c>
    </row>
    <row r="3" spans="1:24" ht="15.75" customHeight="1">
      <c r="F3" s="8" t="s">
        <v>52</v>
      </c>
      <c r="G3" s="8" t="s">
        <v>53</v>
      </c>
      <c r="H3" s="8" t="s">
        <v>54</v>
      </c>
      <c r="I3" s="1" t="s">
        <v>55</v>
      </c>
      <c r="J3" s="1" t="s">
        <v>56</v>
      </c>
      <c r="K3" s="1" t="s">
        <v>57</v>
      </c>
      <c r="L3" s="8" t="s">
        <v>58</v>
      </c>
      <c r="M3" s="8" t="s">
        <v>59</v>
      </c>
      <c r="P3" s="8" t="s">
        <v>60</v>
      </c>
    </row>
    <row r="4" spans="1:24" ht="15.75" customHeight="1">
      <c r="A4" s="1" t="s">
        <v>26</v>
      </c>
      <c r="B4" s="1" t="s">
        <v>10</v>
      </c>
      <c r="C4" s="1" t="s">
        <v>12</v>
      </c>
      <c r="D4" s="1" t="s">
        <v>82</v>
      </c>
      <c r="E4" s="1" t="s">
        <v>4</v>
      </c>
      <c r="F4" s="1" t="s">
        <v>24</v>
      </c>
      <c r="G4" s="1" t="s">
        <v>8</v>
      </c>
      <c r="H4" s="1" t="s">
        <v>6</v>
      </c>
      <c r="I4" s="1" t="s">
        <v>61</v>
      </c>
      <c r="J4" s="1" t="s">
        <v>62</v>
      </c>
      <c r="K4" s="1" t="s">
        <v>63</v>
      </c>
      <c r="L4" s="1" t="s">
        <v>22</v>
      </c>
      <c r="M4" s="1" t="s">
        <v>64</v>
      </c>
      <c r="N4" s="1" t="s">
        <v>65</v>
      </c>
      <c r="O4" s="1" t="s">
        <v>66</v>
      </c>
      <c r="P4" s="1" t="s">
        <v>67</v>
      </c>
      <c r="Q4" s="1" t="s">
        <v>68</v>
      </c>
      <c r="R4" s="1" t="s">
        <v>69</v>
      </c>
      <c r="S4" s="1" t="s">
        <v>70</v>
      </c>
      <c r="T4" s="1" t="s">
        <v>71</v>
      </c>
      <c r="U4" s="1" t="s">
        <v>72</v>
      </c>
      <c r="V4" s="1" t="s">
        <v>73</v>
      </c>
      <c r="W4" s="1" t="s">
        <v>74</v>
      </c>
      <c r="X4" s="1">
        <v>12</v>
      </c>
    </row>
    <row r="5" spans="1:24" ht="15.75" customHeight="1">
      <c r="A5" s="9">
        <v>43</v>
      </c>
      <c r="B5" s="9">
        <v>46.6</v>
      </c>
      <c r="C5" s="9">
        <v>37.5</v>
      </c>
      <c r="D5" s="1">
        <f t="shared" ref="D5:D11" si="0">(B5+C5)/2</f>
        <v>42.05</v>
      </c>
      <c r="E5" s="9">
        <v>0.31</v>
      </c>
      <c r="F5" s="10">
        <f t="shared" ref="F5:F11" si="1">(2.4935*10^6)*(1-(9.4779*10^-4*B5)+(1.3132*10^-7*B5^2)-(4.7974*10^-9*B5^3))</f>
        <v>2382870.0971166641</v>
      </c>
      <c r="G5" s="10">
        <f t="shared" ref="G5:G11" si="2">EXP(25.317-(5144/(C5+273)))</f>
        <v>6311.7755506076619</v>
      </c>
      <c r="H5" s="11">
        <f t="shared" ref="H5:H11" si="3">EXP(25.317-(5144/(B5+273)))</f>
        <v>10116.075805408782</v>
      </c>
      <c r="I5" s="10">
        <f t="shared" ref="I5:I11" si="4">353.44/(D5+273.15)</f>
        <v>1.1213197969543147</v>
      </c>
      <c r="J5" s="10">
        <f t="shared" ref="J5:J11" si="5">(1.718*10^-5)+(4.62*10^-8)*D5</f>
        <v>1.912271E-5</v>
      </c>
      <c r="K5" s="10">
        <f t="shared" ref="K5:K11" si="6">999.2+(0.1434*D5)+(1.101*10^-4*D5^2)-(6.7581*10^-8*D5^3)</f>
        <v>1005.419624250893</v>
      </c>
      <c r="L5" s="10">
        <f t="shared" ref="L5:L11" si="7">0.0244+(0.7673*10^-4*D5)</f>
        <v>2.76264965E-2</v>
      </c>
      <c r="M5" s="10">
        <f t="shared" ref="M5:M11" si="8">(7.7255*10^-10)*(D5+2730)^1.83</f>
        <v>1.542597189168615E-3</v>
      </c>
      <c r="N5" s="10">
        <f t="shared" ref="N5:N11" si="9">(B5-C5)+(((H5-G5)*(B5+273))/((2.689*10^5)-H5))</f>
        <v>13.798338064153409</v>
      </c>
      <c r="O5" s="10">
        <f>0.0163*(H5-G5)*(L5/Sheet1!$E$33)*(3600/F5)</f>
        <v>1.669777630680315E-2</v>
      </c>
      <c r="P5" s="10">
        <f t="shared" ref="P5:P11" si="10">1/(D5+273.15)</f>
        <v>3.1725888324873096E-3</v>
      </c>
      <c r="Q5" s="10">
        <f>(9.81*P5*(I5^2)*(Sheet1!$E$33^3)*N5)/(J5^2)</f>
        <v>5498760.1390391812</v>
      </c>
      <c r="R5" s="10">
        <f t="shared" ref="R5:R11" si="11">(J5*K5)/L5</f>
        <v>0.69593869432046129</v>
      </c>
      <c r="S5" s="10">
        <f t="shared" ref="S5:S11" si="12">LN(Q5*R5)</f>
        <v>15.157539490123957</v>
      </c>
      <c r="T5" s="10">
        <f t="shared" ref="T5:T11" si="13">LN(E5/O5)</f>
        <v>2.9212967422036824</v>
      </c>
      <c r="U5" s="10">
        <f t="shared" ref="U5:U11" si="14">S5*T5</f>
        <v>44.279670732322785</v>
      </c>
      <c r="V5" s="10">
        <f t="shared" ref="V5:V11" si="15">S5^2</f>
        <v>229.75100339466724</v>
      </c>
      <c r="W5" s="1">
        <v>1</v>
      </c>
    </row>
    <row r="6" spans="1:24" ht="15.75" customHeight="1">
      <c r="A6" s="9">
        <v>44</v>
      </c>
      <c r="B6" s="9">
        <v>53.9</v>
      </c>
      <c r="C6" s="9">
        <v>42.3</v>
      </c>
      <c r="D6" s="1">
        <f t="shared" si="0"/>
        <v>48.099999999999994</v>
      </c>
      <c r="E6" s="9">
        <v>0.53</v>
      </c>
      <c r="F6" s="10">
        <f t="shared" si="1"/>
        <v>2365195.4673398393</v>
      </c>
      <c r="G6" s="10">
        <f t="shared" si="2"/>
        <v>8122.3841461956754</v>
      </c>
      <c r="H6" s="11">
        <f t="shared" si="3"/>
        <v>14491.260310505017</v>
      </c>
      <c r="I6" s="10">
        <f t="shared" si="4"/>
        <v>1.1002023346303502</v>
      </c>
      <c r="J6" s="10">
        <f t="shared" si="5"/>
        <v>1.940222E-5</v>
      </c>
      <c r="K6" s="10">
        <f t="shared" si="6"/>
        <v>1006.3447477336767</v>
      </c>
      <c r="L6" s="10">
        <f t="shared" si="7"/>
        <v>2.8090713000000003E-2</v>
      </c>
      <c r="M6" s="10">
        <f t="shared" si="8"/>
        <v>1.5487638643146278E-3</v>
      </c>
      <c r="N6" s="10">
        <f t="shared" si="9"/>
        <v>19.783624590309991</v>
      </c>
      <c r="O6" s="10">
        <f>0.0163*(H6-G6)*(L6/Sheet1!$E$33)*(3600/F6)</f>
        <v>2.8636302152675097E-2</v>
      </c>
      <c r="P6" s="10">
        <f t="shared" si="10"/>
        <v>3.1128404669260703E-3</v>
      </c>
      <c r="Q6" s="10">
        <f>(9.81*P6*(I6^2)*(Sheet1!$E$33^3)*N6)/(J6^2)</f>
        <v>7233843.4010346318</v>
      </c>
      <c r="R6" s="10">
        <f t="shared" si="11"/>
        <v>0.69508104658551373</v>
      </c>
      <c r="S6" s="10">
        <f t="shared" si="12"/>
        <v>15.430554217204394</v>
      </c>
      <c r="T6" s="10">
        <f t="shared" si="13"/>
        <v>2.9182017875706512</v>
      </c>
      <c r="U6" s="10">
        <f t="shared" si="14"/>
        <v>45.029470899851709</v>
      </c>
      <c r="V6" s="10">
        <f t="shared" si="15"/>
        <v>238.10200345008431</v>
      </c>
      <c r="W6" s="1">
        <v>2</v>
      </c>
    </row>
    <row r="7" spans="1:24" ht="15.75" customHeight="1">
      <c r="A7" s="9">
        <v>45</v>
      </c>
      <c r="B7" s="9">
        <v>59.1</v>
      </c>
      <c r="C7" s="9">
        <v>46.2</v>
      </c>
      <c r="D7" s="1">
        <f t="shared" si="0"/>
        <v>52.650000000000006</v>
      </c>
      <c r="E7" s="9">
        <v>0.81</v>
      </c>
      <c r="F7" s="10">
        <f t="shared" si="1"/>
        <v>2352502.5070433333</v>
      </c>
      <c r="G7" s="10">
        <f t="shared" si="2"/>
        <v>9914.0852693730703</v>
      </c>
      <c r="H7" s="11">
        <f t="shared" si="3"/>
        <v>18540.068824688653</v>
      </c>
      <c r="I7" s="10">
        <f t="shared" si="4"/>
        <v>1.0848373235113569</v>
      </c>
      <c r="J7" s="10">
        <f t="shared" si="5"/>
        <v>1.9612430000000001E-5</v>
      </c>
      <c r="K7" s="10">
        <f t="shared" si="6"/>
        <v>1007.0453464340821</v>
      </c>
      <c r="L7" s="10">
        <f t="shared" si="7"/>
        <v>2.8439834500000004E-2</v>
      </c>
      <c r="M7" s="10">
        <f t="shared" si="8"/>
        <v>1.5534089622780902E-3</v>
      </c>
      <c r="N7" s="10">
        <f t="shared" si="9"/>
        <v>24.342282817669982</v>
      </c>
      <c r="O7" s="10">
        <f>0.0163*(H7-G7)*(L7/Sheet1!$E$33)*(3600/F7)</f>
        <v>3.947880539608796E-2</v>
      </c>
      <c r="P7" s="10">
        <f t="shared" si="10"/>
        <v>3.0693677102516886E-3</v>
      </c>
      <c r="Q7" s="10">
        <f>(9.81*P7*(I7^2)*(Sheet1!$E$33^3)*N7)/(J7^2)</f>
        <v>8351043.5765619688</v>
      </c>
      <c r="R7" s="10">
        <f t="shared" si="11"/>
        <v>0.69446980655826895</v>
      </c>
      <c r="S7" s="10">
        <f t="shared" si="12"/>
        <v>15.57329047543587</v>
      </c>
      <c r="T7" s="10">
        <f t="shared" si="13"/>
        <v>3.021270292016752</v>
      </c>
      <c r="U7" s="10">
        <f t="shared" si="14"/>
        <v>47.051119862381832</v>
      </c>
      <c r="V7" s="10">
        <f t="shared" si="15"/>
        <v>242.52737623230161</v>
      </c>
      <c r="W7" s="1">
        <v>3</v>
      </c>
    </row>
    <row r="8" spans="1:24" ht="15.75" customHeight="1">
      <c r="A8" s="9">
        <v>46</v>
      </c>
      <c r="B8" s="9">
        <v>59.7</v>
      </c>
      <c r="C8" s="9">
        <v>46.3</v>
      </c>
      <c r="D8" s="1">
        <f t="shared" si="0"/>
        <v>53</v>
      </c>
      <c r="E8" s="9">
        <v>0.97</v>
      </c>
      <c r="F8" s="10">
        <f t="shared" si="1"/>
        <v>2351031.8849103623</v>
      </c>
      <c r="G8" s="10">
        <f t="shared" si="2"/>
        <v>9964.2488151149792</v>
      </c>
      <c r="H8" s="11">
        <f t="shared" si="3"/>
        <v>19065.265236770338</v>
      </c>
      <c r="I8" s="10">
        <f t="shared" si="4"/>
        <v>1.0836731565230722</v>
      </c>
      <c r="J8" s="10">
        <f t="shared" si="5"/>
        <v>1.96286E-5</v>
      </c>
      <c r="K8" s="10">
        <f t="shared" si="6"/>
        <v>1007.099409643463</v>
      </c>
      <c r="L8" s="10">
        <f t="shared" si="7"/>
        <v>2.8466690000000003E-2</v>
      </c>
      <c r="M8" s="10">
        <f t="shared" si="8"/>
        <v>1.5537665388239228E-3</v>
      </c>
      <c r="N8" s="10">
        <f t="shared" si="9"/>
        <v>25.519644477595605</v>
      </c>
      <c r="O8" s="10">
        <f>0.0163*(H8-G8)*(L8/Sheet1!$E$33)*(3600/F8)</f>
        <v>4.1718314890316133E-2</v>
      </c>
      <c r="P8" s="10">
        <f t="shared" si="10"/>
        <v>3.0660738923808067E-3</v>
      </c>
      <c r="Q8" s="10">
        <f>(9.81*P8*(I8^2)*(Sheet1!$E$33^3)*N8)/(J8^2)</f>
        <v>8712430.3740075547</v>
      </c>
      <c r="R8" s="10">
        <f t="shared" si="11"/>
        <v>0.69442395558203918</v>
      </c>
      <c r="S8" s="10">
        <f t="shared" si="12"/>
        <v>15.615588724528372</v>
      </c>
      <c r="T8" s="10">
        <f t="shared" si="13"/>
        <v>3.1463558331126125</v>
      </c>
      <c r="U8" s="10">
        <f t="shared" si="14"/>
        <v>49.132198670907385</v>
      </c>
      <c r="V8" s="10">
        <f t="shared" si="15"/>
        <v>243.84661121361762</v>
      </c>
      <c r="W8" s="1">
        <v>4</v>
      </c>
    </row>
    <row r="9" spans="1:24" ht="15.75" customHeight="1">
      <c r="A9" s="9">
        <v>46</v>
      </c>
      <c r="B9" s="9">
        <v>58.6</v>
      </c>
      <c r="C9" s="9">
        <v>44.4</v>
      </c>
      <c r="D9" s="1">
        <f t="shared" si="0"/>
        <v>51.5</v>
      </c>
      <c r="E9" s="9">
        <v>0.94</v>
      </c>
      <c r="F9" s="10">
        <f t="shared" si="1"/>
        <v>2353727.0384197463</v>
      </c>
      <c r="G9" s="10">
        <f t="shared" si="2"/>
        <v>9048.1964626500503</v>
      </c>
      <c r="H9" s="11">
        <f t="shared" si="3"/>
        <v>18112.075282904876</v>
      </c>
      <c r="I9" s="10">
        <f t="shared" si="4"/>
        <v>1.0886801170491298</v>
      </c>
      <c r="J9" s="10">
        <f t="shared" si="5"/>
        <v>1.9559300000000001E-5</v>
      </c>
      <c r="K9" s="10">
        <f t="shared" si="6"/>
        <v>1006.8678817770766</v>
      </c>
      <c r="L9" s="10">
        <f t="shared" si="7"/>
        <v>2.8351595E-2</v>
      </c>
      <c r="M9" s="10">
        <f t="shared" si="8"/>
        <v>1.5522343307366091E-3</v>
      </c>
      <c r="N9" s="10">
        <f t="shared" si="9"/>
        <v>26.184557151972093</v>
      </c>
      <c r="O9" s="10">
        <f>0.0163*(H9-G9)*(L9/Sheet1!$E$33)*(3600/F9)</f>
        <v>4.1332711589625405E-2</v>
      </c>
      <c r="P9" s="10">
        <f t="shared" si="10"/>
        <v>3.0802402587401818E-3</v>
      </c>
      <c r="Q9" s="10">
        <f>(9.81*P9*(I9^2)*(Sheet1!$E$33^3)*N9)/(J9^2)</f>
        <v>9128257.7536416147</v>
      </c>
      <c r="R9" s="10">
        <f t="shared" si="11"/>
        <v>0.69462162393482185</v>
      </c>
      <c r="S9" s="10">
        <f t="shared" si="12"/>
        <v>15.662497400152123</v>
      </c>
      <c r="T9" s="10">
        <f t="shared" si="13"/>
        <v>3.1242256406267392</v>
      </c>
      <c r="U9" s="10">
        <f t="shared" si="14"/>
        <v>48.933175973804907</v>
      </c>
      <c r="V9" s="10">
        <f t="shared" si="15"/>
        <v>245.31382480977203</v>
      </c>
      <c r="W9" s="1">
        <v>5</v>
      </c>
    </row>
    <row r="10" spans="1:24" ht="15.75" customHeight="1">
      <c r="A10" s="9">
        <v>45</v>
      </c>
      <c r="B10" s="9">
        <v>56.5</v>
      </c>
      <c r="C10" s="9">
        <v>43.5</v>
      </c>
      <c r="D10" s="1">
        <f t="shared" si="0"/>
        <v>50</v>
      </c>
      <c r="E10" s="9">
        <v>0.71</v>
      </c>
      <c r="F10" s="10">
        <f t="shared" si="1"/>
        <v>2358860.4803157374</v>
      </c>
      <c r="G10" s="10">
        <f t="shared" si="2"/>
        <v>8640.6698441048029</v>
      </c>
      <c r="H10" s="11">
        <f t="shared" si="3"/>
        <v>16407.066002137475</v>
      </c>
      <c r="I10" s="10">
        <f t="shared" si="4"/>
        <v>1.0937335602661304</v>
      </c>
      <c r="J10" s="10">
        <f t="shared" si="5"/>
        <v>1.9490000000000001E-5</v>
      </c>
      <c r="K10" s="10">
        <f t="shared" si="6"/>
        <v>1006.636802375</v>
      </c>
      <c r="L10" s="10">
        <f t="shared" si="7"/>
        <v>2.8236500000000001E-2</v>
      </c>
      <c r="M10" s="10">
        <f t="shared" si="8"/>
        <v>1.5507028083125195E-3</v>
      </c>
      <c r="N10" s="10">
        <f t="shared" si="9"/>
        <v>23.135046131997612</v>
      </c>
      <c r="O10" s="10">
        <f>0.0163*(H10-G10)*(L10/Sheet1!$E$33)*(3600/F10)</f>
        <v>3.5195452727328227E-2</v>
      </c>
      <c r="P10" s="10">
        <f t="shared" si="10"/>
        <v>3.0945381401825778E-3</v>
      </c>
      <c r="Q10" s="10">
        <f>(9.81*P10*(I10^2)*(Sheet1!$E$33^3)*N10)/(J10^2)</f>
        <v>8236253.5883440515</v>
      </c>
      <c r="R10" s="10">
        <f t="shared" si="11"/>
        <v>0.69482234973487322</v>
      </c>
      <c r="S10" s="10">
        <f t="shared" si="12"/>
        <v>15.559957058903093</v>
      </c>
      <c r="T10" s="10">
        <f t="shared" si="13"/>
        <v>3.0043480796589868</v>
      </c>
      <c r="U10" s="10">
        <f t="shared" si="14"/>
        <v>46.747527109491806</v>
      </c>
      <c r="V10" s="10">
        <f t="shared" si="15"/>
        <v>242.11226367490818</v>
      </c>
      <c r="W10" s="1">
        <v>6</v>
      </c>
    </row>
    <row r="11" spans="1:24" ht="15.75" customHeight="1">
      <c r="A11" s="9">
        <v>44</v>
      </c>
      <c r="B11" s="9">
        <v>53.1</v>
      </c>
      <c r="C11" s="9">
        <v>38.9</v>
      </c>
      <c r="D11" s="1">
        <f t="shared" si="0"/>
        <v>46</v>
      </c>
      <c r="E11" s="9">
        <v>0.65</v>
      </c>
      <c r="F11" s="10">
        <f t="shared" si="1"/>
        <v>2367140.2648891774</v>
      </c>
      <c r="G11" s="10">
        <f t="shared" si="2"/>
        <v>6799.0247800109619</v>
      </c>
      <c r="H11" s="11">
        <f t="shared" si="3"/>
        <v>13942.508790712889</v>
      </c>
      <c r="I11" s="10">
        <f t="shared" si="4"/>
        <v>1.1074416418611939</v>
      </c>
      <c r="J11" s="10">
        <f t="shared" si="5"/>
        <v>1.9305200000000003E-5</v>
      </c>
      <c r="K11" s="10">
        <f t="shared" si="6"/>
        <v>1006.0227935357841</v>
      </c>
      <c r="L11" s="10">
        <f t="shared" si="7"/>
        <v>2.7929580000000002E-2</v>
      </c>
      <c r="M11" s="10">
        <f t="shared" si="8"/>
        <v>1.5466221011246084E-3</v>
      </c>
      <c r="N11" s="10">
        <f t="shared" si="9"/>
        <v>23.336778546262401</v>
      </c>
      <c r="O11" s="10">
        <f>0.0163*(H11-G11)*(L11/Sheet1!$E$33)*(3600/F11)</f>
        <v>3.1908684219913969E-2</v>
      </c>
      <c r="P11" s="10">
        <f t="shared" si="10"/>
        <v>3.1333228889237038E-3</v>
      </c>
      <c r="Q11" s="10">
        <f>(9.81*P11*(I11^2)*(Sheet1!$E$33^3)*N11)/(J11^2)</f>
        <v>8790290.8923874423</v>
      </c>
      <c r="R11" s="10">
        <f t="shared" si="11"/>
        <v>0.69537283531535454</v>
      </c>
      <c r="S11" s="10">
        <f t="shared" si="12"/>
        <v>15.625851239107186</v>
      </c>
      <c r="T11" s="10">
        <f t="shared" si="13"/>
        <v>3.01409415754827</v>
      </c>
      <c r="U11" s="10">
        <f t="shared" si="14"/>
        <v>47.097786926511368</v>
      </c>
      <c r="V11" s="10">
        <f t="shared" si="15"/>
        <v>244.16722694670759</v>
      </c>
      <c r="W11" s="1">
        <v>7</v>
      </c>
    </row>
    <row r="12" spans="1:24" ht="15.75" customHeight="1">
      <c r="P12" s="1" t="s">
        <v>83</v>
      </c>
      <c r="Q12" s="10">
        <f t="shared" ref="Q12:R12" si="16">MAX(Q5:Q11)</f>
        <v>9128257.7536416147</v>
      </c>
      <c r="R12" s="10">
        <f t="shared" si="16"/>
        <v>0.69593869432046129</v>
      </c>
      <c r="S12" s="10">
        <f t="shared" ref="S12:V12" si="17">SUM(S5:S11)</f>
        <v>108.62527860545501</v>
      </c>
      <c r="T12" s="10">
        <f t="shared" si="17"/>
        <v>21.149792532737695</v>
      </c>
      <c r="U12" s="10">
        <f t="shared" si="17"/>
        <v>328.27095017527176</v>
      </c>
      <c r="V12" s="10">
        <f t="shared" si="17"/>
        <v>1685.8203097220587</v>
      </c>
    </row>
    <row r="13" spans="1:24" ht="15.75" customHeight="1">
      <c r="B13" s="1" t="s">
        <v>84</v>
      </c>
      <c r="C13" s="1" t="s">
        <v>85</v>
      </c>
      <c r="D13" s="1"/>
      <c r="E13" s="1" t="s">
        <v>42</v>
      </c>
      <c r="P13" s="1" t="s">
        <v>86</v>
      </c>
      <c r="Q13" s="10">
        <f t="shared" ref="Q13:R13" si="18">MIN(Q5:Q11)</f>
        <v>5498760.1390391812</v>
      </c>
      <c r="R13" s="10">
        <f t="shared" si="18"/>
        <v>0.69442395558203918</v>
      </c>
      <c r="S13" s="1" t="s">
        <v>76</v>
      </c>
      <c r="T13" s="1" t="s">
        <v>77</v>
      </c>
      <c r="U13" s="1" t="s">
        <v>78</v>
      </c>
      <c r="V13" s="1" t="s">
        <v>79</v>
      </c>
    </row>
    <row r="14" spans="1:24" ht="15.75" customHeight="1">
      <c r="B14" s="1">
        <v>130</v>
      </c>
      <c r="C14" s="10">
        <f t="shared" ref="C14:C20" si="19">B14/(10^6)</f>
        <v>1.2999999999999999E-4</v>
      </c>
      <c r="E14" s="10">
        <f t="shared" ref="E14:E20" si="20">C14*1000</f>
        <v>0.12999999999999998</v>
      </c>
      <c r="T14" s="1" t="s">
        <v>80</v>
      </c>
      <c r="U14" s="1">
        <f>((7*U12)-(S12*T12))/((7*V12)-(S12^2))</f>
        <v>0.3830664631855612</v>
      </c>
    </row>
    <row r="15" spans="1:24" ht="15.75" customHeight="1">
      <c r="B15" s="1">
        <v>232</v>
      </c>
      <c r="C15" s="10">
        <f t="shared" si="19"/>
        <v>2.32E-4</v>
      </c>
      <c r="E15" s="10">
        <f t="shared" si="20"/>
        <v>0.23200000000000001</v>
      </c>
      <c r="T15" s="1" t="s">
        <v>81</v>
      </c>
      <c r="U15" s="10">
        <f>EXP((T12/7)-(U14*(S12/7)))</f>
        <v>5.377282962025632E-2</v>
      </c>
    </row>
    <row r="16" spans="1:24" ht="15.75" customHeight="1">
      <c r="B16" s="1">
        <v>360</v>
      </c>
      <c r="C16" s="10">
        <f t="shared" si="19"/>
        <v>3.6000000000000002E-4</v>
      </c>
      <c r="E16" s="10">
        <f t="shared" si="20"/>
        <v>0.36000000000000004</v>
      </c>
      <c r="V16">
        <f>EXP(-2.92298696501731)</f>
        <v>5.3772829620863154E-2</v>
      </c>
    </row>
    <row r="17" spans="2:5" ht="15.75" customHeight="1">
      <c r="B17" s="1">
        <v>320</v>
      </c>
      <c r="C17" s="10">
        <f t="shared" si="19"/>
        <v>3.2000000000000003E-4</v>
      </c>
      <c r="E17" s="10">
        <f t="shared" si="20"/>
        <v>0.32</v>
      </c>
    </row>
    <row r="18" spans="2:5" ht="15.75" customHeight="1">
      <c r="B18" s="1">
        <v>285</v>
      </c>
      <c r="C18" s="10">
        <f t="shared" si="19"/>
        <v>2.8499999999999999E-4</v>
      </c>
      <c r="E18" s="10">
        <f t="shared" si="20"/>
        <v>0.28499999999999998</v>
      </c>
    </row>
    <row r="19" spans="2:5" ht="15.75" customHeight="1">
      <c r="B19" s="1">
        <v>200</v>
      </c>
      <c r="C19" s="10">
        <f t="shared" si="19"/>
        <v>2.0000000000000001E-4</v>
      </c>
      <c r="E19" s="10">
        <f t="shared" si="20"/>
        <v>0.2</v>
      </c>
    </row>
    <row r="20" spans="2:5" ht="15.75" customHeight="1">
      <c r="B20" s="1">
        <v>100</v>
      </c>
      <c r="C20" s="10">
        <f t="shared" si="19"/>
        <v>1E-4</v>
      </c>
      <c r="E20" s="10">
        <f t="shared" si="20"/>
        <v>0.1</v>
      </c>
    </row>
  </sheetData>
  <mergeCells count="1">
    <mergeCell ref="A1:F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R78"/>
  <sheetViews>
    <sheetView workbookViewId="0">
      <selection activeCell="F4" sqref="F4"/>
    </sheetView>
  </sheetViews>
  <sheetFormatPr defaultColWidth="14.42578125" defaultRowHeight="15.75" customHeight="1"/>
  <sheetData>
    <row r="2" spans="1:14" ht="15.75" customHeight="1">
      <c r="A2" s="17" t="s">
        <v>87</v>
      </c>
      <c r="B2" s="16"/>
      <c r="C2" s="16"/>
      <c r="D2" s="16"/>
      <c r="E2" s="16"/>
      <c r="F2" s="1" t="s">
        <v>88</v>
      </c>
    </row>
    <row r="3" spans="1:14" ht="15.75" customHeight="1">
      <c r="A3" s="1" t="s">
        <v>89</v>
      </c>
      <c r="B3" s="1" t="s">
        <v>90</v>
      </c>
      <c r="C3" s="1" t="s">
        <v>26</v>
      </c>
      <c r="D3" s="1" t="s">
        <v>10</v>
      </c>
      <c r="E3" s="1" t="s">
        <v>12</v>
      </c>
      <c r="F3" s="1" t="s">
        <v>4</v>
      </c>
      <c r="G3" s="1" t="s">
        <v>91</v>
      </c>
      <c r="H3" s="1" t="s">
        <v>92</v>
      </c>
      <c r="I3" s="1" t="s">
        <v>93</v>
      </c>
      <c r="J3" s="1" t="s">
        <v>94</v>
      </c>
      <c r="K3" s="1" t="s">
        <v>95</v>
      </c>
      <c r="L3" s="1" t="s">
        <v>96</v>
      </c>
      <c r="M3" s="1" t="s">
        <v>97</v>
      </c>
      <c r="N3" s="1" t="s">
        <v>98</v>
      </c>
    </row>
    <row r="4" spans="1:14" ht="15.75" customHeight="1">
      <c r="A4" s="1">
        <v>10</v>
      </c>
      <c r="B4" s="1">
        <v>693.15099999999995</v>
      </c>
      <c r="C4" s="1">
        <v>34.884799999999998</v>
      </c>
      <c r="D4" s="1">
        <v>35.032299999999999</v>
      </c>
      <c r="E4" s="1">
        <v>42.847900000000003</v>
      </c>
      <c r="F4" s="1">
        <v>1.3211000000000001E-2</v>
      </c>
    </row>
    <row r="5" spans="1:14" ht="15.75" customHeight="1">
      <c r="A5" s="1">
        <v>11</v>
      </c>
      <c r="B5" s="1">
        <v>934.24699999999996</v>
      </c>
      <c r="C5" s="1">
        <v>37.539200000000001</v>
      </c>
      <c r="D5" s="1">
        <v>43.142899999999997</v>
      </c>
      <c r="E5" s="1">
        <v>49.041499999999999</v>
      </c>
      <c r="F5" s="1">
        <v>8.2568799999999994E-3</v>
      </c>
    </row>
    <row r="6" spans="1:14" ht="15.75" customHeight="1">
      <c r="A6" s="1">
        <v>12</v>
      </c>
      <c r="B6" s="1">
        <v>1044.75</v>
      </c>
      <c r="C6" s="1">
        <v>40.046100000000003</v>
      </c>
      <c r="D6" s="1">
        <v>50.811100000000003</v>
      </c>
      <c r="E6" s="1">
        <v>53.612900000000003</v>
      </c>
      <c r="F6" s="1">
        <v>2.1467900000000002E-2</v>
      </c>
    </row>
    <row r="7" spans="1:14" ht="15.75" customHeight="1">
      <c r="A7" s="1">
        <v>13</v>
      </c>
      <c r="B7" s="1">
        <v>1044.75</v>
      </c>
      <c r="C7" s="1">
        <v>41.3733</v>
      </c>
      <c r="D7" s="1">
        <v>57.447000000000003</v>
      </c>
      <c r="E7" s="1">
        <v>57.299500000000002</v>
      </c>
      <c r="F7" s="1">
        <v>0.110642</v>
      </c>
    </row>
    <row r="8" spans="1:14" ht="15.75" customHeight="1">
      <c r="A8" s="1">
        <v>14</v>
      </c>
      <c r="B8" s="1">
        <v>959.36099999999999</v>
      </c>
      <c r="C8" s="1">
        <v>41.963099999999997</v>
      </c>
      <c r="D8" s="1">
        <v>62.460799999999999</v>
      </c>
      <c r="E8" s="1">
        <v>61.428600000000003</v>
      </c>
      <c r="F8" s="1">
        <v>0.20146800000000001</v>
      </c>
    </row>
    <row r="9" spans="1:14" ht="15.75" customHeight="1">
      <c r="A9" s="1">
        <v>15</v>
      </c>
      <c r="B9" s="1">
        <v>803.65300000000002</v>
      </c>
      <c r="C9" s="1">
        <v>42.110599999999998</v>
      </c>
      <c r="D9" s="1">
        <v>60.248800000000003</v>
      </c>
      <c r="E9" s="1">
        <v>59.2166</v>
      </c>
      <c r="F9" s="1">
        <v>0.26917400000000002</v>
      </c>
    </row>
    <row r="10" spans="1:14" ht="15.75" customHeight="1">
      <c r="A10" s="1">
        <v>16</v>
      </c>
      <c r="B10" s="1">
        <v>577.62599999999998</v>
      </c>
      <c r="C10" s="1">
        <v>42.552999999999997</v>
      </c>
      <c r="D10" s="1">
        <v>60.396299999999997</v>
      </c>
      <c r="E10" s="1">
        <v>58.479300000000002</v>
      </c>
      <c r="F10" s="1">
        <v>0.259266</v>
      </c>
    </row>
    <row r="11" spans="1:14" ht="15.75" customHeight="1">
      <c r="A11" s="1">
        <v>17</v>
      </c>
      <c r="B11" s="1">
        <v>321.46100000000001</v>
      </c>
      <c r="C11" s="1">
        <v>40.635899999999999</v>
      </c>
      <c r="D11" s="1">
        <v>57.004600000000003</v>
      </c>
      <c r="E11" s="1">
        <v>53.612900000000003</v>
      </c>
      <c r="F11" s="1">
        <v>0.24770600000000001</v>
      </c>
    </row>
    <row r="12" spans="1:14" ht="15.75" customHeight="1">
      <c r="A12" s="1">
        <v>18</v>
      </c>
      <c r="B12" s="1">
        <v>85.388099999999994</v>
      </c>
      <c r="C12" s="1">
        <v>40.7834</v>
      </c>
      <c r="D12" s="1">
        <v>55.234999999999999</v>
      </c>
      <c r="E12" s="1">
        <v>49.483899999999998</v>
      </c>
      <c r="F12" s="1">
        <v>0.246055</v>
      </c>
    </row>
    <row r="13" spans="1:14" ht="15.75" customHeight="1">
      <c r="A13" s="1">
        <v>19</v>
      </c>
      <c r="B13" s="1">
        <v>20.0913</v>
      </c>
      <c r="C13" s="1">
        <v>38.571399999999997</v>
      </c>
      <c r="D13" s="1">
        <v>51.4009</v>
      </c>
      <c r="E13" s="1">
        <v>45.797199999999997</v>
      </c>
      <c r="F13" s="1">
        <v>0.20807300000000001</v>
      </c>
    </row>
    <row r="14" spans="1:14" ht="15.75" customHeight="1">
      <c r="A14" s="1">
        <v>20</v>
      </c>
      <c r="B14" s="1">
        <v>10.0457</v>
      </c>
      <c r="C14" s="1">
        <v>35.622100000000003</v>
      </c>
      <c r="D14" s="1">
        <v>47.419400000000003</v>
      </c>
      <c r="E14" s="1">
        <v>41.668199999999999</v>
      </c>
      <c r="F14" s="1">
        <v>0.16844000000000001</v>
      </c>
    </row>
    <row r="15" spans="1:14" ht="15.75" customHeight="1">
      <c r="A15" s="1">
        <v>21</v>
      </c>
      <c r="B15" s="1">
        <v>0</v>
      </c>
      <c r="C15" s="1">
        <v>34.442399999999999</v>
      </c>
      <c r="D15" s="1">
        <v>44.1751</v>
      </c>
      <c r="E15" s="1">
        <v>38.423999999999999</v>
      </c>
      <c r="F15" s="1">
        <v>0.12055</v>
      </c>
    </row>
    <row r="17" spans="1:13" ht="15.75" customHeight="1">
      <c r="A17" s="1">
        <v>10</v>
      </c>
      <c r="B17" s="1">
        <v>1.3211000000000001E-2</v>
      </c>
    </row>
    <row r="18" spans="1:13" ht="15.75" customHeight="1">
      <c r="A18" s="1">
        <v>11.0313</v>
      </c>
      <c r="B18" s="1">
        <v>8.2568799999999994E-3</v>
      </c>
      <c r="E18" s="1" t="s">
        <v>99</v>
      </c>
      <c r="F18" s="1" t="s">
        <v>90</v>
      </c>
      <c r="G18" s="1" t="s">
        <v>26</v>
      </c>
      <c r="H18" s="1" t="s">
        <v>10</v>
      </c>
      <c r="I18" s="1" t="s">
        <v>12</v>
      </c>
      <c r="J18" s="1" t="s">
        <v>100</v>
      </c>
      <c r="K18" s="1" t="s">
        <v>101</v>
      </c>
      <c r="L18" s="1" t="s">
        <v>102</v>
      </c>
      <c r="M18" s="1" t="s">
        <v>103</v>
      </c>
    </row>
    <row r="19" spans="1:13" ht="15.75" customHeight="1">
      <c r="A19" s="1">
        <v>12</v>
      </c>
      <c r="B19" s="1">
        <v>2.1467900000000002E-2</v>
      </c>
      <c r="E19" s="1">
        <v>14</v>
      </c>
      <c r="F19" s="1">
        <v>959.36099999999999</v>
      </c>
      <c r="G19" s="1">
        <v>41.963099999999997</v>
      </c>
      <c r="H19" s="1">
        <v>62.460799999999999</v>
      </c>
      <c r="I19" s="1">
        <v>61.428600000000003</v>
      </c>
      <c r="J19" s="1">
        <v>0.20146800000000001</v>
      </c>
      <c r="K19" s="1">
        <v>0.20050000000000001</v>
      </c>
      <c r="L19" s="10">
        <f t="shared" ref="L19:L21" si="0">ABS(J19-K19)</f>
        <v>9.6799999999999664E-4</v>
      </c>
      <c r="M19" s="10">
        <f t="shared" ref="M19:M21" si="1">(L19/J19)*100</f>
        <v>0.48047332578870922</v>
      </c>
    </row>
    <row r="20" spans="1:13" ht="15.75" customHeight="1">
      <c r="A20" s="1">
        <v>12.9688</v>
      </c>
      <c r="B20" s="1">
        <v>0.110642</v>
      </c>
      <c r="E20" s="1">
        <v>19</v>
      </c>
      <c r="F20" s="1">
        <v>20.0913</v>
      </c>
      <c r="G20" s="1">
        <v>38.571399999999997</v>
      </c>
      <c r="H20" s="1">
        <v>51.4009</v>
      </c>
      <c r="I20" s="1">
        <v>45.797199999999997</v>
      </c>
      <c r="J20" s="1">
        <v>0.20807300000000001</v>
      </c>
      <c r="K20" s="1">
        <v>0.23569999999999999</v>
      </c>
      <c r="L20" s="10">
        <f t="shared" si="0"/>
        <v>2.7626999999999985E-2</v>
      </c>
      <c r="M20" s="10">
        <f t="shared" si="1"/>
        <v>13.277551628514987</v>
      </c>
    </row>
    <row r="21" spans="1:13" ht="15.75" customHeight="1">
      <c r="A21" s="1">
        <v>14</v>
      </c>
      <c r="B21" s="1">
        <v>0.20146800000000001</v>
      </c>
      <c r="E21" s="1">
        <v>20</v>
      </c>
      <c r="F21" s="1">
        <v>10.0457</v>
      </c>
      <c r="G21" s="1">
        <v>35.622100000000003</v>
      </c>
      <c r="H21" s="1">
        <v>47.419400000000003</v>
      </c>
      <c r="I21" s="1">
        <v>41.668199999999999</v>
      </c>
      <c r="J21" s="1">
        <v>0.16844000000000001</v>
      </c>
      <c r="K21" s="1">
        <v>0.1699</v>
      </c>
      <c r="L21" s="10">
        <f t="shared" si="0"/>
        <v>1.4599999999999891E-3</v>
      </c>
      <c r="M21" s="10">
        <f t="shared" si="1"/>
        <v>0.86677748753264605</v>
      </c>
    </row>
    <row r="22" spans="1:13" ht="15.75" customHeight="1">
      <c r="A22" s="1">
        <v>14.9688</v>
      </c>
      <c r="B22" s="1">
        <v>0.26917400000000002</v>
      </c>
      <c r="L22" s="1" t="s">
        <v>104</v>
      </c>
      <c r="M22" s="10">
        <f>AVERAGE(M19:M21)</f>
        <v>4.8749341472787808</v>
      </c>
    </row>
    <row r="23" spans="1:13" ht="12.75">
      <c r="A23" s="1">
        <v>15.9688</v>
      </c>
      <c r="B23" s="1">
        <v>0.259266</v>
      </c>
    </row>
    <row r="24" spans="1:13" ht="12.75">
      <c r="A24" s="1">
        <v>17</v>
      </c>
      <c r="B24" s="1">
        <v>0.24770600000000001</v>
      </c>
    </row>
    <row r="25" spans="1:13" ht="12.75">
      <c r="A25" s="1">
        <v>18</v>
      </c>
      <c r="B25" s="1">
        <v>0.246055</v>
      </c>
    </row>
    <row r="26" spans="1:13" ht="12.75">
      <c r="A26" s="1">
        <v>19</v>
      </c>
      <c r="B26" s="1">
        <v>0.20807300000000001</v>
      </c>
    </row>
    <row r="27" spans="1:13" ht="12.75">
      <c r="A27" s="1">
        <v>19.968800000000002</v>
      </c>
      <c r="B27" s="1">
        <v>0.16844000000000001</v>
      </c>
    </row>
    <row r="28" spans="1:13" ht="12.75">
      <c r="A28" s="1">
        <v>20.968800000000002</v>
      </c>
      <c r="B28" s="1">
        <v>0.12055</v>
      </c>
    </row>
    <row r="77" spans="7:18" ht="15.75" customHeight="1">
      <c r="G77" s="12">
        <v>35.032299999999999</v>
      </c>
      <c r="H77" s="12">
        <v>43.142899999999997</v>
      </c>
      <c r="I77" s="12">
        <v>50.811100000000003</v>
      </c>
      <c r="J77" s="12">
        <v>57.447000000000003</v>
      </c>
      <c r="K77" s="12">
        <v>62.460799999999999</v>
      </c>
      <c r="L77" s="12">
        <v>60.248800000000003</v>
      </c>
      <c r="M77" s="12">
        <v>60.396299999999997</v>
      </c>
      <c r="N77" s="12">
        <v>57.004600000000003</v>
      </c>
      <c r="O77" s="12">
        <v>55.234999999999999</v>
      </c>
      <c r="P77" s="12">
        <v>51.4009</v>
      </c>
      <c r="Q77" s="12">
        <v>47.419400000000003</v>
      </c>
      <c r="R77" s="12">
        <v>44.1751</v>
      </c>
    </row>
    <row r="78" spans="7:18" ht="15.75" customHeight="1">
      <c r="G78" s="12">
        <v>42.847900000000003</v>
      </c>
      <c r="H78" s="12">
        <v>49.041499999999999</v>
      </c>
      <c r="I78" s="12">
        <v>53.612900000000003</v>
      </c>
      <c r="J78" s="12">
        <v>57.299500000000002</v>
      </c>
      <c r="K78" s="12">
        <v>61.428600000000003</v>
      </c>
      <c r="L78" s="12">
        <v>59.2166</v>
      </c>
      <c r="M78" s="12">
        <v>58.479300000000002</v>
      </c>
      <c r="N78" s="12">
        <v>53.612900000000003</v>
      </c>
      <c r="O78" s="12">
        <v>49.483899999999998</v>
      </c>
      <c r="P78" s="12">
        <v>45.797199999999997</v>
      </c>
      <c r="Q78" s="12">
        <v>41.668199999999999</v>
      </c>
      <c r="R78" s="12">
        <v>38.423999999999999</v>
      </c>
    </row>
  </sheetData>
  <mergeCells count="1">
    <mergeCell ref="A2:E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3:N15"/>
  <sheetViews>
    <sheetView workbookViewId="0"/>
  </sheetViews>
  <sheetFormatPr defaultColWidth="14.42578125" defaultRowHeight="15.75" customHeight="1"/>
  <sheetData>
    <row r="3" spans="1:14" ht="15.75" customHeight="1">
      <c r="A3" s="1" t="s">
        <v>89</v>
      </c>
      <c r="B3" s="1" t="s">
        <v>90</v>
      </c>
      <c r="C3" s="1" t="s">
        <v>26</v>
      </c>
      <c r="D3" s="1" t="s">
        <v>10</v>
      </c>
      <c r="E3" s="1" t="s">
        <v>12</v>
      </c>
      <c r="F3" s="1" t="s">
        <v>4</v>
      </c>
      <c r="G3" s="1" t="s">
        <v>91</v>
      </c>
      <c r="H3" s="1" t="s">
        <v>92</v>
      </c>
      <c r="I3" s="1" t="s">
        <v>93</v>
      </c>
      <c r="J3" s="1" t="s">
        <v>94</v>
      </c>
      <c r="K3" s="1" t="s">
        <v>95</v>
      </c>
      <c r="L3" s="1" t="s">
        <v>96</v>
      </c>
      <c r="M3" s="1" t="s">
        <v>97</v>
      </c>
      <c r="N3" s="1" t="s">
        <v>98</v>
      </c>
    </row>
    <row r="4" spans="1:14" ht="15.75" customHeight="1">
      <c r="A4" s="1">
        <v>10</v>
      </c>
      <c r="B4" s="1">
        <v>693.15099999999995</v>
      </c>
      <c r="C4" s="1">
        <v>34.884799999999998</v>
      </c>
      <c r="D4" s="1">
        <v>36.359400000000001</v>
      </c>
      <c r="E4" s="1">
        <v>42.258099999999999</v>
      </c>
      <c r="F4" s="1">
        <v>1.15596E-2</v>
      </c>
    </row>
    <row r="5" spans="1:14" ht="15.75" customHeight="1">
      <c r="A5" s="1">
        <v>11</v>
      </c>
      <c r="B5" s="1">
        <v>934.24699999999996</v>
      </c>
      <c r="C5" s="1">
        <v>37.539200000000001</v>
      </c>
      <c r="D5" s="1">
        <v>45.354799999999997</v>
      </c>
      <c r="E5" s="1">
        <v>48.156700000000001</v>
      </c>
      <c r="F5" s="1">
        <v>1.48624E-2</v>
      </c>
    </row>
    <row r="6" spans="1:14" ht="15.75" customHeight="1">
      <c r="A6" s="1">
        <v>12</v>
      </c>
      <c r="B6" s="1">
        <v>1044.75</v>
      </c>
      <c r="C6" s="1">
        <v>40.046100000000003</v>
      </c>
      <c r="D6" s="1">
        <v>53.465400000000002</v>
      </c>
      <c r="E6" s="1">
        <v>52.875599999999999</v>
      </c>
      <c r="F6" s="1">
        <v>5.2844000000000002E-2</v>
      </c>
    </row>
    <row r="7" spans="1:14" ht="15.75" customHeight="1">
      <c r="A7" s="1">
        <v>13</v>
      </c>
      <c r="B7" s="1">
        <v>1044.75</v>
      </c>
      <c r="C7" s="1">
        <v>41.3733</v>
      </c>
      <c r="D7" s="1">
        <v>59.658999999999999</v>
      </c>
      <c r="E7" s="1">
        <v>56.709699999999998</v>
      </c>
      <c r="F7" s="1">
        <v>0.19156000000000001</v>
      </c>
    </row>
    <row r="8" spans="1:14" ht="15.75" customHeight="1">
      <c r="A8" s="1">
        <v>14</v>
      </c>
      <c r="B8" s="1">
        <v>959.36099999999999</v>
      </c>
      <c r="C8" s="1">
        <v>41.963099999999997</v>
      </c>
      <c r="D8" s="1">
        <v>65.262699999999995</v>
      </c>
      <c r="E8" s="1">
        <v>61.576000000000001</v>
      </c>
      <c r="F8" s="1">
        <v>0.31045899999999998</v>
      </c>
    </row>
    <row r="9" spans="1:14" ht="15.75" customHeight="1">
      <c r="A9" s="1">
        <v>15</v>
      </c>
      <c r="B9" s="1">
        <v>803.65300000000002</v>
      </c>
      <c r="C9" s="1">
        <v>42.110599999999998</v>
      </c>
      <c r="D9" s="1">
        <v>62.0184</v>
      </c>
      <c r="E9" s="1">
        <v>58.479300000000002</v>
      </c>
      <c r="F9" s="1">
        <v>0.35504599999999997</v>
      </c>
    </row>
    <row r="10" spans="1:14" ht="15.75" customHeight="1">
      <c r="A10" s="1">
        <v>16</v>
      </c>
      <c r="B10" s="1">
        <v>577.62599999999998</v>
      </c>
      <c r="C10" s="1">
        <v>42.552999999999997</v>
      </c>
      <c r="D10" s="1">
        <v>61.871000000000002</v>
      </c>
      <c r="E10" s="1">
        <v>58.036900000000003</v>
      </c>
      <c r="F10" s="1">
        <v>0.32367000000000001</v>
      </c>
    </row>
    <row r="11" spans="1:14" ht="15.75" customHeight="1">
      <c r="A11" s="1">
        <v>17</v>
      </c>
      <c r="B11" s="1">
        <v>321.46100000000001</v>
      </c>
      <c r="C11" s="1">
        <v>40.635899999999999</v>
      </c>
      <c r="D11" s="1">
        <v>57.741900000000001</v>
      </c>
      <c r="E11" s="1">
        <v>53.023000000000003</v>
      </c>
      <c r="F11" s="1">
        <v>0.31376100000000001</v>
      </c>
    </row>
    <row r="12" spans="1:14" ht="15.75" customHeight="1">
      <c r="A12" s="1">
        <v>18</v>
      </c>
      <c r="B12" s="1">
        <v>85.388099999999994</v>
      </c>
      <c r="C12" s="1">
        <v>40.7834</v>
      </c>
      <c r="D12" s="1">
        <v>55.087600000000002</v>
      </c>
      <c r="E12" s="1">
        <v>49.041499999999999</v>
      </c>
      <c r="F12" s="1">
        <v>0.259266</v>
      </c>
    </row>
    <row r="13" spans="1:14" ht="15.75" customHeight="1">
      <c r="A13" s="1">
        <v>19</v>
      </c>
      <c r="B13" s="1">
        <v>20.0913</v>
      </c>
      <c r="C13" s="1">
        <v>38.571399999999997</v>
      </c>
      <c r="D13" s="1">
        <v>51.4009</v>
      </c>
      <c r="E13" s="1">
        <v>44.765000000000001</v>
      </c>
      <c r="F13" s="1">
        <v>0.20807300000000001</v>
      </c>
    </row>
    <row r="14" spans="1:14" ht="15.75" customHeight="1">
      <c r="A14" s="1">
        <v>20</v>
      </c>
      <c r="B14" s="1">
        <v>10.0457</v>
      </c>
      <c r="C14" s="1">
        <v>35.622100000000003</v>
      </c>
      <c r="D14" s="1">
        <v>47.271900000000002</v>
      </c>
      <c r="E14" s="1">
        <v>40.635899999999999</v>
      </c>
      <c r="F14" s="1">
        <v>0.15688099999999999</v>
      </c>
    </row>
    <row r="15" spans="1:14" ht="15.75" customHeight="1">
      <c r="A15" s="1">
        <v>21</v>
      </c>
      <c r="B15" s="1">
        <v>0</v>
      </c>
      <c r="C15" s="1">
        <v>34.442399999999999</v>
      </c>
      <c r="D15" s="1">
        <v>43.585299999999997</v>
      </c>
      <c r="E15" s="1">
        <v>37.096800000000002</v>
      </c>
      <c r="F15" s="1">
        <v>0.105688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thermo physical properties</vt:lpstr>
      <vt:lpstr>Copy of thermo physical propert</vt:lpstr>
      <vt:lpstr>dumka paper for reference CS</vt:lpstr>
      <vt:lpstr>dumka paper for reference MSS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Immanual mech</cp:lastModifiedBy>
  <dcterms:modified xsi:type="dcterms:W3CDTF">2021-05-21T10:02:09Z</dcterms:modified>
</cp:coreProperties>
</file>