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ramasubramanig/Documents/Projects/UI_UX/"/>
    </mc:Choice>
  </mc:AlternateContent>
  <bookViews>
    <workbookView xWindow="0" yWindow="460" windowWidth="25600" windowHeight="14240" tabRatio="500" activeTab="1"/>
  </bookViews>
  <sheets>
    <sheet name="Summary" sheetId="13" r:id="rId1"/>
    <sheet name="Estimator" sheetId="14" r:id="rId2"/>
    <sheet name="Effort Estimates" sheetId="10" r:id="rId3"/>
    <sheet name="Sprint Calculator" sheetId="5" state="hidden" r:id="rId4"/>
    <sheet name="Resource Plan" sheetId="7" state="hidden" r:id="rId5"/>
    <sheet name="Cost Estimates" sheetId="11" r:id="rId6"/>
    <sheet name="Plan" sheetId="8" r:id="rId7"/>
    <sheet name="Lookup" sheetId="16" r:id="rId8"/>
    <sheet name="Guidelines" sheetId="15" r:id="rId9"/>
    <sheet name="Data" sheetId="3" r:id="rId10"/>
  </sheets>
  <externalReferences>
    <externalReference r:id="rId11"/>
    <externalReference r:id="rId12"/>
  </externalReferences>
  <definedNames>
    <definedName name="COMPLEXITIES">'[1]Portal Dev'!$D$32:$D$36</definedName>
    <definedName name="DEV_CODING_EFFORT">'[1]Team Estimates'!$B$29</definedName>
    <definedName name="PHASES">'Resource Plan'!$F$15:$J$15</definedName>
    <definedName name="ROLES">'[1]Team Estimates'!$A$33:$A$57</definedName>
    <definedName name="TOTAL_CODING_EFFORT">'[1]Team Estimates'!$D$29</definedName>
    <definedName name="UI_CODING_EFFORT">'[1]Team Estimates'!$C$29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4" l="1"/>
  <c r="C9" i="14"/>
  <c r="C8" i="14"/>
  <c r="C35" i="14"/>
  <c r="C34" i="14"/>
  <c r="C24" i="14"/>
  <c r="C23" i="14"/>
  <c r="C22" i="14"/>
  <c r="C30" i="14"/>
  <c r="C29" i="14"/>
  <c r="C28" i="14"/>
  <c r="C47" i="14"/>
  <c r="C48" i="14"/>
  <c r="C49" i="14"/>
  <c r="C50" i="14"/>
  <c r="C51" i="14"/>
  <c r="C52" i="14"/>
  <c r="C53" i="14"/>
  <c r="B53" i="14"/>
  <c r="B52" i="14"/>
  <c r="B51" i="14"/>
  <c r="B50" i="14"/>
  <c r="B49" i="14"/>
  <c r="B48" i="14"/>
  <c r="B47" i="14"/>
  <c r="Z2" i="16"/>
  <c r="Z3" i="16"/>
  <c r="Z4" i="16"/>
  <c r="Z5" i="16"/>
  <c r="D41" i="14"/>
  <c r="C57" i="14"/>
  <c r="C58" i="14"/>
  <c r="D57" i="14"/>
  <c r="D58" i="14"/>
  <c r="D56" i="14"/>
  <c r="D59" i="14"/>
  <c r="D60" i="14"/>
  <c r="D61" i="14"/>
  <c r="D62" i="14"/>
  <c r="D63" i="14"/>
  <c r="C56" i="14"/>
  <c r="C59" i="14"/>
  <c r="C60" i="14"/>
  <c r="C61" i="14"/>
  <c r="C62" i="14"/>
  <c r="C63" i="14"/>
  <c r="C71" i="14"/>
  <c r="C37" i="14"/>
  <c r="D43" i="14"/>
  <c r="D42" i="14"/>
  <c r="Z7" i="16"/>
  <c r="Z6" i="16"/>
  <c r="C18" i="14"/>
  <c r="C17" i="14"/>
  <c r="C16" i="14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B54" i="15"/>
  <c r="D47" i="15"/>
  <c r="C47" i="15"/>
  <c r="D46" i="15"/>
  <c r="C46" i="15"/>
  <c r="D45" i="15"/>
  <c r="C45" i="15"/>
  <c r="C44" i="15"/>
  <c r="C43" i="15"/>
  <c r="D42" i="15"/>
  <c r="C42" i="15"/>
  <c r="D41" i="15"/>
  <c r="C41" i="15"/>
  <c r="D40" i="15"/>
  <c r="C40" i="15"/>
  <c r="C39" i="15"/>
  <c r="D38" i="15"/>
  <c r="C38" i="15"/>
  <c r="D37" i="15"/>
  <c r="C37" i="15"/>
  <c r="C36" i="15"/>
  <c r="C35" i="15"/>
  <c r="C34" i="15"/>
  <c r="D33" i="15"/>
  <c r="C33" i="15"/>
  <c r="D32" i="15"/>
  <c r="C32" i="15"/>
  <c r="C31" i="15"/>
  <c r="C30" i="15"/>
  <c r="D29" i="15"/>
  <c r="C29" i="15"/>
  <c r="D28" i="15"/>
  <c r="C28" i="15"/>
  <c r="D27" i="15"/>
  <c r="C27" i="15"/>
  <c r="C26" i="15"/>
  <c r="C25" i="15"/>
  <c r="D24" i="15"/>
  <c r="C24" i="15"/>
  <c r="D23" i="15"/>
  <c r="C23" i="15"/>
  <c r="C22" i="15"/>
  <c r="C21" i="15"/>
  <c r="D20" i="15"/>
  <c r="C20" i="15"/>
  <c r="D19" i="15"/>
  <c r="C19" i="15"/>
  <c r="D18" i="15"/>
  <c r="C18" i="15"/>
  <c r="C17" i="15"/>
  <c r="C16" i="15"/>
  <c r="D15" i="15"/>
  <c r="C15" i="15"/>
  <c r="D14" i="15"/>
  <c r="C14" i="15"/>
  <c r="D13" i="15"/>
  <c r="C13" i="15"/>
  <c r="D11" i="15"/>
  <c r="D10" i="15"/>
  <c r="D9" i="15"/>
  <c r="D8" i="15"/>
  <c r="B67" i="14"/>
  <c r="B66" i="14"/>
  <c r="B65" i="14"/>
  <c r="G12" i="13"/>
  <c r="A9" i="11"/>
  <c r="A8" i="11"/>
  <c r="C24" i="8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E50" i="7"/>
  <c r="I50" i="7"/>
  <c r="E48" i="7"/>
  <c r="C48" i="7"/>
  <c r="D48" i="7"/>
  <c r="K48" i="7"/>
  <c r="C50" i="7"/>
  <c r="D50" i="7"/>
  <c r="K50" i="7"/>
  <c r="E52" i="7"/>
  <c r="C52" i="7"/>
  <c r="D52" i="7"/>
  <c r="K52" i="7"/>
  <c r="E58" i="7"/>
  <c r="C58" i="7"/>
  <c r="D58" i="7"/>
  <c r="K58" i="7"/>
  <c r="D15" i="7"/>
  <c r="E15" i="7"/>
  <c r="F16" i="7"/>
  <c r="G16" i="7"/>
  <c r="H16" i="7"/>
  <c r="I16" i="7"/>
  <c r="J16" i="7"/>
  <c r="K16" i="7"/>
  <c r="F17" i="7"/>
  <c r="G17" i="7"/>
  <c r="H17" i="7"/>
  <c r="I17" i="7"/>
  <c r="J17" i="7"/>
  <c r="K17" i="7"/>
  <c r="F18" i="7"/>
  <c r="G18" i="7"/>
  <c r="H18" i="7"/>
  <c r="I18" i="7"/>
  <c r="J18" i="7"/>
  <c r="K18" i="7"/>
  <c r="F19" i="7"/>
  <c r="G19" i="7"/>
  <c r="H19" i="7"/>
  <c r="I19" i="7"/>
  <c r="J19" i="7"/>
  <c r="K19" i="7"/>
  <c r="F20" i="7"/>
  <c r="G20" i="7"/>
  <c r="H20" i="7"/>
  <c r="I20" i="7"/>
  <c r="J20" i="7"/>
  <c r="K20" i="7"/>
  <c r="F21" i="7"/>
  <c r="G21" i="7"/>
  <c r="H21" i="7"/>
  <c r="I21" i="7"/>
  <c r="J21" i="7"/>
  <c r="K21" i="7"/>
  <c r="F22" i="7"/>
  <c r="G22" i="7"/>
  <c r="H22" i="7"/>
  <c r="I22" i="7"/>
  <c r="J22" i="7"/>
  <c r="K22" i="7"/>
  <c r="F23" i="7"/>
  <c r="G23" i="7"/>
  <c r="H23" i="7"/>
  <c r="I23" i="7"/>
  <c r="J23" i="7"/>
  <c r="K23" i="7"/>
  <c r="F24" i="7"/>
  <c r="G24" i="7"/>
  <c r="H24" i="7"/>
  <c r="I24" i="7"/>
  <c r="J24" i="7"/>
  <c r="K24" i="7"/>
  <c r="F25" i="7"/>
  <c r="G25" i="7"/>
  <c r="H25" i="7"/>
  <c r="I25" i="7"/>
  <c r="J25" i="7"/>
  <c r="K25" i="7"/>
  <c r="F26" i="7"/>
  <c r="G26" i="7"/>
  <c r="H26" i="7"/>
  <c r="I26" i="7"/>
  <c r="J26" i="7"/>
  <c r="K26" i="7"/>
  <c r="F27" i="7"/>
  <c r="G27" i="7"/>
  <c r="H27" i="7"/>
  <c r="I27" i="7"/>
  <c r="J27" i="7"/>
  <c r="K27" i="7"/>
  <c r="F28" i="7"/>
  <c r="G28" i="7"/>
  <c r="H28" i="7"/>
  <c r="I28" i="7"/>
  <c r="J28" i="7"/>
  <c r="K28" i="7"/>
  <c r="F29" i="7"/>
  <c r="G29" i="7"/>
  <c r="H29" i="7"/>
  <c r="I29" i="7"/>
  <c r="J29" i="7"/>
  <c r="K29" i="7"/>
  <c r="F30" i="7"/>
  <c r="G30" i="7"/>
  <c r="H30" i="7"/>
  <c r="I30" i="7"/>
  <c r="J30" i="7"/>
  <c r="K30" i="7"/>
  <c r="F31" i="7"/>
  <c r="G31" i="7"/>
  <c r="H31" i="7"/>
  <c r="I31" i="7"/>
  <c r="J31" i="7"/>
  <c r="K31" i="7"/>
  <c r="F32" i="7"/>
  <c r="G32" i="7"/>
  <c r="H32" i="7"/>
  <c r="I32" i="7"/>
  <c r="J32" i="7"/>
  <c r="K32" i="7"/>
  <c r="F33" i="7"/>
  <c r="G33" i="7"/>
  <c r="H33" i="7"/>
  <c r="I33" i="7"/>
  <c r="J33" i="7"/>
  <c r="K33" i="7"/>
  <c r="F34" i="7"/>
  <c r="G34" i="7"/>
  <c r="H34" i="7"/>
  <c r="I34" i="7"/>
  <c r="J34" i="7"/>
  <c r="K34" i="7"/>
  <c r="F35" i="7"/>
  <c r="G35" i="7"/>
  <c r="H35" i="7"/>
  <c r="I35" i="7"/>
  <c r="J35" i="7"/>
  <c r="K35" i="7"/>
  <c r="F36" i="7"/>
  <c r="G36" i="7"/>
  <c r="H36" i="7"/>
  <c r="I36" i="7"/>
  <c r="J36" i="7"/>
  <c r="K36" i="7"/>
  <c r="F37" i="7"/>
  <c r="G37" i="7"/>
  <c r="H37" i="7"/>
  <c r="I37" i="7"/>
  <c r="J37" i="7"/>
  <c r="K37" i="7"/>
  <c r="F38" i="7"/>
  <c r="G38" i="7"/>
  <c r="H38" i="7"/>
  <c r="I38" i="7"/>
  <c r="J38" i="7"/>
  <c r="K38" i="7"/>
  <c r="F39" i="7"/>
  <c r="G39" i="7"/>
  <c r="H39" i="7"/>
  <c r="I39" i="7"/>
  <c r="J39" i="7"/>
  <c r="K39" i="7"/>
  <c r="F40" i="7"/>
  <c r="G40" i="7"/>
  <c r="H40" i="7"/>
  <c r="I40" i="7"/>
  <c r="J40" i="7"/>
  <c r="K40" i="7"/>
  <c r="C41" i="7"/>
  <c r="D41" i="7"/>
  <c r="E41" i="7"/>
  <c r="F41" i="7"/>
  <c r="H41" i="7"/>
  <c r="I41" i="7"/>
  <c r="J41" i="7"/>
  <c r="K41" i="7"/>
  <c r="C45" i="7"/>
  <c r="D45" i="7"/>
  <c r="E45" i="7"/>
  <c r="F45" i="7"/>
  <c r="G45" i="7"/>
  <c r="H45" i="7"/>
  <c r="I45" i="7"/>
  <c r="J45" i="7"/>
  <c r="K45" i="7"/>
  <c r="C46" i="7"/>
  <c r="D46" i="7"/>
  <c r="E46" i="7"/>
  <c r="F46" i="7"/>
  <c r="G46" i="7"/>
  <c r="H46" i="7"/>
  <c r="I46" i="7"/>
  <c r="J46" i="7"/>
  <c r="K46" i="7"/>
  <c r="C47" i="7"/>
  <c r="D47" i="7"/>
  <c r="E47" i="7"/>
  <c r="F47" i="7"/>
  <c r="G47" i="7"/>
  <c r="H47" i="7"/>
  <c r="I47" i="7"/>
  <c r="J47" i="7"/>
  <c r="K47" i="7"/>
  <c r="F48" i="7"/>
  <c r="G48" i="7"/>
  <c r="H48" i="7"/>
  <c r="I48" i="7"/>
  <c r="J48" i="7"/>
  <c r="C49" i="7"/>
  <c r="D49" i="7"/>
  <c r="E49" i="7"/>
  <c r="F49" i="7"/>
  <c r="G49" i="7"/>
  <c r="H49" i="7"/>
  <c r="I49" i="7"/>
  <c r="J49" i="7"/>
  <c r="K49" i="7"/>
  <c r="F50" i="7"/>
  <c r="G50" i="7"/>
  <c r="H50" i="7"/>
  <c r="J50" i="7"/>
  <c r="C51" i="7"/>
  <c r="D51" i="7"/>
  <c r="E51" i="7"/>
  <c r="F51" i="7"/>
  <c r="G51" i="7"/>
  <c r="H51" i="7"/>
  <c r="I51" i="7"/>
  <c r="J51" i="7"/>
  <c r="K51" i="7"/>
  <c r="F52" i="7"/>
  <c r="G52" i="7"/>
  <c r="H52" i="7"/>
  <c r="I52" i="7"/>
  <c r="J52" i="7"/>
  <c r="C53" i="7"/>
  <c r="D53" i="7"/>
  <c r="E53" i="7"/>
  <c r="F53" i="7"/>
  <c r="G53" i="7"/>
  <c r="H53" i="7"/>
  <c r="I53" i="7"/>
  <c r="J53" i="7"/>
  <c r="K53" i="7"/>
  <c r="C54" i="7"/>
  <c r="D54" i="7"/>
  <c r="E54" i="7"/>
  <c r="F54" i="7"/>
  <c r="G54" i="7"/>
  <c r="H54" i="7"/>
  <c r="I54" i="7"/>
  <c r="J54" i="7"/>
  <c r="K54" i="7"/>
  <c r="C55" i="7"/>
  <c r="D55" i="7"/>
  <c r="E55" i="7"/>
  <c r="F55" i="7"/>
  <c r="G55" i="7"/>
  <c r="H55" i="7"/>
  <c r="I55" i="7"/>
  <c r="J55" i="7"/>
  <c r="K55" i="7"/>
  <c r="C56" i="7"/>
  <c r="D56" i="7"/>
  <c r="E56" i="7"/>
  <c r="F56" i="7"/>
  <c r="G56" i="7"/>
  <c r="H56" i="7"/>
  <c r="I56" i="7"/>
  <c r="J56" i="7"/>
  <c r="K56" i="7"/>
  <c r="C57" i="7"/>
  <c r="D57" i="7"/>
  <c r="E57" i="7"/>
  <c r="F57" i="7"/>
  <c r="G57" i="7"/>
  <c r="H57" i="7"/>
  <c r="I57" i="7"/>
  <c r="J57" i="7"/>
  <c r="K57" i="7"/>
  <c r="F58" i="7"/>
  <c r="G58" i="7"/>
  <c r="H58" i="7"/>
  <c r="I58" i="7"/>
  <c r="J58" i="7"/>
  <c r="C59" i="7"/>
  <c r="D59" i="7"/>
  <c r="E59" i="7"/>
  <c r="F59" i="7"/>
  <c r="G59" i="7"/>
  <c r="H59" i="7"/>
  <c r="I59" i="7"/>
  <c r="J59" i="7"/>
  <c r="K59" i="7"/>
  <c r="C60" i="7"/>
  <c r="D60" i="7"/>
  <c r="E60" i="7"/>
  <c r="F60" i="7"/>
  <c r="G60" i="7"/>
  <c r="H60" i="7"/>
  <c r="I60" i="7"/>
  <c r="J60" i="7"/>
  <c r="K60" i="7"/>
  <c r="C61" i="7"/>
  <c r="D61" i="7"/>
  <c r="E61" i="7"/>
  <c r="F61" i="7"/>
  <c r="G61" i="7"/>
  <c r="H61" i="7"/>
  <c r="I61" i="7"/>
  <c r="J61" i="7"/>
  <c r="K61" i="7"/>
  <c r="C62" i="7"/>
  <c r="D62" i="7"/>
  <c r="E62" i="7"/>
  <c r="F62" i="7"/>
  <c r="G62" i="7"/>
  <c r="H62" i="7"/>
  <c r="I62" i="7"/>
  <c r="J62" i="7"/>
  <c r="K62" i="7"/>
  <c r="C63" i="7"/>
  <c r="D63" i="7"/>
  <c r="E63" i="7"/>
  <c r="F63" i="7"/>
  <c r="G63" i="7"/>
  <c r="H63" i="7"/>
  <c r="I63" i="7"/>
  <c r="J63" i="7"/>
  <c r="K63" i="7"/>
  <c r="C64" i="7"/>
  <c r="D64" i="7"/>
  <c r="E64" i="7"/>
  <c r="F64" i="7"/>
  <c r="G64" i="7"/>
  <c r="H64" i="7"/>
  <c r="I64" i="7"/>
  <c r="J64" i="7"/>
  <c r="K64" i="7"/>
  <c r="C65" i="7"/>
  <c r="D65" i="7"/>
  <c r="E65" i="7"/>
  <c r="F65" i="7"/>
  <c r="G65" i="7"/>
  <c r="H65" i="7"/>
  <c r="I65" i="7"/>
  <c r="J65" i="7"/>
  <c r="K65" i="7"/>
  <c r="C66" i="7"/>
  <c r="D66" i="7"/>
  <c r="E66" i="7"/>
  <c r="F66" i="7"/>
  <c r="G66" i="7"/>
  <c r="H66" i="7"/>
  <c r="I66" i="7"/>
  <c r="J66" i="7"/>
  <c r="K66" i="7"/>
  <c r="C67" i="7"/>
  <c r="D67" i="7"/>
  <c r="E67" i="7"/>
  <c r="F67" i="7"/>
  <c r="G67" i="7"/>
  <c r="H67" i="7"/>
  <c r="I67" i="7"/>
  <c r="J67" i="7"/>
  <c r="K67" i="7"/>
  <c r="C68" i="7"/>
  <c r="D68" i="7"/>
  <c r="E68" i="7"/>
  <c r="F68" i="7"/>
  <c r="G68" i="7"/>
  <c r="H68" i="7"/>
  <c r="I68" i="7"/>
  <c r="J68" i="7"/>
  <c r="K68" i="7"/>
  <c r="C69" i="7"/>
  <c r="D69" i="7"/>
  <c r="E69" i="7"/>
  <c r="F69" i="7"/>
  <c r="G69" i="7"/>
  <c r="H69" i="7"/>
  <c r="I69" i="7"/>
  <c r="J69" i="7"/>
  <c r="K69" i="7"/>
  <c r="C70" i="7"/>
  <c r="D70" i="7"/>
  <c r="E70" i="7"/>
  <c r="F70" i="7"/>
  <c r="G70" i="7"/>
  <c r="H70" i="7"/>
  <c r="I70" i="7"/>
  <c r="J70" i="7"/>
  <c r="K70" i="7"/>
  <c r="C65" i="14"/>
  <c r="C66" i="14"/>
  <c r="C67" i="14"/>
  <c r="C70" i="14"/>
  <c r="C3" i="10"/>
  <c r="B3" i="11"/>
  <c r="C3" i="11"/>
  <c r="F3" i="11"/>
  <c r="E3" i="11"/>
  <c r="D3" i="11"/>
  <c r="G3" i="11"/>
  <c r="C4" i="10"/>
  <c r="B4" i="11"/>
  <c r="C4" i="11"/>
  <c r="F4" i="11"/>
  <c r="E4" i="11"/>
  <c r="D4" i="11"/>
  <c r="G4" i="11"/>
  <c r="C5" i="10"/>
  <c r="B5" i="11"/>
  <c r="C5" i="11"/>
  <c r="F5" i="11"/>
  <c r="E5" i="11"/>
  <c r="D5" i="11"/>
  <c r="G5" i="11"/>
  <c r="C6" i="10"/>
  <c r="B6" i="11"/>
  <c r="C6" i="11"/>
  <c r="F6" i="11"/>
  <c r="E6" i="11"/>
  <c r="D6" i="11"/>
  <c r="G6" i="11"/>
  <c r="C7" i="10"/>
  <c r="B7" i="11"/>
  <c r="C7" i="11"/>
  <c r="F7" i="11"/>
  <c r="E7" i="11"/>
  <c r="D7" i="11"/>
  <c r="G7" i="11"/>
  <c r="C8" i="10"/>
  <c r="B8" i="11"/>
  <c r="C8" i="11"/>
  <c r="F8" i="11"/>
  <c r="E8" i="11"/>
  <c r="D8" i="11"/>
  <c r="G8" i="11"/>
  <c r="C9" i="10"/>
  <c r="B9" i="11"/>
  <c r="C9" i="11"/>
  <c r="F9" i="11"/>
  <c r="E9" i="11"/>
  <c r="D9" i="11"/>
  <c r="G9" i="11"/>
  <c r="C10" i="10"/>
  <c r="B10" i="11"/>
  <c r="C10" i="11"/>
  <c r="F10" i="11"/>
  <c r="E10" i="11"/>
  <c r="D10" i="11"/>
  <c r="G10" i="11"/>
  <c r="C2" i="10"/>
  <c r="B2" i="11"/>
  <c r="C2" i="11"/>
  <c r="F2" i="11"/>
  <c r="E2" i="11"/>
  <c r="D2" i="11"/>
  <c r="G2" i="11"/>
  <c r="C72" i="14"/>
  <c r="G9" i="13"/>
  <c r="B15" i="5"/>
  <c r="B12" i="5"/>
  <c r="B8" i="5"/>
  <c r="B5" i="5"/>
  <c r="C11" i="10"/>
  <c r="C12" i="10"/>
  <c r="B1" i="5"/>
  <c r="E4" i="5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B12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B13" i="8"/>
  <c r="Z30" i="8"/>
  <c r="AA30" i="8"/>
  <c r="AB30" i="8"/>
  <c r="AC30" i="8"/>
  <c r="AD30" i="8"/>
  <c r="AE30" i="8"/>
  <c r="AF30" i="8"/>
  <c r="AG30" i="8"/>
  <c r="AH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B10" i="8"/>
  <c r="B11" i="8"/>
  <c r="B14" i="8"/>
  <c r="B15" i="8"/>
  <c r="AF24" i="8"/>
  <c r="AE24" i="8"/>
  <c r="AD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G24" i="8"/>
  <c r="AH24" i="8"/>
  <c r="B11" i="11"/>
  <c r="C11" i="11"/>
  <c r="G8" i="13"/>
  <c r="D11" i="11"/>
  <c r="E11" i="11"/>
  <c r="D13" i="11"/>
  <c r="G10" i="13"/>
  <c r="B20" i="8"/>
  <c r="G13" i="13"/>
  <c r="B3" i="8"/>
  <c r="F11" i="11"/>
  <c r="G11" i="11"/>
  <c r="D14" i="11"/>
  <c r="G11" i="13"/>
  <c r="B16" i="8"/>
</calcChain>
</file>

<file path=xl/comments1.xml><?xml version="1.0" encoding="utf-8"?>
<comments xmlns="http://schemas.openxmlformats.org/spreadsheetml/2006/main">
  <authors>
    <author>Mark</author>
  </authors>
  <commentList>
    <comment ref="C15" authorId="0">
      <text>
        <r>
          <rPr>
            <sz val="9"/>
            <color indexed="81"/>
            <rFont val="Tahoma"/>
            <family val="2"/>
          </rPr>
          <t>Enter project start date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Does'nt include UAT since UAT will be done by Clients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A13" authorId="0">
      <text>
        <r>
          <rPr>
            <b/>
            <sz val="9"/>
            <color indexed="81"/>
            <rFont val="Calibri"/>
            <family val="2"/>
          </rPr>
          <t>Microsoft Office User:</t>
        </r>
        <r>
          <rPr>
            <sz val="9"/>
            <color indexed="81"/>
            <rFont val="Calibri"/>
            <family val="2"/>
          </rPr>
          <t xml:space="preserve">
Menu
Tabs
dialog
swipe</t>
        </r>
      </text>
    </comment>
    <comment ref="A14" authorId="0">
      <text>
        <r>
          <rPr>
            <b/>
            <sz val="9"/>
            <color indexed="81"/>
            <rFont val="Calibri"/>
            <family val="2"/>
          </rPr>
          <t>Microsoft Office User:</t>
        </r>
        <r>
          <rPr>
            <sz val="9"/>
            <color indexed="81"/>
            <rFont val="Calibri"/>
            <family val="2"/>
          </rPr>
          <t xml:space="preserve">
Menu
Tabs
dialog
swipe</t>
        </r>
      </text>
    </comment>
    <comment ref="A15" authorId="0">
      <text>
        <r>
          <rPr>
            <b/>
            <sz val="9"/>
            <color indexed="81"/>
            <rFont val="Calibri"/>
            <family val="2"/>
          </rPr>
          <t>Microsoft Office User:</t>
        </r>
        <r>
          <rPr>
            <sz val="9"/>
            <color indexed="81"/>
            <rFont val="Calibri"/>
            <family val="2"/>
          </rPr>
          <t xml:space="preserve">
data grid
accordion</t>
        </r>
      </text>
    </comment>
    <comment ref="A18" authorId="0">
      <text>
        <r>
          <rPr>
            <b/>
            <sz val="9"/>
            <color indexed="81"/>
            <rFont val="Calibri"/>
            <family val="2"/>
          </rPr>
          <t>Microsoft Office User:</t>
        </r>
        <r>
          <rPr>
            <sz val="9"/>
            <color indexed="81"/>
            <rFont val="Calibri"/>
            <family val="2"/>
          </rPr>
          <t xml:space="preserve">
dialogs
splash screen
Device orientation
Battery Status</t>
        </r>
      </text>
    </comment>
    <comment ref="A19" authorId="0">
      <text>
        <r>
          <rPr>
            <b/>
            <sz val="9"/>
            <color indexed="81"/>
            <rFont val="Calibri"/>
            <family val="2"/>
          </rPr>
          <t>Microsoft Office User:</t>
        </r>
        <r>
          <rPr>
            <sz val="9"/>
            <color indexed="81"/>
            <rFont val="Calibri"/>
            <family val="2"/>
          </rPr>
          <t xml:space="preserve">
inapp browser
Acessing contacts 
media
Geolocation
Maps
Bluetooth On/OFF</t>
        </r>
      </text>
    </comment>
    <comment ref="A20" authorId="0">
      <text>
        <r>
          <rPr>
            <b/>
            <sz val="9"/>
            <color indexed="81"/>
            <rFont val="Calibri"/>
            <family val="2"/>
          </rPr>
          <t>Microsoft Office User:</t>
        </r>
        <r>
          <rPr>
            <sz val="9"/>
            <color indexed="81"/>
            <rFont val="Calibri"/>
            <family val="2"/>
          </rPr>
          <t xml:space="preserve">
File transfer
Camera/Scan</t>
        </r>
      </text>
    </comment>
  </commentList>
</comments>
</file>

<file path=xl/sharedStrings.xml><?xml version="1.0" encoding="utf-8"?>
<sst xmlns="http://schemas.openxmlformats.org/spreadsheetml/2006/main" count="590" uniqueCount="371">
  <si>
    <t>New</t>
  </si>
  <si>
    <t>Project Type</t>
  </si>
  <si>
    <t>App Type</t>
  </si>
  <si>
    <t>Hybrid</t>
  </si>
  <si>
    <t>Native</t>
  </si>
  <si>
    <t>App Framework</t>
  </si>
  <si>
    <t>AngularJS</t>
  </si>
  <si>
    <t>UI Framework</t>
  </si>
  <si>
    <t>Ionic</t>
  </si>
  <si>
    <t>Choc Chip</t>
  </si>
  <si>
    <t>Zurb</t>
  </si>
  <si>
    <t>Jquery</t>
  </si>
  <si>
    <t>Dojo</t>
  </si>
  <si>
    <t>Other</t>
  </si>
  <si>
    <t>Components</t>
  </si>
  <si>
    <t>Plugin Development</t>
  </si>
  <si>
    <t>Plugin Integration</t>
  </si>
  <si>
    <t>TouchID</t>
  </si>
  <si>
    <t>On-Device Storage</t>
  </si>
  <si>
    <t>Security Integration</t>
  </si>
  <si>
    <t>Complexity</t>
  </si>
  <si>
    <t>Very Low</t>
  </si>
  <si>
    <t>Low</t>
  </si>
  <si>
    <t>Medium</t>
  </si>
  <si>
    <t>High</t>
  </si>
  <si>
    <t>Very High</t>
  </si>
  <si>
    <t>UI - Static</t>
  </si>
  <si>
    <t>UI - Dynamic</t>
  </si>
  <si>
    <t>UI - Input</t>
  </si>
  <si>
    <t>App Logic</t>
  </si>
  <si>
    <t>Service Consumer</t>
  </si>
  <si>
    <t>Service Development</t>
  </si>
  <si>
    <t>Backend Technology</t>
  </si>
  <si>
    <t>MobileFirst</t>
  </si>
  <si>
    <t>SAP</t>
  </si>
  <si>
    <t>Parse</t>
  </si>
  <si>
    <t>Custom</t>
  </si>
  <si>
    <t>Enhancement</t>
  </si>
  <si>
    <t>Security</t>
  </si>
  <si>
    <t>Containerization</t>
  </si>
  <si>
    <t>None</t>
  </si>
  <si>
    <t>Good</t>
  </si>
  <si>
    <t>AirWatch</t>
  </si>
  <si>
    <t>BlueMix</t>
  </si>
  <si>
    <t>Two-factor</t>
  </si>
  <si>
    <t>Analytics</t>
  </si>
  <si>
    <t>Google Analytics</t>
  </si>
  <si>
    <t>TeaLeaf</t>
  </si>
  <si>
    <t>CA</t>
  </si>
  <si>
    <t>Push Notification</t>
  </si>
  <si>
    <t>APN</t>
  </si>
  <si>
    <t>Google Cloud Messenger</t>
  </si>
  <si>
    <t>Menu</t>
  </si>
  <si>
    <t>GeoFencing</t>
  </si>
  <si>
    <t>GeoLocation/Maps</t>
  </si>
  <si>
    <t>Gesture Input</t>
  </si>
  <si>
    <t>Animation</t>
  </si>
  <si>
    <t>NFC</t>
  </si>
  <si>
    <t>Team Compency</t>
  </si>
  <si>
    <t>All Experts</t>
  </si>
  <si>
    <t>Mostly Experts</t>
  </si>
  <si>
    <t>Mostly New</t>
  </si>
  <si>
    <t>No Experience</t>
  </si>
  <si>
    <t>Team Composition</t>
  </si>
  <si>
    <t>All onshore</t>
  </si>
  <si>
    <t>All offshore</t>
  </si>
  <si>
    <t>Most onshore</t>
  </si>
  <si>
    <t>Most offshore</t>
  </si>
  <si>
    <t>Google and Apple</t>
  </si>
  <si>
    <t>Xtify</t>
  </si>
  <si>
    <t>Platform Port</t>
  </si>
  <si>
    <t>Rewrite</t>
  </si>
  <si>
    <t>SAML</t>
  </si>
  <si>
    <t>Direct Authentication</t>
  </si>
  <si>
    <t>Development Effort</t>
  </si>
  <si>
    <t>Development Effort - based on Project Type</t>
  </si>
  <si>
    <t>Testing %</t>
  </si>
  <si>
    <t>PM %</t>
  </si>
  <si>
    <t>Testing Effort</t>
  </si>
  <si>
    <t>PM Effort</t>
  </si>
  <si>
    <t>Architecture Effort</t>
  </si>
  <si>
    <t>Architecture %</t>
  </si>
  <si>
    <t>Total Estimate</t>
  </si>
  <si>
    <t>Design %</t>
  </si>
  <si>
    <t>Design Effort</t>
  </si>
  <si>
    <t>Dev Resource Roles</t>
  </si>
  <si>
    <t>Developer (onshore)</t>
  </si>
  <si>
    <t>Developer (offshore)</t>
  </si>
  <si>
    <t>Senior Developer (onshore)</t>
  </si>
  <si>
    <t>Senior Developer (offshore)</t>
  </si>
  <si>
    <t>PM Resources</t>
  </si>
  <si>
    <t>Architect Resources</t>
  </si>
  <si>
    <t>Testing Resources</t>
  </si>
  <si>
    <t>Creative Resources</t>
  </si>
  <si>
    <t>Sprint Durations (in weeks)</t>
  </si>
  <si>
    <t>Number of Sprints</t>
  </si>
  <si>
    <t>Number of Developers</t>
  </si>
  <si>
    <t>Gantt Chart</t>
  </si>
  <si>
    <t>Inception</t>
  </si>
  <si>
    <t>Elaboration</t>
  </si>
  <si>
    <t>Construction</t>
  </si>
  <si>
    <t>Transition</t>
  </si>
  <si>
    <t>Production</t>
  </si>
  <si>
    <t>Iteration 1</t>
  </si>
  <si>
    <t>Iteration 3</t>
  </si>
  <si>
    <t>Iteration 4</t>
  </si>
  <si>
    <t>Iteration 5</t>
  </si>
  <si>
    <t>Iteration 6</t>
  </si>
  <si>
    <t>Resource Plan</t>
  </si>
  <si>
    <t>Resource Role</t>
  </si>
  <si>
    <t>BA-CR-UX1</t>
  </si>
  <si>
    <t>DA1</t>
  </si>
  <si>
    <t>Domain Architect</t>
  </si>
  <si>
    <t>PM1</t>
  </si>
  <si>
    <t>Project Manager</t>
  </si>
  <si>
    <t>DCDV1</t>
  </si>
  <si>
    <r>
      <t>Developer - Delivery Cent</t>
    </r>
    <r>
      <rPr>
        <sz val="12"/>
        <color theme="1"/>
        <rFont val="Calibri"/>
        <family val="2"/>
        <scheme val="minor"/>
      </rPr>
      <t>re</t>
    </r>
  </si>
  <si>
    <t>DCDV2</t>
  </si>
  <si>
    <t>Developer - Offshore</t>
  </si>
  <si>
    <t>DCUI1</t>
  </si>
  <si>
    <t>UI Developer - Onshore - Delivery Centre</t>
  </si>
  <si>
    <t>QAL1</t>
  </si>
  <si>
    <t>QA Lead</t>
  </si>
  <si>
    <t>OSQA1</t>
  </si>
  <si>
    <t>Functional Tester - Offshore</t>
  </si>
  <si>
    <t>INFS1</t>
  </si>
  <si>
    <t>Dev Lead - Offshore</t>
  </si>
  <si>
    <t>DD1</t>
  </si>
  <si>
    <t>Delivery Executive</t>
  </si>
  <si>
    <t>DCCR1</t>
  </si>
  <si>
    <r>
      <t>Delivery Cent</t>
    </r>
    <r>
      <rPr>
        <sz val="12"/>
        <color theme="1"/>
        <rFont val="Calibri"/>
        <family val="2"/>
        <scheme val="minor"/>
      </rPr>
      <t>re</t>
    </r>
    <r>
      <rPr>
        <sz val="12"/>
        <color theme="1"/>
        <rFont val="Calibri"/>
        <family val="2"/>
        <scheme val="minor"/>
      </rPr>
      <t xml:space="preserve"> - Coordinator </t>
    </r>
  </si>
  <si>
    <t>OSQAL1</t>
  </si>
  <si>
    <t>QA Lead - Offshore</t>
  </si>
  <si>
    <t>UX Architect</t>
  </si>
  <si>
    <t>User Experience Architect</t>
  </si>
  <si>
    <t>Creative</t>
  </si>
  <si>
    <t>Creative Designer</t>
  </si>
  <si>
    <t>Infrastructure Specialist</t>
  </si>
  <si>
    <t>TOTAL HOURS</t>
  </si>
  <si>
    <t>Total</t>
  </si>
  <si>
    <t>Comparison to Estimates</t>
  </si>
  <si>
    <t>Totals from Resource Plan</t>
  </si>
  <si>
    <t>Totals</t>
  </si>
  <si>
    <t>Business Analyst</t>
  </si>
  <si>
    <t>% Savings</t>
  </si>
  <si>
    <t>Total No of Hours</t>
  </si>
  <si>
    <t>Hours Saved</t>
  </si>
  <si>
    <t>Login Module</t>
  </si>
  <si>
    <t>BlueMix Services integration</t>
  </si>
  <si>
    <t>Push Notification Service</t>
  </si>
  <si>
    <t>IBM Connections App</t>
  </si>
  <si>
    <t>QR Code Scanner</t>
  </si>
  <si>
    <t>Basic Hybrid App Functions - Swipe to delete, Pull to refresh</t>
  </si>
  <si>
    <t>Comments &amp; Ratings</t>
  </si>
  <si>
    <t>File / Photo Upload</t>
  </si>
  <si>
    <t>Payment Gateway integrations</t>
  </si>
  <si>
    <t>Mobile Analytics - Google, AWS, BlueMix</t>
  </si>
  <si>
    <t>Build Scripts &amp; Publish</t>
  </si>
  <si>
    <t>Location based services</t>
  </si>
  <si>
    <t>Chat module</t>
  </si>
  <si>
    <t>Help text component</t>
  </si>
  <si>
    <t>Tying two ionic components (Tab and Side menu)</t>
  </si>
  <si>
    <t>Key Press Events</t>
  </si>
  <si>
    <t>Menu Gallery</t>
  </si>
  <si>
    <t>Date Picker Gallery</t>
  </si>
  <si>
    <t>Tablet Split View</t>
  </si>
  <si>
    <t>Project Creation plugin</t>
  </si>
  <si>
    <t>Resuable assets</t>
  </si>
  <si>
    <t>Total Effort</t>
  </si>
  <si>
    <t>Sprint Duration</t>
  </si>
  <si>
    <t>No of developers</t>
  </si>
  <si>
    <t>No of testers</t>
  </si>
  <si>
    <t>UAT Support - Developers</t>
  </si>
  <si>
    <t>UAT Support - Testers</t>
  </si>
  <si>
    <t>UAT Sprint</t>
  </si>
  <si>
    <t>weeks</t>
  </si>
  <si>
    <t>Total no of sprints</t>
  </si>
  <si>
    <t>Architecture &amp; Design Sprint</t>
  </si>
  <si>
    <t>Construction Sprint</t>
  </si>
  <si>
    <t>QA Testing Sprint</t>
  </si>
  <si>
    <t>QA Support Sprint</t>
  </si>
  <si>
    <t>UAT Testing</t>
  </si>
  <si>
    <t>No of UAT Testers</t>
  </si>
  <si>
    <t>sprints</t>
  </si>
  <si>
    <t>Production &amp; Post Production Support</t>
  </si>
  <si>
    <t>SPRINT PLAN</t>
  </si>
  <si>
    <t>RESOURCE PLAN</t>
  </si>
  <si>
    <t>Production &amp; Post Production Support %</t>
  </si>
  <si>
    <t>Testing Support - Developers</t>
  </si>
  <si>
    <t>Production &amp; Post Production Sprint</t>
  </si>
  <si>
    <t>resources</t>
  </si>
  <si>
    <t>Production  &amp; Post Production Support</t>
  </si>
  <si>
    <t>QA Testing Support - Developers</t>
  </si>
  <si>
    <t>Week No</t>
  </si>
  <si>
    <t>Estimated Start Date</t>
  </si>
  <si>
    <t>Estimated End Date</t>
  </si>
  <si>
    <t>Testing Schedule</t>
  </si>
  <si>
    <t>UAT Schedule</t>
  </si>
  <si>
    <t>Development Schedule</t>
  </si>
  <si>
    <t>Production Schedule</t>
  </si>
  <si>
    <t>Total Schedule</t>
  </si>
  <si>
    <t>Design Schedule</t>
  </si>
  <si>
    <t>SCHEDULE PLAN</t>
  </si>
  <si>
    <t>EFFORT PLAN</t>
  </si>
  <si>
    <t>hours</t>
  </si>
  <si>
    <t>Architect</t>
  </si>
  <si>
    <t>Onsite</t>
  </si>
  <si>
    <t>Offshore</t>
  </si>
  <si>
    <t>UX Designer</t>
  </si>
  <si>
    <t>UI Developer</t>
  </si>
  <si>
    <t>QA Tester</t>
  </si>
  <si>
    <t>Designation</t>
  </si>
  <si>
    <t>Location</t>
  </si>
  <si>
    <t>Rate Card</t>
  </si>
  <si>
    <t>Task</t>
  </si>
  <si>
    <t>Effort(Hrs)</t>
  </si>
  <si>
    <t>Onsite Effort</t>
  </si>
  <si>
    <t>Architects</t>
  </si>
  <si>
    <t>Designers</t>
  </si>
  <si>
    <t>Project Managers</t>
  </si>
  <si>
    <t>QA testers</t>
  </si>
  <si>
    <t>Developers</t>
  </si>
  <si>
    <t>QA Support - Developers</t>
  </si>
  <si>
    <t>Resources</t>
  </si>
  <si>
    <t>Onsite Effort(hrs)</t>
  </si>
  <si>
    <t>Offshore Effort(hrs)</t>
  </si>
  <si>
    <t>Onsite Cost($)</t>
  </si>
  <si>
    <t>Offshore Cost($)</t>
  </si>
  <si>
    <t>Cost Saved due to Offshoring</t>
  </si>
  <si>
    <t>Cost if developed at Onsite</t>
  </si>
  <si>
    <t>Client Name</t>
  </si>
  <si>
    <t>Project Name</t>
  </si>
  <si>
    <t>Total Estimated Effort (hrs)</t>
  </si>
  <si>
    <t>Effort saved due to Sirius Assets</t>
  </si>
  <si>
    <t>Total Costs</t>
  </si>
  <si>
    <t>Cost Saved due to Sirius Offshore</t>
  </si>
  <si>
    <t>Total Costs($)</t>
  </si>
  <si>
    <t>Cost saved due to Sirius Offshore</t>
  </si>
  <si>
    <t>PROPOSAL SUMMARY</t>
  </si>
  <si>
    <t>Week Starting on</t>
  </si>
  <si>
    <t>Mattel</t>
  </si>
  <si>
    <t>AG</t>
  </si>
  <si>
    <t>Business Domain</t>
  </si>
  <si>
    <t>Users</t>
  </si>
  <si>
    <t>Type of App</t>
  </si>
  <si>
    <t>Operating System</t>
  </si>
  <si>
    <t>iOS</t>
  </si>
  <si>
    <t>Android</t>
  </si>
  <si>
    <t>Windows</t>
  </si>
  <si>
    <t>Screen Complexity</t>
  </si>
  <si>
    <t>No of Screens</t>
  </si>
  <si>
    <t>Effort Factor</t>
  </si>
  <si>
    <t>Simple</t>
  </si>
  <si>
    <t>No of Widgets Used</t>
  </si>
  <si>
    <t>Native Features</t>
  </si>
  <si>
    <t>User Management</t>
  </si>
  <si>
    <t>Integration</t>
  </si>
  <si>
    <t>Security Requirements</t>
  </si>
  <si>
    <t>External API Integration</t>
  </si>
  <si>
    <t>Type of Integration</t>
  </si>
  <si>
    <t>Technology Used</t>
  </si>
  <si>
    <t>Domain Specific Use cases</t>
  </si>
  <si>
    <t>Use Case</t>
  </si>
  <si>
    <t>Custom Features &amp; Functionalities</t>
  </si>
  <si>
    <t>Total Development Effort</t>
  </si>
  <si>
    <t>Analysis</t>
  </si>
  <si>
    <t>Other Effort</t>
  </si>
  <si>
    <t>Environment Setup</t>
  </si>
  <si>
    <t>Production Support</t>
  </si>
  <si>
    <t>Post Production Support</t>
  </si>
  <si>
    <t>Buffer</t>
  </si>
  <si>
    <t>QA Effort</t>
  </si>
  <si>
    <t>Environment Setup (Applicable  for Hybrid)</t>
  </si>
  <si>
    <t>Estimation(Minimum)</t>
  </si>
  <si>
    <t>Buttons</t>
  </si>
  <si>
    <t xml:space="preserve">Form fields </t>
  </si>
  <si>
    <t>Validations</t>
  </si>
  <si>
    <t>UI Widgets</t>
  </si>
  <si>
    <t>Static Data</t>
  </si>
  <si>
    <t>Dynamic Data</t>
  </si>
  <si>
    <t>Gestures</t>
  </si>
  <si>
    <t>Animations</t>
  </si>
  <si>
    <t>Simple Screen</t>
  </si>
  <si>
    <t>No</t>
  </si>
  <si>
    <t>Yes</t>
  </si>
  <si>
    <t xml:space="preserve">No </t>
  </si>
  <si>
    <t>Medium Screen</t>
  </si>
  <si>
    <t>yes</t>
  </si>
  <si>
    <t>Complex Screen</t>
  </si>
  <si>
    <t>&gt; 6</t>
  </si>
  <si>
    <t>Native iOS</t>
  </si>
  <si>
    <t>Native Android</t>
  </si>
  <si>
    <t xml:space="preserve">Screens </t>
  </si>
  <si>
    <t xml:space="preserve">Simple </t>
  </si>
  <si>
    <t xml:space="preserve">medium </t>
  </si>
  <si>
    <t xml:space="preserve">Complex </t>
  </si>
  <si>
    <t>Time</t>
  </si>
  <si>
    <t>Complex</t>
  </si>
  <si>
    <t xml:space="preserve">Native Features </t>
  </si>
  <si>
    <t>MultiLingual Support</t>
  </si>
  <si>
    <t>Static Data (For Each Language)</t>
  </si>
  <si>
    <t>Login Requirements</t>
  </si>
  <si>
    <t>Simple Custom Login with Local DB</t>
  </si>
  <si>
    <t>Login With Facebook/Google</t>
  </si>
  <si>
    <t>Integration with LDAP</t>
  </si>
  <si>
    <t>SSL</t>
  </si>
  <si>
    <t>Integration with ISAM</t>
  </si>
  <si>
    <t>2-Factor Authentication</t>
  </si>
  <si>
    <t>Custom Data Encryption</t>
  </si>
  <si>
    <t>OS Support</t>
  </si>
  <si>
    <t xml:space="preserve">Each of the Older versions </t>
  </si>
  <si>
    <t xml:space="preserve">Third Party Integrations </t>
  </si>
  <si>
    <t>REST Services (for Each Service)</t>
  </si>
  <si>
    <t>SOAP Services (for each service)</t>
  </si>
  <si>
    <t xml:space="preserve"> Business logic (Business Rules/Role Based Rules)</t>
  </si>
  <si>
    <t>Analysis &amp; Design Effort</t>
  </si>
  <si>
    <t>Test case Creation</t>
  </si>
  <si>
    <t>QA Testing</t>
  </si>
  <si>
    <t>Billing Rate</t>
  </si>
  <si>
    <t>Onsite developer</t>
  </si>
  <si>
    <t>Offshore Developer</t>
  </si>
  <si>
    <t>Development Model</t>
  </si>
  <si>
    <t>Security Drop Down Values</t>
  </si>
  <si>
    <t>OS Support Values</t>
  </si>
  <si>
    <t>Assets</t>
  </si>
  <si>
    <t>App Functionality</t>
  </si>
  <si>
    <t>App OS</t>
  </si>
  <si>
    <t>Application Type</t>
  </si>
  <si>
    <t>Base Effort</t>
  </si>
  <si>
    <t>No of Widgets</t>
  </si>
  <si>
    <t>External API</t>
  </si>
  <si>
    <t>Retail</t>
  </si>
  <si>
    <t>Agents/Brokers</t>
  </si>
  <si>
    <t>Products Catalog</t>
  </si>
  <si>
    <t>Internal</t>
  </si>
  <si>
    <t>SOAP</t>
  </si>
  <si>
    <t>Google</t>
  </si>
  <si>
    <t>Buy Policy</t>
  </si>
  <si>
    <t>Healthcare</t>
  </si>
  <si>
    <t>Sales</t>
  </si>
  <si>
    <t>Account Management</t>
  </si>
  <si>
    <t>External - Public</t>
  </si>
  <si>
    <t>REST</t>
  </si>
  <si>
    <t>LinkedIn</t>
  </si>
  <si>
    <t>Pay Policy</t>
  </si>
  <si>
    <t>Life Insurance</t>
  </si>
  <si>
    <t>Customers</t>
  </si>
  <si>
    <t>Payment</t>
  </si>
  <si>
    <t>External - Custom</t>
  </si>
  <si>
    <t>Facebook</t>
  </si>
  <si>
    <t>Create Claim</t>
  </si>
  <si>
    <t>Auto Insurance</t>
  </si>
  <si>
    <t>Providers</t>
  </si>
  <si>
    <t>Customer Service</t>
  </si>
  <si>
    <t>LDAP</t>
  </si>
  <si>
    <t>View Claim Status</t>
  </si>
  <si>
    <t>Banking</t>
  </si>
  <si>
    <t>Underwriters</t>
  </si>
  <si>
    <t>E-Commerce</t>
  </si>
  <si>
    <t>Electrical Components</t>
  </si>
  <si>
    <t>Claim Specialists</t>
  </si>
  <si>
    <t>Manufacturing &amp; Logistics</t>
  </si>
  <si>
    <t>Utilities</t>
  </si>
  <si>
    <t>Team Distribution</t>
  </si>
  <si>
    <t>Factor</t>
  </si>
  <si>
    <t>Insurance Specific Use cases</t>
  </si>
  <si>
    <t>Web</t>
  </si>
  <si>
    <t>Param</t>
  </si>
  <si>
    <t>Effort Saved due to Sirius Assets</t>
  </si>
  <si>
    <t>% of Effort saved</t>
  </si>
  <si>
    <t>No of Integrations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</si>
</sst>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m/d/yy;@"/>
    <numFmt numFmtId="168" formatCode="0;\-0;;@"/>
    <numFmt numFmtId="169" formatCode="_(* #,##0_);_(* \(#,##0\);_(* &quot;&quot;??_);_(@_)"/>
    <numFmt numFmtId="170" formatCode="0.0%"/>
    <numFmt numFmtId="171" formatCode="0.0"/>
    <numFmt numFmtId="172" formatCode="[$-409]d\-mmm;@"/>
    <numFmt numFmtId="173" formatCode="[$-409]d\-mmm\-yy;@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  <font>
      <b/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theme="1" tint="0.249977111117893"/>
      <name val="Calibri"/>
      <family val="2"/>
      <charset val="136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0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9" tint="0.39997558519241921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0"/>
      </top>
      <bottom style="thin">
        <color theme="9" tint="0.39997558519241921"/>
      </bottom>
      <diagonal/>
    </border>
    <border>
      <left style="thin">
        <color theme="0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0"/>
      </left>
      <right style="thin">
        <color theme="9" tint="0.39997558519241921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9" fillId="0" borderId="0">
      <alignment vertical="center"/>
    </xf>
    <xf numFmtId="38" fontId="16" fillId="0" borderId="0" applyProtection="0"/>
    <xf numFmtId="0" fontId="15" fillId="0" borderId="0"/>
    <xf numFmtId="0" fontId="15" fillId="0" borderId="0"/>
    <xf numFmtId="0" fontId="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5" fillId="8" borderId="0" xfId="0" applyFont="1" applyFill="1"/>
    <xf numFmtId="0" fontId="0" fillId="8" borderId="0" xfId="0" applyFill="1"/>
    <xf numFmtId="0" fontId="0" fillId="9" borderId="0" xfId="0" applyFill="1"/>
    <xf numFmtId="0" fontId="4" fillId="10" borderId="0" xfId="0" applyFont="1" applyFill="1"/>
    <xf numFmtId="0" fontId="4" fillId="11" borderId="0" xfId="0" applyFont="1" applyFill="1"/>
    <xf numFmtId="0" fontId="9" fillId="0" borderId="0" xfId="99" applyProtection="1"/>
    <xf numFmtId="3" fontId="8" fillId="14" borderId="1" xfId="99" applyNumberFormat="1" applyFont="1" applyFill="1" applyBorder="1" applyProtection="1"/>
    <xf numFmtId="0" fontId="8" fillId="14" borderId="1" xfId="99" applyFont="1" applyFill="1" applyBorder="1" applyAlignment="1" applyProtection="1">
      <alignment horizontal="right"/>
    </xf>
    <xf numFmtId="3" fontId="9" fillId="0" borderId="1" xfId="99" applyNumberFormat="1" applyFont="1" applyFill="1" applyBorder="1" applyProtection="1"/>
    <xf numFmtId="3" fontId="9" fillId="0" borderId="1" xfId="99" applyNumberFormat="1" applyFont="1" applyBorder="1" applyProtection="1"/>
    <xf numFmtId="169" fontId="9" fillId="0" borderId="1" xfId="99" applyNumberFormat="1" applyFont="1" applyFill="1" applyBorder="1" applyProtection="1"/>
    <xf numFmtId="168" fontId="9" fillId="0" borderId="1" xfId="99" applyNumberFormat="1" applyFont="1" applyBorder="1" applyProtection="1"/>
    <xf numFmtId="167" fontId="14" fillId="8" borderId="1" xfId="99" applyNumberFormat="1" applyFont="1" applyFill="1" applyBorder="1" applyAlignment="1" applyProtection="1">
      <alignment horizontal="center" textRotation="90"/>
    </xf>
    <xf numFmtId="0" fontId="8" fillId="0" borderId="0" xfId="99" applyFont="1" applyAlignment="1" applyProtection="1">
      <alignment vertical="top"/>
    </xf>
    <xf numFmtId="3" fontId="8" fillId="0" borderId="0" xfId="99" applyNumberFormat="1" applyFont="1" applyFill="1" applyBorder="1" applyProtection="1"/>
    <xf numFmtId="3" fontId="9" fillId="0" borderId="0" xfId="99" applyNumberFormat="1" applyFont="1" applyFill="1" applyBorder="1" applyProtection="1"/>
    <xf numFmtId="3" fontId="9" fillId="0" borderId="0" xfId="99" applyNumberFormat="1" applyFill="1" applyBorder="1" applyProtection="1"/>
    <xf numFmtId="3" fontId="9" fillId="12" borderId="1" xfId="99" applyNumberFormat="1" applyFont="1" applyFill="1" applyBorder="1" applyProtection="1">
      <protection locked="0"/>
    </xf>
    <xf numFmtId="0" fontId="9" fillId="0" borderId="1" xfId="99" applyBorder="1" applyProtection="1"/>
    <xf numFmtId="0" fontId="9" fillId="0" borderId="1" xfId="99" applyFont="1" applyBorder="1" applyProtection="1"/>
    <xf numFmtId="0" fontId="12" fillId="0" borderId="0" xfId="99" applyFont="1" applyProtection="1"/>
    <xf numFmtId="0" fontId="6" fillId="8" borderId="1" xfId="99" applyFont="1" applyFill="1" applyBorder="1" applyAlignment="1" applyProtection="1">
      <alignment horizontal="left"/>
    </xf>
    <xf numFmtId="167" fontId="12" fillId="8" borderId="1" xfId="99" applyNumberFormat="1" applyFont="1" applyFill="1" applyBorder="1" applyAlignment="1" applyProtection="1">
      <alignment horizontal="center" textRotation="90"/>
    </xf>
    <xf numFmtId="167" fontId="12" fillId="8" borderId="2" xfId="99" applyNumberFormat="1" applyFont="1" applyFill="1" applyBorder="1" applyAlignment="1" applyProtection="1">
      <alignment horizontal="center" textRotation="90"/>
    </xf>
    <xf numFmtId="167" fontId="12" fillId="12" borderId="2" xfId="99" applyNumberFormat="1" applyFont="1" applyFill="1" applyBorder="1" applyAlignment="1" applyProtection="1">
      <alignment horizontal="center" textRotation="90"/>
      <protection locked="0"/>
    </xf>
    <xf numFmtId="0" fontId="6" fillId="8" borderId="2" xfId="99" applyFont="1" applyFill="1" applyBorder="1" applyAlignment="1" applyProtection="1"/>
    <xf numFmtId="0" fontId="6" fillId="8" borderId="1" xfId="99" applyFont="1" applyFill="1" applyBorder="1" applyAlignment="1" applyProtection="1"/>
    <xf numFmtId="0" fontId="11" fillId="0" borderId="0" xfId="99" applyFont="1" applyFill="1" applyBorder="1" applyAlignment="1" applyProtection="1">
      <alignment horizontal="center"/>
    </xf>
    <xf numFmtId="0" fontId="8" fillId="8" borderId="2" xfId="99" applyFont="1" applyFill="1" applyBorder="1" applyAlignment="1" applyProtection="1"/>
    <xf numFmtId="0" fontId="11" fillId="0" borderId="2" xfId="99" applyFont="1" applyFill="1" applyBorder="1" applyAlignment="1" applyProtection="1">
      <alignment horizontal="center"/>
    </xf>
    <xf numFmtId="0" fontId="11" fillId="0" borderId="1" xfId="99" applyFont="1" applyFill="1" applyBorder="1" applyAlignment="1" applyProtection="1">
      <alignment horizontal="center"/>
    </xf>
    <xf numFmtId="0" fontId="10" fillId="0" borderId="0" xfId="99" applyFont="1" applyFill="1" applyBorder="1" applyAlignment="1" applyProtection="1">
      <alignment horizontal="center"/>
    </xf>
    <xf numFmtId="0" fontId="6" fillId="0" borderId="0" xfId="99" applyFont="1" applyFill="1" applyBorder="1" applyAlignment="1" applyProtection="1">
      <alignment horizontal="left"/>
    </xf>
    <xf numFmtId="3" fontId="9" fillId="0" borderId="0" xfId="99" applyNumberFormat="1" applyFont="1" applyFill="1" applyBorder="1" applyAlignment="1" applyProtection="1">
      <alignment horizontal="center"/>
    </xf>
    <xf numFmtId="0" fontId="9" fillId="0" borderId="0" xfId="99" applyFont="1" applyFill="1" applyBorder="1" applyAlignment="1" applyProtection="1">
      <alignment horizontal="right"/>
    </xf>
    <xf numFmtId="0" fontId="9" fillId="0" borderId="0" xfId="99" applyFont="1" applyFill="1" applyBorder="1" applyAlignment="1" applyProtection="1">
      <alignment horizontal="left"/>
      <protection locked="0"/>
    </xf>
    <xf numFmtId="0" fontId="8" fillId="0" borderId="0" xfId="99" applyFont="1" applyFill="1" applyBorder="1" applyAlignment="1" applyProtection="1">
      <alignment horizontal="right"/>
    </xf>
    <xf numFmtId="0" fontId="9" fillId="13" borderId="0" xfId="99" applyFont="1" applyFill="1" applyBorder="1" applyAlignment="1" applyProtection="1">
      <alignment horizontal="left"/>
      <protection locked="0"/>
    </xf>
    <xf numFmtId="0" fontId="7" fillId="12" borderId="0" xfId="99" applyFont="1" applyFill="1" applyBorder="1" applyAlignment="1" applyProtection="1">
      <alignment horizontal="left" textRotation="90"/>
      <protection locked="0"/>
    </xf>
    <xf numFmtId="0" fontId="8" fillId="8" borderId="2" xfId="99" applyFont="1" applyFill="1" applyBorder="1" applyAlignment="1" applyProtection="1">
      <alignment horizontal="left"/>
    </xf>
    <xf numFmtId="3" fontId="9" fillId="0" borderId="2" xfId="99" applyNumberFormat="1" applyFont="1" applyFill="1" applyBorder="1" applyProtection="1"/>
    <xf numFmtId="3" fontId="8" fillId="14" borderId="2" xfId="99" applyNumberFormat="1" applyFont="1" applyFill="1" applyBorder="1" applyProtection="1"/>
    <xf numFmtId="0" fontId="9" fillId="0" borderId="0" xfId="99" applyFill="1" applyBorder="1" applyProtection="1"/>
    <xf numFmtId="167" fontId="14" fillId="0" borderId="0" xfId="99" applyNumberFormat="1" applyFont="1" applyFill="1" applyBorder="1" applyAlignment="1" applyProtection="1">
      <alignment horizontal="center" textRotation="90"/>
    </xf>
    <xf numFmtId="0" fontId="8" fillId="0" borderId="0" xfId="99" applyFont="1" applyFill="1" applyBorder="1" applyAlignment="1" applyProtection="1">
      <alignment horizontal="left"/>
    </xf>
    <xf numFmtId="0" fontId="17" fillId="0" borderId="0" xfId="0" applyFont="1"/>
    <xf numFmtId="9" fontId="0" fillId="0" borderId="0" xfId="0" applyNumberFormat="1"/>
    <xf numFmtId="0" fontId="9" fillId="0" borderId="0" xfId="0" applyFont="1" applyAlignment="1">
      <alignment wrapText="1"/>
    </xf>
    <xf numFmtId="0" fontId="9" fillId="0" borderId="0" xfId="0" applyFont="1" applyAlignment="1"/>
    <xf numFmtId="170" fontId="0" fillId="0" borderId="0" xfId="150" applyNumberFormat="1" applyFont="1"/>
    <xf numFmtId="10" fontId="0" fillId="0" borderId="0" xfId="150" applyNumberFormat="1" applyFont="1"/>
    <xf numFmtId="171" fontId="0" fillId="0" borderId="0" xfId="0" applyNumberForma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172" fontId="0" fillId="0" borderId="0" xfId="0" applyNumberFormat="1"/>
    <xf numFmtId="172" fontId="17" fillId="8" borderId="0" xfId="0" applyNumberFormat="1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1" fontId="17" fillId="16" borderId="0" xfId="0" applyNumberFormat="1" applyFont="1" applyFill="1"/>
    <xf numFmtId="171" fontId="18" fillId="11" borderId="0" xfId="0" applyNumberFormat="1" applyFont="1" applyFill="1"/>
    <xf numFmtId="173" fontId="0" fillId="0" borderId="0" xfId="0" applyNumberFormat="1"/>
    <xf numFmtId="0" fontId="17" fillId="0" borderId="0" xfId="0" applyFont="1" applyAlignment="1">
      <alignment horizontal="center"/>
    </xf>
    <xf numFmtId="171" fontId="17" fillId="0" borderId="0" xfId="0" applyNumberFormat="1" applyFont="1"/>
    <xf numFmtId="173" fontId="0" fillId="7" borderId="0" xfId="0" applyNumberFormat="1" applyFill="1"/>
    <xf numFmtId="0" fontId="18" fillId="11" borderId="0" xfId="0" applyFont="1" applyFill="1" applyAlignment="1">
      <alignment horizontal="center" vertical="center"/>
    </xf>
    <xf numFmtId="0" fontId="17" fillId="0" borderId="4" xfId="0" applyFont="1" applyBorder="1"/>
    <xf numFmtId="0" fontId="0" fillId="18" borderId="5" xfId="0" applyFont="1" applyFill="1" applyBorder="1"/>
    <xf numFmtId="0" fontId="0" fillId="0" borderId="5" xfId="0" applyFont="1" applyBorder="1"/>
    <xf numFmtId="0" fontId="0" fillId="18" borderId="6" xfId="0" applyFont="1" applyFill="1" applyBorder="1"/>
    <xf numFmtId="171" fontId="0" fillId="18" borderId="6" xfId="0" applyNumberFormat="1" applyFont="1" applyFill="1" applyBorder="1"/>
    <xf numFmtId="1" fontId="0" fillId="18" borderId="6" xfId="0" applyNumberFormat="1" applyFont="1" applyFill="1" applyBorder="1"/>
    <xf numFmtId="0" fontId="17" fillId="0" borderId="10" xfId="0" applyFont="1" applyBorder="1"/>
    <xf numFmtId="171" fontId="17" fillId="0" borderId="10" xfId="0" applyNumberFormat="1" applyFont="1" applyBorder="1"/>
    <xf numFmtId="1" fontId="17" fillId="0" borderId="10" xfId="0" applyNumberFormat="1" applyFont="1" applyBorder="1"/>
    <xf numFmtId="0" fontId="0" fillId="0" borderId="6" xfId="0" applyFont="1" applyBorder="1"/>
    <xf numFmtId="1" fontId="0" fillId="0" borderId="6" xfId="0" applyNumberFormat="1" applyFont="1" applyBorder="1"/>
    <xf numFmtId="0" fontId="0" fillId="0" borderId="0" xfId="0" applyAlignment="1">
      <alignment wrapText="1"/>
    </xf>
    <xf numFmtId="10" fontId="0" fillId="18" borderId="13" xfId="150" applyNumberFormat="1" applyFont="1" applyFill="1" applyBorder="1" applyAlignment="1">
      <alignment wrapText="1"/>
    </xf>
    <xf numFmtId="171" fontId="0" fillId="18" borderId="7" xfId="0" applyNumberFormat="1" applyFont="1" applyFill="1" applyBorder="1" applyAlignment="1">
      <alignment wrapText="1"/>
    </xf>
    <xf numFmtId="171" fontId="0" fillId="0" borderId="9" xfId="0" applyNumberFormat="1" applyFont="1" applyBorder="1" applyAlignment="1">
      <alignment wrapText="1"/>
    </xf>
    <xf numFmtId="171" fontId="0" fillId="18" borderId="9" xfId="0" applyNumberFormat="1" applyFont="1" applyFill="1" applyBorder="1" applyAlignment="1">
      <alignment wrapText="1"/>
    </xf>
    <xf numFmtId="171" fontId="17" fillId="0" borderId="11" xfId="0" applyNumberFormat="1" applyFont="1" applyBorder="1" applyAlignment="1">
      <alignment wrapText="1"/>
    </xf>
    <xf numFmtId="0" fontId="18" fillId="17" borderId="5" xfId="0" applyFont="1" applyFill="1" applyBorder="1" applyAlignment="1">
      <alignment horizontal="center" vertical="center"/>
    </xf>
    <xf numFmtId="0" fontId="18" fillId="17" borderId="6" xfId="0" applyFont="1" applyFill="1" applyBorder="1" applyAlignment="1">
      <alignment horizontal="center" vertical="center"/>
    </xf>
    <xf numFmtId="0" fontId="18" fillId="17" borderId="5" xfId="0" applyFont="1" applyFill="1" applyBorder="1" applyAlignment="1">
      <alignment horizontal="center" vertical="center" wrapText="1"/>
    </xf>
    <xf numFmtId="0" fontId="18" fillId="17" borderId="12" xfId="0" applyFont="1" applyFill="1" applyBorder="1" applyAlignment="1">
      <alignment horizontal="center" vertical="center" wrapText="1"/>
    </xf>
    <xf numFmtId="10" fontId="17" fillId="0" borderId="0" xfId="0" applyNumberFormat="1" applyFont="1"/>
    <xf numFmtId="0" fontId="20" fillId="19" borderId="14" xfId="0" applyFont="1" applyFill="1" applyBorder="1"/>
    <xf numFmtId="0" fontId="20" fillId="19" borderId="8" xfId="0" applyFont="1" applyFill="1" applyBorder="1"/>
    <xf numFmtId="0" fontId="20" fillId="20" borderId="15" xfId="0" applyFont="1" applyFill="1" applyBorder="1"/>
    <xf numFmtId="0" fontId="20" fillId="20" borderId="3" xfId="0" applyFont="1" applyFill="1" applyBorder="1"/>
    <xf numFmtId="0" fontId="20" fillId="19" borderId="15" xfId="0" applyFont="1" applyFill="1" applyBorder="1"/>
    <xf numFmtId="0" fontId="20" fillId="19" borderId="3" xfId="0" applyFont="1" applyFill="1" applyBorder="1" applyAlignment="1">
      <alignment horizontal="left"/>
    </xf>
    <xf numFmtId="1" fontId="20" fillId="19" borderId="3" xfId="0" applyNumberFormat="1" applyFont="1" applyFill="1" applyBorder="1" applyAlignment="1">
      <alignment horizontal="left"/>
    </xf>
    <xf numFmtId="10" fontId="20" fillId="20" borderId="3" xfId="0" applyNumberFormat="1" applyFont="1" applyFill="1" applyBorder="1" applyAlignment="1">
      <alignment horizontal="left"/>
    </xf>
    <xf numFmtId="173" fontId="20" fillId="19" borderId="3" xfId="0" applyNumberFormat="1" applyFont="1" applyFill="1" applyBorder="1" applyAlignment="1">
      <alignment horizontal="left"/>
    </xf>
    <xf numFmtId="173" fontId="20" fillId="20" borderId="3" xfId="0" applyNumberFormat="1" applyFont="1" applyFill="1" applyBorder="1" applyAlignment="1">
      <alignment horizontal="left"/>
    </xf>
    <xf numFmtId="0" fontId="17" fillId="0" borderId="0" xfId="0" applyFont="1" applyAlignment="1">
      <alignment vertical="center"/>
    </xf>
    <xf numFmtId="0" fontId="17" fillId="8" borderId="1" xfId="0" applyFont="1" applyFill="1" applyBorder="1"/>
    <xf numFmtId="0" fontId="0" fillId="2" borderId="1" xfId="0" applyFill="1" applyBorder="1"/>
    <xf numFmtId="0" fontId="0" fillId="2" borderId="17" xfId="0" applyFill="1" applyBorder="1"/>
    <xf numFmtId="0" fontId="0" fillId="2" borderId="18" xfId="0" applyFill="1" applyBorder="1"/>
    <xf numFmtId="0" fontId="17" fillId="16" borderId="1" xfId="0" applyFont="1" applyFill="1" applyBorder="1"/>
    <xf numFmtId="0" fontId="0" fillId="16" borderId="1" xfId="0" applyFill="1" applyBorder="1"/>
    <xf numFmtId="0" fontId="0" fillId="0" borderId="0" xfId="0" applyFill="1" applyBorder="1"/>
    <xf numFmtId="0" fontId="0" fillId="0" borderId="0" xfId="0" applyFill="1"/>
    <xf numFmtId="0" fontId="17" fillId="24" borderId="1" xfId="0" applyFont="1" applyFill="1" applyBorder="1"/>
    <xf numFmtId="0" fontId="0" fillId="24" borderId="1" xfId="0" applyFill="1" applyBorder="1"/>
    <xf numFmtId="0" fontId="17" fillId="4" borderId="1" xfId="0" applyFont="1" applyFill="1" applyBorder="1"/>
    <xf numFmtId="0" fontId="0" fillId="4" borderId="1" xfId="0" applyFill="1" applyBorder="1"/>
    <xf numFmtId="0" fontId="17" fillId="27" borderId="1" xfId="0" applyFont="1" applyFill="1" applyBorder="1"/>
    <xf numFmtId="0" fontId="0" fillId="27" borderId="1" xfId="0" applyFill="1" applyBorder="1"/>
    <xf numFmtId="0" fontId="17" fillId="14" borderId="1" xfId="0" applyFont="1" applyFill="1" applyBorder="1"/>
    <xf numFmtId="0" fontId="0" fillId="14" borderId="1" xfId="0" applyFill="1" applyBorder="1"/>
    <xf numFmtId="0" fontId="17" fillId="7" borderId="1" xfId="0" applyFont="1" applyFill="1" applyBorder="1"/>
    <xf numFmtId="0" fontId="0" fillId="7" borderId="1" xfId="0" applyFill="1" applyBorder="1"/>
    <xf numFmtId="0" fontId="0" fillId="9" borderId="1" xfId="0" applyFill="1" applyBorder="1"/>
    <xf numFmtId="0" fontId="0" fillId="0" borderId="0" xfId="0" applyAlignment="1">
      <alignment horizontal="left" vertical="center" wrapText="1"/>
    </xf>
    <xf numFmtId="0" fontId="17" fillId="5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17" fillId="5" borderId="0" xfId="0" applyFont="1" applyFill="1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0" fontId="17" fillId="5" borderId="0" xfId="0" applyFont="1" applyFill="1" applyAlignment="1">
      <alignment vertical="center" wrapText="1"/>
    </xf>
    <xf numFmtId="0" fontId="5" fillId="0" borderId="0" xfId="0" applyFont="1"/>
    <xf numFmtId="0" fontId="0" fillId="0" borderId="0" xfId="0" applyNumberFormat="1"/>
    <xf numFmtId="0" fontId="17" fillId="29" borderId="19" xfId="0" applyFont="1" applyFill="1" applyBorder="1" applyAlignment="1"/>
    <xf numFmtId="0" fontId="17" fillId="29" borderId="0" xfId="0" applyFont="1" applyFill="1"/>
    <xf numFmtId="0" fontId="0" fillId="3" borderId="1" xfId="0" applyFill="1" applyBorder="1"/>
    <xf numFmtId="0" fontId="17" fillId="3" borderId="1" xfId="0" applyFont="1" applyFill="1" applyBorder="1"/>
    <xf numFmtId="0" fontId="4" fillId="0" borderId="0" xfId="0" applyFont="1"/>
    <xf numFmtId="170" fontId="20" fillId="20" borderId="3" xfId="0" applyNumberFormat="1" applyFont="1" applyFill="1" applyBorder="1" applyAlignment="1">
      <alignment horizontal="left"/>
    </xf>
    <xf numFmtId="0" fontId="21" fillId="21" borderId="0" xfId="0" applyFont="1" applyFill="1" applyAlignment="1">
      <alignment horizontal="center" vertical="center"/>
    </xf>
    <xf numFmtId="0" fontId="21" fillId="21" borderId="16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7" fillId="25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/>
    </xf>
    <xf numFmtId="0" fontId="17" fillId="28" borderId="20" xfId="0" applyFont="1" applyFill="1" applyBorder="1" applyAlignment="1">
      <alignment horizontal="center"/>
    </xf>
    <xf numFmtId="0" fontId="17" fillId="28" borderId="21" xfId="0" applyFont="1" applyFill="1" applyBorder="1" applyAlignment="1">
      <alignment horizontal="center"/>
    </xf>
    <xf numFmtId="0" fontId="18" fillId="11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18" fillId="11" borderId="0" xfId="0" applyFont="1" applyFill="1" applyAlignment="1">
      <alignment horizontal="center" vertical="center"/>
    </xf>
    <xf numFmtId="0" fontId="8" fillId="8" borderId="1" xfId="99" applyFont="1" applyFill="1" applyBorder="1" applyAlignment="1" applyProtection="1">
      <alignment horizontal="center"/>
    </xf>
    <xf numFmtId="0" fontId="8" fillId="0" borderId="0" xfId="99" applyFont="1" applyFill="1" applyBorder="1" applyAlignment="1" applyProtection="1">
      <alignment horizontal="center"/>
    </xf>
    <xf numFmtId="0" fontId="8" fillId="8" borderId="2" xfId="99" applyFont="1" applyFill="1" applyBorder="1" applyAlignment="1" applyProtection="1">
      <alignment horizontal="center"/>
    </xf>
    <xf numFmtId="0" fontId="19" fillId="15" borderId="0" xfId="0" applyFont="1" applyFill="1" applyAlignment="1">
      <alignment horizontal="left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6" fillId="0" borderId="0" xfId="0" applyFont="1"/>
  </cellXfs>
  <cellStyles count="153">
    <cellStyle name="Comma 2" xfId="100"/>
    <cellStyle name="Currency 2" xfId="101"/>
    <cellStyle name="Currency 2 2" xfId="10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1" builtinId="8" hidden="1"/>
    <cellStyle name="Normal" xfId="0" builtinId="0"/>
    <cellStyle name="Normal 2" xfId="99"/>
    <cellStyle name="Normal 2 2" xfId="103"/>
    <cellStyle name="Normal 3" xfId="104"/>
    <cellStyle name="Normal 4" xfId="105"/>
    <cellStyle name="Normal 4 2" xfId="106"/>
    <cellStyle name="Normal 5" xfId="107"/>
    <cellStyle name="Percent" xfId="150" builtinId="5"/>
  </cellStyles>
  <dxfs count="1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-0.499984740745262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nricigliano/Downloads/Avnet%20Est%20Model%20-%20%20Hitach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bile%20App%20Estimation%20V1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structure"/>
      <sheetName val="Inventory"/>
      <sheetName val="Portal Dev"/>
      <sheetName val="Other Dev"/>
      <sheetName val="Project Parameters"/>
      <sheetName val="Team Estimates"/>
      <sheetName val="Summary"/>
    </sheetNames>
    <sheetDataSet>
      <sheetData sheetId="0">
        <row r="1">
          <cell r="A1" t="str">
            <v>Template version: Beta 12.5</v>
          </cell>
        </row>
      </sheetData>
      <sheetData sheetId="1"/>
      <sheetData sheetId="2">
        <row r="32">
          <cell r="D32" t="str">
            <v>Very Low</v>
          </cell>
        </row>
        <row r="33">
          <cell r="D33" t="str">
            <v>Low</v>
          </cell>
        </row>
        <row r="34">
          <cell r="D34" t="str">
            <v>Medium</v>
          </cell>
        </row>
        <row r="35">
          <cell r="D35" t="str">
            <v>High</v>
          </cell>
        </row>
        <row r="36">
          <cell r="D36" t="str">
            <v>Very High</v>
          </cell>
        </row>
      </sheetData>
      <sheetData sheetId="3"/>
      <sheetData sheetId="4"/>
      <sheetData sheetId="5">
        <row r="29">
          <cell r="B29">
            <v>1226.6100000000001</v>
          </cell>
          <cell r="C29">
            <v>160.64999999999998</v>
          </cell>
          <cell r="D29">
            <v>1387.2600000000002</v>
          </cell>
        </row>
        <row r="33">
          <cell r="A33" t="str">
            <v>Business Analyst</v>
          </cell>
        </row>
        <row r="34">
          <cell r="A34" t="str">
            <v>Business Architect</v>
          </cell>
        </row>
        <row r="35">
          <cell r="A35" t="str">
            <v>User Experience Architect</v>
          </cell>
        </row>
        <row r="36">
          <cell r="A36" t="str">
            <v>Creative Designer</v>
          </cell>
        </row>
        <row r="37">
          <cell r="A37" t="str">
            <v>Solution Architect</v>
          </cell>
        </row>
        <row r="38">
          <cell r="A38" t="str">
            <v>Domain Architect</v>
          </cell>
        </row>
        <row r="39">
          <cell r="A39" t="str">
            <v>Developer - Onshore</v>
          </cell>
        </row>
        <row r="40">
          <cell r="A40" t="str">
            <v>Developer - Offshore</v>
          </cell>
        </row>
        <row r="41">
          <cell r="A41" t="str">
            <v>Dev Lead - Offshore</v>
          </cell>
        </row>
        <row r="42">
          <cell r="A42" t="str">
            <v>UI Developer - Onshore</v>
          </cell>
        </row>
        <row r="43">
          <cell r="A43" t="str">
            <v>UI Developer - Offshore</v>
          </cell>
        </row>
        <row r="44">
          <cell r="A44" t="str">
            <v>QA Lead</v>
          </cell>
        </row>
        <row r="45">
          <cell r="A45" t="str">
            <v>Functional Tester - Onshore</v>
          </cell>
        </row>
        <row r="46">
          <cell r="A46" t="str">
            <v>Functional Tester - Offshore</v>
          </cell>
        </row>
        <row r="47">
          <cell r="A47" t="str">
            <v>QA Lead - Offshore</v>
          </cell>
        </row>
        <row r="48">
          <cell r="A48" t="str">
            <v>Performance Tester</v>
          </cell>
        </row>
        <row r="49">
          <cell r="A49" t="str">
            <v>Configuration Manager</v>
          </cell>
        </row>
        <row r="50">
          <cell r="A50" t="str">
            <v>Infrastructure Specialist</v>
          </cell>
        </row>
        <row r="51">
          <cell r="A51" t="str">
            <v xml:space="preserve">Delivery Center - Coordinator </v>
          </cell>
        </row>
        <row r="52">
          <cell r="A52" t="str">
            <v>UI Developer - Delivery Centre</v>
          </cell>
        </row>
        <row r="53">
          <cell r="A53" t="str">
            <v>QA Lead - Delovery Centre</v>
          </cell>
        </row>
        <row r="54">
          <cell r="A54" t="str">
            <v>Developer - Delivery Centre</v>
          </cell>
        </row>
        <row r="56">
          <cell r="A56" t="str">
            <v>Project Manager</v>
          </cell>
        </row>
        <row r="57">
          <cell r="A57" t="str">
            <v>Delivery Executive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Estimator"/>
      <sheetName val="Sheet1"/>
      <sheetName val="Sheet4"/>
      <sheetName val="Sheet3"/>
      <sheetName val="Looku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13"/>
  <sheetViews>
    <sheetView workbookViewId="0">
      <selection activeCell="G18" sqref="G18"/>
    </sheetView>
  </sheetViews>
  <sheetFormatPr baseColWidth="10" defaultRowHeight="16" x14ac:dyDescent="0.2"/>
  <cols>
    <col min="6" max="6" width="50.83203125" customWidth="1"/>
    <col min="7" max="7" width="26.33203125" customWidth="1"/>
  </cols>
  <sheetData>
    <row r="4" spans="6:7" x14ac:dyDescent="0.2">
      <c r="F4" s="140" t="s">
        <v>238</v>
      </c>
      <c r="G4" s="140"/>
    </row>
    <row r="5" spans="6:7" ht="17" thickBot="1" x14ac:dyDescent="0.25">
      <c r="F5" s="141"/>
      <c r="G5" s="141"/>
    </row>
    <row r="6" spans="6:7" ht="27" thickTop="1" x14ac:dyDescent="0.3">
      <c r="F6" s="94" t="s">
        <v>230</v>
      </c>
      <c r="G6" s="95" t="s">
        <v>240</v>
      </c>
    </row>
    <row r="7" spans="6:7" ht="26" x14ac:dyDescent="0.3">
      <c r="F7" s="96" t="s">
        <v>231</v>
      </c>
      <c r="G7" s="97" t="s">
        <v>241</v>
      </c>
    </row>
    <row r="8" spans="6:7" ht="26" x14ac:dyDescent="0.3">
      <c r="F8" s="98" t="s">
        <v>232</v>
      </c>
      <c r="G8" s="99">
        <f>'Effort Estimates'!C12</f>
        <v>3417</v>
      </c>
    </row>
    <row r="9" spans="6:7" ht="26" x14ac:dyDescent="0.3">
      <c r="F9" s="96" t="s">
        <v>233</v>
      </c>
      <c r="G9" s="139">
        <f>Estimator!C72</f>
        <v>3.8888888888888896E-2</v>
      </c>
    </row>
    <row r="10" spans="6:7" ht="26" x14ac:dyDescent="0.3">
      <c r="F10" s="98" t="s">
        <v>236</v>
      </c>
      <c r="G10" s="100">
        <f>'Cost Estimates'!D13</f>
        <v>135302.39999999999</v>
      </c>
    </row>
    <row r="11" spans="6:7" ht="26" x14ac:dyDescent="0.3">
      <c r="F11" s="96" t="s">
        <v>237</v>
      </c>
      <c r="G11" s="101">
        <f>'Cost Estimates'!D14</f>
        <v>0.67211055276381892</v>
      </c>
    </row>
    <row r="12" spans="6:7" ht="26" x14ac:dyDescent="0.3">
      <c r="F12" s="98" t="s">
        <v>194</v>
      </c>
      <c r="G12" s="102">
        <f>Plan!B19</f>
        <v>42767</v>
      </c>
    </row>
    <row r="13" spans="6:7" ht="26" x14ac:dyDescent="0.3">
      <c r="F13" s="96" t="s">
        <v>195</v>
      </c>
      <c r="G13" s="103">
        <f>Plan!B20</f>
        <v>42949</v>
      </c>
    </row>
  </sheetData>
  <mergeCells count="1">
    <mergeCell ref="F4:G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zoomScale="125" zoomScaleNormal="125" zoomScalePageLayoutView="125" workbookViewId="0">
      <selection activeCell="T4" sqref="T4"/>
    </sheetView>
  </sheetViews>
  <sheetFormatPr baseColWidth="10" defaultRowHeight="16" x14ac:dyDescent="0.2"/>
  <cols>
    <col min="1" max="1" width="16" bestFit="1" customWidth="1"/>
    <col min="3" max="3" width="14.1640625" bestFit="1" customWidth="1"/>
    <col min="4" max="4" width="12.83203125" bestFit="1" customWidth="1"/>
    <col min="5" max="5" width="18.5" bestFit="1" customWidth="1"/>
    <col min="7" max="7" width="18" bestFit="1" customWidth="1"/>
    <col min="8" max="8" width="17.83203125" bestFit="1" customWidth="1"/>
    <col min="9" max="9" width="14.6640625" bestFit="1" customWidth="1"/>
    <col min="10" max="10" width="14.83203125" bestFit="1" customWidth="1"/>
    <col min="11" max="11" width="21.5" bestFit="1" customWidth="1"/>
    <col min="12" max="12" width="14.83203125" bestFit="1" customWidth="1"/>
    <col min="13" max="15" width="15.6640625" customWidth="1"/>
    <col min="16" max="16" width="23.83203125" bestFit="1" customWidth="1"/>
    <col min="17" max="17" width="40.6640625" customWidth="1"/>
    <col min="22" max="22" width="18.33203125" customWidth="1"/>
    <col min="32" max="32" width="26.1640625" customWidth="1"/>
    <col min="35" max="35" width="19.33203125" bestFit="1" customWidth="1"/>
    <col min="36" max="36" width="8.6640625" customWidth="1"/>
    <col min="38" max="38" width="12.33203125" customWidth="1"/>
  </cols>
  <sheetData>
    <row r="1" spans="1:37" x14ac:dyDescent="0.2">
      <c r="A1" t="s">
        <v>1</v>
      </c>
      <c r="B1" t="s">
        <v>2</v>
      </c>
      <c r="C1" t="s">
        <v>5</v>
      </c>
      <c r="D1" t="s">
        <v>7</v>
      </c>
      <c r="E1" t="s">
        <v>14</v>
      </c>
      <c r="F1" t="s">
        <v>20</v>
      </c>
      <c r="G1" t="s">
        <v>32</v>
      </c>
      <c r="H1" t="s">
        <v>38</v>
      </c>
      <c r="I1" t="s">
        <v>39</v>
      </c>
      <c r="J1" t="s">
        <v>45</v>
      </c>
      <c r="K1" t="s">
        <v>49</v>
      </c>
      <c r="L1" t="s">
        <v>58</v>
      </c>
      <c r="M1" t="s">
        <v>63</v>
      </c>
      <c r="N1" t="s">
        <v>216</v>
      </c>
      <c r="O1" t="s">
        <v>364</v>
      </c>
      <c r="P1" t="s">
        <v>85</v>
      </c>
      <c r="Q1" t="s">
        <v>167</v>
      </c>
      <c r="R1" s="52" t="s">
        <v>144</v>
      </c>
      <c r="S1" s="52" t="s">
        <v>145</v>
      </c>
      <c r="T1" s="52" t="s">
        <v>146</v>
      </c>
      <c r="W1" s="52" t="s">
        <v>21</v>
      </c>
      <c r="X1" s="52" t="s">
        <v>22</v>
      </c>
      <c r="Y1" s="52" t="s">
        <v>23</v>
      </c>
      <c r="Z1" s="52" t="s">
        <v>24</v>
      </c>
      <c r="AA1" s="52" t="s">
        <v>25</v>
      </c>
      <c r="AI1" s="52" t="s">
        <v>211</v>
      </c>
      <c r="AJ1" s="52" t="s">
        <v>212</v>
      </c>
      <c r="AK1" s="52" t="s">
        <v>213</v>
      </c>
    </row>
    <row r="2" spans="1:37" x14ac:dyDescent="0.2">
      <c r="A2" t="s">
        <v>0</v>
      </c>
      <c r="B2" t="s">
        <v>3</v>
      </c>
      <c r="C2" t="s">
        <v>6</v>
      </c>
      <c r="D2" t="s">
        <v>8</v>
      </c>
      <c r="E2" t="s">
        <v>15</v>
      </c>
      <c r="F2" t="s">
        <v>21</v>
      </c>
      <c r="G2" t="s">
        <v>33</v>
      </c>
      <c r="H2" t="s">
        <v>73</v>
      </c>
      <c r="I2" t="s">
        <v>40</v>
      </c>
      <c r="J2" t="s">
        <v>40</v>
      </c>
      <c r="K2" t="s">
        <v>40</v>
      </c>
      <c r="L2" t="s">
        <v>59</v>
      </c>
      <c r="M2" t="s">
        <v>64</v>
      </c>
      <c r="N2" s="53">
        <v>1</v>
      </c>
      <c r="O2" s="133">
        <v>1</v>
      </c>
      <c r="P2" t="s">
        <v>86</v>
      </c>
      <c r="V2" t="s">
        <v>15</v>
      </c>
      <c r="W2">
        <v>4</v>
      </c>
      <c r="X2">
        <v>8</v>
      </c>
      <c r="Y2">
        <v>16</v>
      </c>
      <c r="Z2">
        <v>40</v>
      </c>
      <c r="AA2">
        <v>80</v>
      </c>
      <c r="AC2" t="s">
        <v>0</v>
      </c>
      <c r="AD2">
        <v>1</v>
      </c>
      <c r="AF2" s="10" t="s">
        <v>76</v>
      </c>
      <c r="AG2" s="10">
        <v>40</v>
      </c>
      <c r="AI2" t="s">
        <v>114</v>
      </c>
      <c r="AJ2" t="s">
        <v>206</v>
      </c>
      <c r="AK2">
        <v>140</v>
      </c>
    </row>
    <row r="3" spans="1:37" x14ac:dyDescent="0.2">
      <c r="A3" t="s">
        <v>37</v>
      </c>
      <c r="B3" t="s">
        <v>4</v>
      </c>
      <c r="C3" t="s">
        <v>11</v>
      </c>
      <c r="D3" t="s">
        <v>9</v>
      </c>
      <c r="E3" t="s">
        <v>16</v>
      </c>
      <c r="F3" t="s">
        <v>22</v>
      </c>
      <c r="G3" t="s">
        <v>34</v>
      </c>
      <c r="H3" t="s">
        <v>72</v>
      </c>
      <c r="I3" t="s">
        <v>41</v>
      </c>
      <c r="J3" t="s">
        <v>46</v>
      </c>
      <c r="K3" t="s">
        <v>50</v>
      </c>
      <c r="L3" t="s">
        <v>60</v>
      </c>
      <c r="M3" t="s">
        <v>66</v>
      </c>
      <c r="N3" s="53">
        <v>0.8</v>
      </c>
      <c r="O3" s="133">
        <v>1.1000000000000001</v>
      </c>
      <c r="P3" t="s">
        <v>87</v>
      </c>
      <c r="Q3" t="s">
        <v>147</v>
      </c>
      <c r="R3" s="53">
        <v>0.33</v>
      </c>
      <c r="S3" s="54">
        <v>40</v>
      </c>
      <c r="T3">
        <f>S3*R3</f>
        <v>13.200000000000001</v>
      </c>
      <c r="V3" t="s">
        <v>16</v>
      </c>
      <c r="W3">
        <v>4</v>
      </c>
      <c r="X3">
        <v>8</v>
      </c>
      <c r="Y3">
        <v>16</v>
      </c>
      <c r="Z3">
        <v>40</v>
      </c>
      <c r="AA3">
        <v>80</v>
      </c>
      <c r="AC3" t="s">
        <v>37</v>
      </c>
      <c r="AD3">
        <v>1.2</v>
      </c>
      <c r="AF3" s="7" t="s">
        <v>77</v>
      </c>
      <c r="AG3" s="8">
        <v>20</v>
      </c>
      <c r="AI3" t="s">
        <v>114</v>
      </c>
      <c r="AJ3" t="s">
        <v>207</v>
      </c>
      <c r="AK3">
        <v>40</v>
      </c>
    </row>
    <row r="4" spans="1:37" x14ac:dyDescent="0.2">
      <c r="A4" t="s">
        <v>71</v>
      </c>
      <c r="C4" t="s">
        <v>12</v>
      </c>
      <c r="D4" t="s">
        <v>10</v>
      </c>
      <c r="E4" t="s">
        <v>18</v>
      </c>
      <c r="F4" t="s">
        <v>23</v>
      </c>
      <c r="G4" t="s">
        <v>35</v>
      </c>
      <c r="H4" t="s">
        <v>17</v>
      </c>
      <c r="I4" t="s">
        <v>42</v>
      </c>
      <c r="J4" t="s">
        <v>47</v>
      </c>
      <c r="K4" t="s">
        <v>51</v>
      </c>
      <c r="L4" t="s">
        <v>61</v>
      </c>
      <c r="M4" t="s">
        <v>67</v>
      </c>
      <c r="N4" s="53">
        <v>0.2</v>
      </c>
      <c r="O4" s="133">
        <v>1.2</v>
      </c>
      <c r="P4" t="s">
        <v>88</v>
      </c>
      <c r="Q4" t="s">
        <v>148</v>
      </c>
      <c r="R4" s="53">
        <v>0.4</v>
      </c>
      <c r="S4" s="55">
        <v>16</v>
      </c>
      <c r="T4">
        <f t="shared" ref="T4:T22" si="0">S4*R4</f>
        <v>6.4</v>
      </c>
      <c r="V4" t="s">
        <v>18</v>
      </c>
      <c r="W4">
        <v>4</v>
      </c>
      <c r="X4">
        <v>8</v>
      </c>
      <c r="Y4">
        <v>16</v>
      </c>
      <c r="Z4">
        <v>40</v>
      </c>
      <c r="AA4">
        <v>80</v>
      </c>
      <c r="AC4" t="s">
        <v>71</v>
      </c>
      <c r="AD4">
        <v>0.93</v>
      </c>
      <c r="AF4" s="9" t="s">
        <v>81</v>
      </c>
      <c r="AG4" s="9">
        <v>20</v>
      </c>
      <c r="AI4" t="s">
        <v>205</v>
      </c>
      <c r="AJ4" t="s">
        <v>206</v>
      </c>
      <c r="AK4">
        <v>120</v>
      </c>
    </row>
    <row r="5" spans="1:37" x14ac:dyDescent="0.2">
      <c r="A5" t="s">
        <v>70</v>
      </c>
      <c r="C5" t="s">
        <v>13</v>
      </c>
      <c r="D5" t="s">
        <v>13</v>
      </c>
      <c r="E5" t="s">
        <v>19</v>
      </c>
      <c r="F5" t="s">
        <v>24</v>
      </c>
      <c r="G5" t="s">
        <v>43</v>
      </c>
      <c r="H5" t="s">
        <v>44</v>
      </c>
      <c r="I5" t="s">
        <v>13</v>
      </c>
      <c r="J5" t="s">
        <v>48</v>
      </c>
      <c r="K5" t="s">
        <v>68</v>
      </c>
      <c r="L5" t="s">
        <v>62</v>
      </c>
      <c r="M5" t="s">
        <v>65</v>
      </c>
      <c r="N5" s="53">
        <v>0</v>
      </c>
      <c r="O5" s="133">
        <v>1.3</v>
      </c>
      <c r="P5" t="s">
        <v>89</v>
      </c>
      <c r="Q5" t="s">
        <v>149</v>
      </c>
      <c r="R5" s="53">
        <v>0.6</v>
      </c>
      <c r="S5" s="55">
        <v>12</v>
      </c>
      <c r="T5">
        <f t="shared" si="0"/>
        <v>7.1999999999999993</v>
      </c>
      <c r="V5" t="s">
        <v>19</v>
      </c>
      <c r="W5">
        <v>4</v>
      </c>
      <c r="X5">
        <v>8</v>
      </c>
      <c r="Y5">
        <v>16</v>
      </c>
      <c r="Z5">
        <v>40</v>
      </c>
      <c r="AA5">
        <v>80</v>
      </c>
      <c r="AC5" t="s">
        <v>70</v>
      </c>
      <c r="AD5">
        <v>0.95</v>
      </c>
      <c r="AF5" s="3" t="s">
        <v>83</v>
      </c>
      <c r="AG5" s="3">
        <v>20</v>
      </c>
      <c r="AI5" t="s">
        <v>205</v>
      </c>
      <c r="AJ5" t="s">
        <v>207</v>
      </c>
      <c r="AK5">
        <v>40</v>
      </c>
    </row>
    <row r="6" spans="1:37" x14ac:dyDescent="0.2">
      <c r="E6" t="s">
        <v>26</v>
      </c>
      <c r="F6" t="s">
        <v>25</v>
      </c>
      <c r="G6" t="s">
        <v>13</v>
      </c>
      <c r="H6" t="s">
        <v>40</v>
      </c>
      <c r="J6" t="s">
        <v>36</v>
      </c>
      <c r="K6" t="s">
        <v>69</v>
      </c>
      <c r="Q6" t="s">
        <v>150</v>
      </c>
      <c r="R6" s="53">
        <v>0.4</v>
      </c>
      <c r="S6" s="55">
        <v>80</v>
      </c>
      <c r="T6">
        <f t="shared" si="0"/>
        <v>32</v>
      </c>
      <c r="V6" t="s">
        <v>26</v>
      </c>
      <c r="W6">
        <v>4</v>
      </c>
      <c r="X6">
        <v>8</v>
      </c>
      <c r="Y6">
        <v>16</v>
      </c>
      <c r="Z6">
        <v>40</v>
      </c>
      <c r="AA6">
        <v>80</v>
      </c>
      <c r="AF6" t="s">
        <v>187</v>
      </c>
      <c r="AG6">
        <v>2</v>
      </c>
      <c r="AI6" t="s">
        <v>208</v>
      </c>
      <c r="AJ6" t="s">
        <v>206</v>
      </c>
      <c r="AK6">
        <v>120</v>
      </c>
    </row>
    <row r="7" spans="1:37" x14ac:dyDescent="0.2">
      <c r="E7" t="s">
        <v>27</v>
      </c>
      <c r="G7" t="s">
        <v>40</v>
      </c>
      <c r="K7" t="s">
        <v>13</v>
      </c>
      <c r="Q7" t="s">
        <v>151</v>
      </c>
      <c r="R7" s="53">
        <v>0.5</v>
      </c>
      <c r="S7" s="55">
        <v>24</v>
      </c>
      <c r="T7">
        <f t="shared" si="0"/>
        <v>12</v>
      </c>
      <c r="V7" t="s">
        <v>27</v>
      </c>
      <c r="W7">
        <v>4</v>
      </c>
      <c r="X7">
        <v>8</v>
      </c>
      <c r="Y7">
        <v>16</v>
      </c>
      <c r="Z7">
        <v>40</v>
      </c>
      <c r="AA7">
        <v>80</v>
      </c>
      <c r="AF7" t="s">
        <v>188</v>
      </c>
      <c r="AG7">
        <v>10</v>
      </c>
      <c r="AI7" t="s">
        <v>208</v>
      </c>
      <c r="AJ7" t="s">
        <v>207</v>
      </c>
      <c r="AK7">
        <v>40</v>
      </c>
    </row>
    <row r="8" spans="1:37" x14ac:dyDescent="0.2">
      <c r="E8" t="s">
        <v>28</v>
      </c>
      <c r="Q8" t="s">
        <v>152</v>
      </c>
      <c r="R8" s="53">
        <v>0.5</v>
      </c>
      <c r="S8" s="55">
        <v>16</v>
      </c>
      <c r="T8">
        <f t="shared" si="0"/>
        <v>8</v>
      </c>
      <c r="V8" t="s">
        <v>28</v>
      </c>
      <c r="W8">
        <v>40</v>
      </c>
      <c r="X8">
        <v>80</v>
      </c>
      <c r="Y8">
        <v>160</v>
      </c>
      <c r="Z8">
        <v>400</v>
      </c>
      <c r="AA8">
        <v>800</v>
      </c>
      <c r="AF8" t="s">
        <v>172</v>
      </c>
      <c r="AG8">
        <v>5</v>
      </c>
      <c r="AI8" t="s">
        <v>209</v>
      </c>
      <c r="AJ8" t="s">
        <v>206</v>
      </c>
      <c r="AK8">
        <v>120</v>
      </c>
    </row>
    <row r="9" spans="1:37" x14ac:dyDescent="0.2">
      <c r="E9" t="s">
        <v>29</v>
      </c>
      <c r="Q9" t="s">
        <v>153</v>
      </c>
      <c r="R9" s="53">
        <v>0.4</v>
      </c>
      <c r="S9" s="55">
        <v>24</v>
      </c>
      <c r="T9">
        <f t="shared" si="0"/>
        <v>9.6000000000000014</v>
      </c>
      <c r="V9" t="s">
        <v>29</v>
      </c>
      <c r="W9">
        <v>4</v>
      </c>
      <c r="X9">
        <v>8</v>
      </c>
      <c r="Y9">
        <v>16</v>
      </c>
      <c r="Z9">
        <v>40</v>
      </c>
      <c r="AA9">
        <v>80</v>
      </c>
      <c r="AF9" t="s">
        <v>173</v>
      </c>
      <c r="AG9">
        <v>5</v>
      </c>
      <c r="AI9" t="s">
        <v>209</v>
      </c>
      <c r="AJ9" t="s">
        <v>207</v>
      </c>
      <c r="AK9">
        <v>40</v>
      </c>
    </row>
    <row r="10" spans="1:37" x14ac:dyDescent="0.2">
      <c r="E10" t="s">
        <v>30</v>
      </c>
      <c r="Q10" t="s">
        <v>154</v>
      </c>
      <c r="R10" s="53">
        <v>0.7</v>
      </c>
      <c r="S10" s="55">
        <v>24</v>
      </c>
      <c r="T10">
        <f t="shared" si="0"/>
        <v>16.799999999999997</v>
      </c>
      <c r="V10" t="s">
        <v>30</v>
      </c>
      <c r="W10">
        <v>4</v>
      </c>
      <c r="X10">
        <v>8</v>
      </c>
      <c r="Y10">
        <v>16</v>
      </c>
      <c r="Z10">
        <v>40</v>
      </c>
      <c r="AA10">
        <v>80</v>
      </c>
      <c r="AF10" t="s">
        <v>181</v>
      </c>
      <c r="AG10">
        <v>5</v>
      </c>
      <c r="AI10" t="s">
        <v>210</v>
      </c>
      <c r="AJ10" t="s">
        <v>206</v>
      </c>
      <c r="AK10">
        <v>120</v>
      </c>
    </row>
    <row r="11" spans="1:37" x14ac:dyDescent="0.2">
      <c r="E11" t="s">
        <v>31</v>
      </c>
      <c r="Q11" t="s">
        <v>155</v>
      </c>
      <c r="R11" s="53">
        <v>0.2</v>
      </c>
      <c r="S11" s="55">
        <v>20</v>
      </c>
      <c r="T11">
        <f t="shared" si="0"/>
        <v>4</v>
      </c>
      <c r="V11" t="s">
        <v>31</v>
      </c>
      <c r="W11">
        <v>4</v>
      </c>
      <c r="X11">
        <v>8</v>
      </c>
      <c r="Y11">
        <v>16</v>
      </c>
      <c r="Z11">
        <v>40</v>
      </c>
      <c r="AA11">
        <v>80</v>
      </c>
      <c r="AI11" t="s">
        <v>210</v>
      </c>
      <c r="AJ11" t="s">
        <v>207</v>
      </c>
      <c r="AK11">
        <v>40</v>
      </c>
    </row>
    <row r="12" spans="1:37" x14ac:dyDescent="0.2">
      <c r="E12" t="s">
        <v>52</v>
      </c>
      <c r="Q12" t="s">
        <v>156</v>
      </c>
      <c r="R12" s="53">
        <v>0.2</v>
      </c>
      <c r="S12" s="55">
        <v>20</v>
      </c>
      <c r="T12">
        <f t="shared" si="0"/>
        <v>4</v>
      </c>
      <c r="V12" t="s">
        <v>52</v>
      </c>
      <c r="W12">
        <v>4</v>
      </c>
      <c r="X12">
        <v>8</v>
      </c>
      <c r="Y12">
        <v>16</v>
      </c>
      <c r="Z12">
        <v>40</v>
      </c>
      <c r="AA12">
        <v>80</v>
      </c>
    </row>
    <row r="13" spans="1:37" x14ac:dyDescent="0.2">
      <c r="E13" t="s">
        <v>54</v>
      </c>
      <c r="Q13" t="s">
        <v>157</v>
      </c>
      <c r="R13" s="53">
        <v>0.2</v>
      </c>
      <c r="S13" s="55">
        <v>28</v>
      </c>
      <c r="T13">
        <f t="shared" si="0"/>
        <v>5.6000000000000005</v>
      </c>
      <c r="V13" t="s">
        <v>54</v>
      </c>
      <c r="W13">
        <v>4</v>
      </c>
      <c r="X13">
        <v>8</v>
      </c>
      <c r="Y13">
        <v>16</v>
      </c>
      <c r="Z13">
        <v>40</v>
      </c>
      <c r="AA13">
        <v>80</v>
      </c>
    </row>
    <row r="14" spans="1:37" x14ac:dyDescent="0.2">
      <c r="E14" t="s">
        <v>53</v>
      </c>
      <c r="Q14" t="s">
        <v>158</v>
      </c>
      <c r="R14" s="53">
        <v>0.5</v>
      </c>
      <c r="S14" s="55">
        <v>24</v>
      </c>
      <c r="T14">
        <f t="shared" si="0"/>
        <v>12</v>
      </c>
      <c r="V14" t="s">
        <v>53</v>
      </c>
      <c r="W14">
        <v>10</v>
      </c>
      <c r="X14">
        <v>20</v>
      </c>
      <c r="Y14">
        <v>30</v>
      </c>
      <c r="Z14">
        <v>50</v>
      </c>
      <c r="AA14">
        <v>60</v>
      </c>
    </row>
    <row r="15" spans="1:37" x14ac:dyDescent="0.2">
      <c r="E15" t="s">
        <v>55</v>
      </c>
      <c r="Q15" t="s">
        <v>159</v>
      </c>
      <c r="R15" s="53">
        <v>0.6</v>
      </c>
      <c r="S15" s="55">
        <v>30</v>
      </c>
      <c r="T15">
        <f t="shared" si="0"/>
        <v>18</v>
      </c>
      <c r="V15" t="s">
        <v>55</v>
      </c>
      <c r="W15">
        <v>4</v>
      </c>
      <c r="X15">
        <v>8</v>
      </c>
      <c r="Y15">
        <v>16</v>
      </c>
      <c r="Z15">
        <v>40</v>
      </c>
      <c r="AA15">
        <v>80</v>
      </c>
    </row>
    <row r="16" spans="1:37" x14ac:dyDescent="0.2">
      <c r="E16" t="s">
        <v>56</v>
      </c>
      <c r="Q16" t="s">
        <v>160</v>
      </c>
      <c r="R16" s="53">
        <v>0.6</v>
      </c>
      <c r="S16" s="55">
        <v>16</v>
      </c>
      <c r="T16">
        <f t="shared" si="0"/>
        <v>9.6</v>
      </c>
      <c r="V16" t="s">
        <v>56</v>
      </c>
      <c r="W16">
        <v>4</v>
      </c>
      <c r="X16">
        <v>8</v>
      </c>
      <c r="Y16">
        <v>16</v>
      </c>
      <c r="Z16">
        <v>40</v>
      </c>
      <c r="AA16">
        <v>80</v>
      </c>
    </row>
    <row r="17" spans="5:27" x14ac:dyDescent="0.2">
      <c r="E17" t="s">
        <v>57</v>
      </c>
      <c r="Q17" t="s">
        <v>161</v>
      </c>
      <c r="R17" s="53">
        <v>0.1</v>
      </c>
      <c r="S17" s="55">
        <v>12</v>
      </c>
      <c r="T17">
        <f t="shared" si="0"/>
        <v>1.2000000000000002</v>
      </c>
      <c r="V17" t="s">
        <v>57</v>
      </c>
      <c r="W17">
        <v>4</v>
      </c>
      <c r="X17">
        <v>8</v>
      </c>
      <c r="Y17">
        <v>16</v>
      </c>
      <c r="Z17">
        <v>40</v>
      </c>
      <c r="AA17">
        <v>80</v>
      </c>
    </row>
    <row r="18" spans="5:27" x14ac:dyDescent="0.2">
      <c r="Q18" t="s">
        <v>162</v>
      </c>
      <c r="R18" s="53">
        <v>0.1</v>
      </c>
      <c r="S18" s="55">
        <v>12</v>
      </c>
      <c r="T18">
        <f t="shared" si="0"/>
        <v>1.2000000000000002</v>
      </c>
    </row>
    <row r="19" spans="5:27" x14ac:dyDescent="0.2">
      <c r="Q19" t="s">
        <v>163</v>
      </c>
      <c r="R19" s="53">
        <v>0.6</v>
      </c>
      <c r="S19" s="55">
        <v>24</v>
      </c>
      <c r="T19">
        <f t="shared" si="0"/>
        <v>14.399999999999999</v>
      </c>
    </row>
    <row r="20" spans="5:27" x14ac:dyDescent="0.2">
      <c r="Q20" t="s">
        <v>164</v>
      </c>
      <c r="R20" s="53">
        <v>0.8</v>
      </c>
      <c r="S20" s="55">
        <v>12</v>
      </c>
      <c r="T20">
        <f t="shared" si="0"/>
        <v>9.6000000000000014</v>
      </c>
    </row>
    <row r="21" spans="5:27" x14ac:dyDescent="0.2">
      <c r="Q21" t="s">
        <v>165</v>
      </c>
      <c r="R21" s="53">
        <v>0.8</v>
      </c>
      <c r="S21" s="55">
        <v>16</v>
      </c>
      <c r="T21">
        <f t="shared" si="0"/>
        <v>12.8</v>
      </c>
    </row>
    <row r="22" spans="5:27" x14ac:dyDescent="0.2">
      <c r="Q22" t="s">
        <v>166</v>
      </c>
      <c r="R22" s="53">
        <v>0.3</v>
      </c>
      <c r="S22" s="55">
        <v>20</v>
      </c>
      <c r="T22">
        <f t="shared" si="0"/>
        <v>6</v>
      </c>
    </row>
  </sheetData>
  <dataConsolidate/>
  <dataValidations disablePrompts="1" count="1">
    <dataValidation type="list" allowBlank="1" showInputMessage="1" showErrorMessage="1" sqref="A2:A4 AC2:AC4">
      <formula1>$A$2:$A$5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2"/>
  <sheetViews>
    <sheetView tabSelected="1" workbookViewId="0">
      <selection activeCell="C37" sqref="C37"/>
    </sheetView>
  </sheetViews>
  <sheetFormatPr baseColWidth="10" defaultRowHeight="16" x14ac:dyDescent="0.2"/>
  <cols>
    <col min="1" max="1" width="24" customWidth="1"/>
    <col min="2" max="2" width="16.5" customWidth="1"/>
    <col min="3" max="3" width="16" customWidth="1"/>
  </cols>
  <sheetData>
    <row r="2" spans="1:3" x14ac:dyDescent="0.2">
      <c r="A2" s="105" t="s">
        <v>242</v>
      </c>
      <c r="B2" s="106" t="s">
        <v>331</v>
      </c>
    </row>
    <row r="3" spans="1:3" x14ac:dyDescent="0.2">
      <c r="A3" s="107"/>
      <c r="B3" s="108"/>
    </row>
    <row r="4" spans="1:3" x14ac:dyDescent="0.2">
      <c r="A4" s="105" t="s">
        <v>243</v>
      </c>
      <c r="B4" s="106" t="s">
        <v>346</v>
      </c>
    </row>
    <row r="5" spans="1:3" x14ac:dyDescent="0.2">
      <c r="A5" s="107"/>
      <c r="B5" s="108"/>
    </row>
    <row r="6" spans="1:3" x14ac:dyDescent="0.2">
      <c r="A6" s="105" t="s">
        <v>244</v>
      </c>
      <c r="B6" s="106" t="s">
        <v>333</v>
      </c>
    </row>
    <row r="7" spans="1:3" x14ac:dyDescent="0.2">
      <c r="A7" s="107"/>
      <c r="B7" s="108"/>
    </row>
    <row r="8" spans="1:3" x14ac:dyDescent="0.2">
      <c r="A8" s="144" t="s">
        <v>245</v>
      </c>
      <c r="B8" s="106" t="s">
        <v>366</v>
      </c>
      <c r="C8" s="160">
        <f>IF(B8="","", VLOOKUP(B8,Lookup!$I$2:$J$5,2,0))</f>
        <v>20</v>
      </c>
    </row>
    <row r="9" spans="1:3" x14ac:dyDescent="0.2">
      <c r="A9" s="144"/>
      <c r="B9" s="106" t="s">
        <v>246</v>
      </c>
      <c r="C9" s="160">
        <f>IF(B9="","", VLOOKUP(B9,Lookup!$I$2:$J$5,2,0))</f>
        <v>8</v>
      </c>
    </row>
    <row r="10" spans="1:3" x14ac:dyDescent="0.2">
      <c r="A10" s="144"/>
      <c r="B10" s="106" t="s">
        <v>247</v>
      </c>
      <c r="C10" s="160">
        <f>IF(B10="","", VLOOKUP(B10,Lookup!$I$2:$J$5,2,0))</f>
        <v>12</v>
      </c>
    </row>
    <row r="12" spans="1:3" x14ac:dyDescent="0.2">
      <c r="A12" s="137" t="s">
        <v>363</v>
      </c>
      <c r="B12" s="136" t="s">
        <v>65</v>
      </c>
    </row>
    <row r="13" spans="1:3" x14ac:dyDescent="0.2">
      <c r="A13" s="52"/>
    </row>
    <row r="14" spans="1:3" x14ac:dyDescent="0.2">
      <c r="A14" s="145" t="s">
        <v>249</v>
      </c>
      <c r="B14" s="145"/>
      <c r="C14" s="145"/>
    </row>
    <row r="15" spans="1:3" x14ac:dyDescent="0.2">
      <c r="A15" s="109" t="s">
        <v>20</v>
      </c>
      <c r="B15" s="109" t="s">
        <v>250</v>
      </c>
      <c r="C15" s="109" t="s">
        <v>251</v>
      </c>
    </row>
    <row r="16" spans="1:3" x14ac:dyDescent="0.2">
      <c r="A16" s="110" t="s">
        <v>252</v>
      </c>
      <c r="B16" s="110">
        <v>3</v>
      </c>
      <c r="C16" s="110">
        <f>IF(A16="","", VLOOKUP(A16,Lookup!$K$2:$L$4,2,0))</f>
        <v>1</v>
      </c>
    </row>
    <row r="17" spans="1:3" x14ac:dyDescent="0.2">
      <c r="A17" s="110" t="s">
        <v>297</v>
      </c>
      <c r="B17" s="110">
        <v>2</v>
      </c>
      <c r="C17" s="110">
        <f>IF(A17="","", VLOOKUP(A17,Lookup!$K$2:$L$4,2,0))</f>
        <v>1.6</v>
      </c>
    </row>
    <row r="18" spans="1:3" x14ac:dyDescent="0.2">
      <c r="A18" s="110"/>
      <c r="B18" s="110"/>
      <c r="C18" s="110" t="str">
        <f>IF(A18="","", VLOOKUP(A18,Lookup!$K$2:$L$4,2,0))</f>
        <v/>
      </c>
    </row>
    <row r="19" spans="1:3" s="112" customFormat="1" x14ac:dyDescent="0.2">
      <c r="A19" s="111"/>
      <c r="B19" s="111"/>
      <c r="C19" s="111"/>
    </row>
    <row r="20" spans="1:3" x14ac:dyDescent="0.2">
      <c r="A20" s="146" t="s">
        <v>253</v>
      </c>
      <c r="B20" s="146"/>
      <c r="C20" s="146"/>
    </row>
    <row r="21" spans="1:3" x14ac:dyDescent="0.2">
      <c r="A21" s="113" t="s">
        <v>20</v>
      </c>
      <c r="B21" s="113" t="s">
        <v>250</v>
      </c>
      <c r="C21" s="113" t="s">
        <v>251</v>
      </c>
    </row>
    <row r="22" spans="1:3" x14ac:dyDescent="0.2">
      <c r="A22" s="114" t="s">
        <v>297</v>
      </c>
      <c r="B22" s="114">
        <v>4</v>
      </c>
      <c r="C22" s="114">
        <f>IF(A22="","",VLOOKUP(A22,Lookup!$M$2:$N$4,2,0))</f>
        <v>1.6</v>
      </c>
    </row>
    <row r="23" spans="1:3" x14ac:dyDescent="0.2">
      <c r="A23" s="114"/>
      <c r="B23" s="114"/>
      <c r="C23" s="114" t="str">
        <f>IF(A23="","",VLOOKUP(A23,Lookup!$M$2:$N$4,2,0))</f>
        <v/>
      </c>
    </row>
    <row r="24" spans="1:3" x14ac:dyDescent="0.2">
      <c r="A24" s="114"/>
      <c r="B24" s="114"/>
      <c r="C24" s="114" t="str">
        <f>IF(A24="","",VLOOKUP(A24,Lookup!$M$2:$N$4,2,0))</f>
        <v/>
      </c>
    </row>
    <row r="26" spans="1:3" x14ac:dyDescent="0.2">
      <c r="A26" s="143" t="s">
        <v>254</v>
      </c>
      <c r="B26" s="143"/>
      <c r="C26" s="143"/>
    </row>
    <row r="27" spans="1:3" x14ac:dyDescent="0.2">
      <c r="A27" s="115" t="s">
        <v>20</v>
      </c>
      <c r="B27" s="115" t="s">
        <v>250</v>
      </c>
      <c r="C27" s="115" t="s">
        <v>251</v>
      </c>
    </row>
    <row r="28" spans="1:3" x14ac:dyDescent="0.2">
      <c r="A28" s="116" t="s">
        <v>23</v>
      </c>
      <c r="B28" s="116">
        <v>6</v>
      </c>
      <c r="C28" s="116">
        <f>IF(A28="","",VLOOKUP(A28,Lookup!$O$2:$P$4,2,0))</f>
        <v>1.2</v>
      </c>
    </row>
    <row r="29" spans="1:3" x14ac:dyDescent="0.2">
      <c r="A29" s="116"/>
      <c r="B29" s="116"/>
      <c r="C29" s="116" t="str">
        <f>IF(A29="","",VLOOKUP(A29,Lookup!$O$2:$P$4,2,0))</f>
        <v/>
      </c>
    </row>
    <row r="30" spans="1:3" x14ac:dyDescent="0.2">
      <c r="A30" s="116"/>
      <c r="B30" s="116"/>
      <c r="C30" s="116" t="str">
        <f>IF(A30="","",VLOOKUP(A30,Lookup!$O$2:$P$4,2,0))</f>
        <v/>
      </c>
    </row>
    <row r="32" spans="1:3" x14ac:dyDescent="0.2">
      <c r="A32" s="147" t="s">
        <v>255</v>
      </c>
      <c r="B32" s="147"/>
      <c r="C32" s="147"/>
    </row>
    <row r="33" spans="1:4" x14ac:dyDescent="0.2">
      <c r="A33" s="117" t="s">
        <v>256</v>
      </c>
      <c r="B33" s="117" t="s">
        <v>20</v>
      </c>
      <c r="C33" s="117" t="s">
        <v>251</v>
      </c>
    </row>
    <row r="34" spans="1:4" x14ac:dyDescent="0.2">
      <c r="A34" s="118" t="s">
        <v>349</v>
      </c>
      <c r="B34" s="118"/>
      <c r="C34" s="118">
        <f>IF(A34="","",VLOOKUP(A34,Lookup!$Q$2:$R$5,2,0))</f>
        <v>1</v>
      </c>
    </row>
    <row r="35" spans="1:4" x14ac:dyDescent="0.2">
      <c r="A35" s="118"/>
      <c r="B35" s="118"/>
      <c r="C35" s="118" t="str">
        <f>IF(A35="","",VLOOKUP(A35,Lookup!$Q$2:$R$5,2,0))</f>
        <v/>
      </c>
    </row>
    <row r="37" spans="1:4" x14ac:dyDescent="0.2">
      <c r="A37" s="52" t="s">
        <v>257</v>
      </c>
      <c r="B37" t="s">
        <v>305</v>
      </c>
      <c r="C37" s="160">
        <f>VLOOKUP(B37,Lookup!$AB$2:$AC$5,2,0)</f>
        <v>1.2</v>
      </c>
    </row>
    <row r="39" spans="1:4" x14ac:dyDescent="0.2">
      <c r="A39" s="148" t="s">
        <v>258</v>
      </c>
      <c r="B39" s="149"/>
      <c r="C39" s="149"/>
      <c r="D39" s="149"/>
    </row>
    <row r="40" spans="1:4" x14ac:dyDescent="0.2">
      <c r="A40" s="119" t="s">
        <v>259</v>
      </c>
      <c r="B40" s="119" t="s">
        <v>260</v>
      </c>
      <c r="C40" s="119" t="s">
        <v>370</v>
      </c>
      <c r="D40" s="119" t="s">
        <v>251</v>
      </c>
    </row>
    <row r="41" spans="1:4" x14ac:dyDescent="0.2">
      <c r="A41" s="120" t="s">
        <v>341</v>
      </c>
      <c r="B41" s="120" t="s">
        <v>342</v>
      </c>
      <c r="C41" s="120">
        <v>1</v>
      </c>
      <c r="D41" s="120">
        <f>IF(A41="","",VLOOKUP(CONCATENATE(A41,B41),Lookup!$Z$1:$AA$7,2,0))</f>
        <v>1.2</v>
      </c>
    </row>
    <row r="42" spans="1:4" x14ac:dyDescent="0.2">
      <c r="A42" s="120"/>
      <c r="B42" s="120"/>
      <c r="C42" s="120"/>
      <c r="D42" s="120" t="str">
        <f>IF(A42="","",VLOOKUP(CONCATENATE(A42,B42),Lookup!$Z$1:$AA$7,2,0))</f>
        <v/>
      </c>
    </row>
    <row r="43" spans="1:4" x14ac:dyDescent="0.2">
      <c r="A43" s="120"/>
      <c r="B43" s="120"/>
      <c r="C43" s="120"/>
      <c r="D43" s="120" t="str">
        <f>IF(A43="","",VLOOKUP(CONCATENATE(A43,B43),Lookup!$Z$1:$AA$7,2,0))</f>
        <v/>
      </c>
    </row>
    <row r="45" spans="1:4" x14ac:dyDescent="0.2">
      <c r="A45" s="142" t="s">
        <v>261</v>
      </c>
      <c r="B45" s="142"/>
      <c r="C45" s="142"/>
    </row>
    <row r="46" spans="1:4" x14ac:dyDescent="0.2">
      <c r="A46" s="121" t="s">
        <v>262</v>
      </c>
      <c r="B46" s="121" t="s">
        <v>20</v>
      </c>
      <c r="C46" s="121" t="s">
        <v>251</v>
      </c>
    </row>
    <row r="47" spans="1:4" x14ac:dyDescent="0.2">
      <c r="A47" s="122" t="s">
        <v>337</v>
      </c>
      <c r="B47" s="122" t="str">
        <f>IF(A47="","",VLOOKUP(A47,Lookup!$U$2:$W$5,2,0))</f>
        <v>Medium</v>
      </c>
      <c r="C47" s="122">
        <f>IF(A47="","",VLOOKUP(A47,Lookup!$U$2:$W$5,3,0))</f>
        <v>1.2</v>
      </c>
    </row>
    <row r="48" spans="1:4" x14ac:dyDescent="0.2">
      <c r="A48" s="122"/>
      <c r="B48" s="122" t="str">
        <f>IF(A48="","",VLOOKUP(A48,Lookup!$U$2:$W$5,2,0))</f>
        <v/>
      </c>
      <c r="C48" s="122" t="str">
        <f>IF(A48="","",VLOOKUP(A48,Lookup!$U$2:$W$5,3,0))</f>
        <v/>
      </c>
    </row>
    <row r="49" spans="1:4" x14ac:dyDescent="0.2">
      <c r="A49" s="122"/>
      <c r="B49" s="122" t="str">
        <f>IF(A49="","",VLOOKUP(A49,Lookup!$U$2:$W$5,2,0))</f>
        <v/>
      </c>
      <c r="C49" s="122" t="str">
        <f>IF(A49="","",VLOOKUP(A49,Lookup!$U$2:$W$5,3,0))</f>
        <v/>
      </c>
    </row>
    <row r="50" spans="1:4" x14ac:dyDescent="0.2">
      <c r="A50" s="122"/>
      <c r="B50" s="122" t="str">
        <f>IF(A50="","",VLOOKUP(A50,Lookup!$U$2:$W$5,2,0))</f>
        <v/>
      </c>
      <c r="C50" s="122" t="str">
        <f>IF(A50="","",VLOOKUP(A50,Lookup!$U$2:$W$5,3,0))</f>
        <v/>
      </c>
    </row>
    <row r="51" spans="1:4" x14ac:dyDescent="0.2">
      <c r="A51" s="122"/>
      <c r="B51" s="122" t="str">
        <f>IF(A51="","",VLOOKUP(A51,Lookup!$U$2:$W$5,2,0))</f>
        <v/>
      </c>
      <c r="C51" s="122" t="str">
        <f>IF(A51="","",VLOOKUP(A51,Lookup!$U$2:$W$5,3,0))</f>
        <v/>
      </c>
    </row>
    <row r="52" spans="1:4" x14ac:dyDescent="0.2">
      <c r="A52" s="122"/>
      <c r="B52" s="122" t="str">
        <f>IF(A52="","",VLOOKUP(A52,Lookup!$U$2:$W$5,2,0))</f>
        <v/>
      </c>
      <c r="C52" s="122" t="str">
        <f>IF(A52="","",VLOOKUP(A52,Lookup!$U$2:$W$5,3,0))</f>
        <v/>
      </c>
    </row>
    <row r="53" spans="1:4" x14ac:dyDescent="0.2">
      <c r="A53" s="122"/>
      <c r="B53" s="122" t="str">
        <f>IF(A53="","",VLOOKUP(A53,Lookup!$U$2:$W$5,2,0))</f>
        <v/>
      </c>
      <c r="C53" s="122" t="str">
        <f>IF(A53="","",VLOOKUP(A53,Lookup!$U$2:$W$5,3,0))</f>
        <v/>
      </c>
    </row>
    <row r="55" spans="1:4" x14ac:dyDescent="0.2">
      <c r="A55" s="143" t="s">
        <v>263</v>
      </c>
      <c r="B55" s="143"/>
      <c r="C55" s="143"/>
    </row>
    <row r="56" spans="1:4" x14ac:dyDescent="0.2">
      <c r="A56" s="116" t="s">
        <v>150</v>
      </c>
      <c r="B56" s="115"/>
      <c r="C56" s="115">
        <f>IF(A56="",0,VLOOKUP(A56,Data!$Q$1:$T$22,3,0))</f>
        <v>80</v>
      </c>
      <c r="D56" s="138">
        <f>IF(A56="",0,VLOOKUP(A56,Data!$Q$1:$T$22,3,0))*(100%+IF(A56="",0,VLOOKUP(A56,Data!$Q$1:$T$22,2,0)))</f>
        <v>112</v>
      </c>
    </row>
    <row r="57" spans="1:4" x14ac:dyDescent="0.2">
      <c r="A57" s="116" t="s">
        <v>148</v>
      </c>
      <c r="B57" s="115"/>
      <c r="C57" s="115">
        <f>IF(A57="",0,VLOOKUP(A57,Data!$Q$1:$T$22,3,0))</f>
        <v>16</v>
      </c>
      <c r="D57" s="138">
        <f>IF(A57="",0,VLOOKUP(A57,Data!$Q$1:$T$22,3,0))*(100%+IF(A57="",0,VLOOKUP(A57,Data!$Q$1:$T$22,2,0)))</f>
        <v>22.4</v>
      </c>
    </row>
    <row r="58" spans="1:4" x14ac:dyDescent="0.2">
      <c r="A58" s="116" t="s">
        <v>151</v>
      </c>
      <c r="B58" s="115"/>
      <c r="C58" s="115">
        <f>IF(A58="",0,VLOOKUP(A58,Data!$Q$1:$T$22,3,0))</f>
        <v>24</v>
      </c>
      <c r="D58" s="138">
        <f>IF(A58="",0,VLOOKUP(A58,Data!$Q$1:$T$22,3,0))*(100%+IF(A58="",0,VLOOKUP(A58,Data!$Q$1:$T$22,2,0)))</f>
        <v>36</v>
      </c>
    </row>
    <row r="59" spans="1:4" x14ac:dyDescent="0.2">
      <c r="A59" s="116"/>
      <c r="B59" s="115"/>
      <c r="C59" s="115">
        <f>IF(A59="",0,VLOOKUP(A59,Data!$Q$1:$T$22,3,0))</f>
        <v>0</v>
      </c>
      <c r="D59" s="138">
        <f>IF(A59="",0,VLOOKUP(A59,Data!$Q$1:$T$22,3,0))*(100%+IF(A59="",0,VLOOKUP(A59,Data!$Q$1:$T$22,2,0)))</f>
        <v>0</v>
      </c>
    </row>
    <row r="60" spans="1:4" x14ac:dyDescent="0.2">
      <c r="A60" s="116"/>
      <c r="B60" s="115"/>
      <c r="C60" s="115">
        <f>IF(A60="",0,VLOOKUP(A60,Data!$Q$1:$T$22,3,0))</f>
        <v>0</v>
      </c>
      <c r="D60" s="138">
        <f>IF(A60="",0,VLOOKUP(A60,Data!$Q$1:$T$22,3,0))*(100%+IF(A60="",0,VLOOKUP(A60,Data!$Q$1:$T$22,2,0)))</f>
        <v>0</v>
      </c>
    </row>
    <row r="61" spans="1:4" x14ac:dyDescent="0.2">
      <c r="A61" s="116"/>
      <c r="B61" s="115"/>
      <c r="C61" s="115">
        <f>IF(A61="",0,VLOOKUP(A61,Data!$Q$1:$T$22,3,0))</f>
        <v>0</v>
      </c>
      <c r="D61" s="138">
        <f>IF(A61="",0,VLOOKUP(A61,Data!$Q$1:$T$22,3,0))*(100%+IF(A61="",0,VLOOKUP(A61,Data!$Q$1:$T$22,2,0)))</f>
        <v>0</v>
      </c>
    </row>
    <row r="62" spans="1:4" x14ac:dyDescent="0.2">
      <c r="A62" s="116"/>
      <c r="B62" s="115"/>
      <c r="C62" s="115">
        <f>IF(A62="",0,VLOOKUP(A62,Data!$Q$1:$T$22,3,0))</f>
        <v>0</v>
      </c>
      <c r="D62" s="138">
        <f>IF(A62="",0,VLOOKUP(A62,Data!$Q$1:$T$22,3,0))*(100%+IF(A62="",0,VLOOKUP(A62,Data!$Q$1:$T$22,2,0)))</f>
        <v>0</v>
      </c>
    </row>
    <row r="63" spans="1:4" x14ac:dyDescent="0.2">
      <c r="A63" s="116"/>
      <c r="B63" s="115"/>
      <c r="C63" s="115">
        <f>IF(A63="",0,VLOOKUP(A63,Data!$Q$1:$T$22,3,0))</f>
        <v>0</v>
      </c>
      <c r="D63" s="138">
        <f>IF(A63="",0,VLOOKUP(A63,Data!$Q$1:$T$22,3,0))*(100%+IF(A63="",0,VLOOKUP(A63,Data!$Q$1:$T$22,2,0)))</f>
        <v>0</v>
      </c>
    </row>
    <row r="65" spans="1:3" x14ac:dyDescent="0.2">
      <c r="A65" s="144" t="s">
        <v>74</v>
      </c>
      <c r="B65" s="123" t="str">
        <f>B8</f>
        <v>Web</v>
      </c>
      <c r="C65" s="123">
        <f>C8*SUMPRODUCT($B$16:$B$18,$C$16:$C$18)+C8*SUMPRODUCT($B$22:$B$24,$C$22:$C$24)+C8*SUMPRODUCT($B$28:$B$30,$C$28:$C$30)+C8*SUMPRODUCT($B$34:$B$35,$C$34:$C$35)+C8*SUMPRODUCT($C$41:$C$43,$D$41:$D$43)+C8*SUM($C$47:$C$53)+SUM($C$56:$C$63)+C8*$C$37</f>
        <v>588</v>
      </c>
    </row>
    <row r="66" spans="1:3" x14ac:dyDescent="0.2">
      <c r="A66" s="144"/>
      <c r="B66" s="123" t="str">
        <f t="shared" ref="B66:B67" si="0">B9</f>
        <v>iOS</v>
      </c>
      <c r="C66" s="123">
        <f t="shared" ref="C66:C67" si="1">C9*SUMPRODUCT($B$16:$B$18,$C$16:$C$18)+C9*SUMPRODUCT($B$22:$B$24,$C$22:$C$24)+C9*SUMPRODUCT($B$28:$B$30,$C$28:$C$30)+C9*SUMPRODUCT($B$34:$B$35,$C$34:$C$35)+C9*SUMPRODUCT($C$41:$C$43,$D$41:$D$43)+C9*SUM($C$47:$C$53)+SUM($C$56:$C$63)+C9*$C$37</f>
        <v>307.20000000000005</v>
      </c>
    </row>
    <row r="67" spans="1:3" x14ac:dyDescent="0.2">
      <c r="A67" s="144"/>
      <c r="B67" s="123" t="str">
        <f t="shared" si="0"/>
        <v>Android</v>
      </c>
      <c r="C67" s="123">
        <f t="shared" si="1"/>
        <v>400.8</v>
      </c>
    </row>
    <row r="70" spans="1:3" x14ac:dyDescent="0.2">
      <c r="A70" s="134" t="s">
        <v>264</v>
      </c>
      <c r="B70" s="134"/>
      <c r="C70" s="135">
        <f>SUM(C65:C67)</f>
        <v>1296</v>
      </c>
    </row>
    <row r="71" spans="1:3" x14ac:dyDescent="0.2">
      <c r="A71" t="s">
        <v>368</v>
      </c>
      <c r="C71">
        <f>SUM(D56:D63)-SUM(C56:C63)</f>
        <v>50.400000000000006</v>
      </c>
    </row>
    <row r="72" spans="1:3" x14ac:dyDescent="0.2">
      <c r="A72" t="s">
        <v>369</v>
      </c>
      <c r="C72" s="57">
        <f>C71/C70</f>
        <v>3.8888888888888896E-2</v>
      </c>
    </row>
  </sheetData>
  <mergeCells count="9">
    <mergeCell ref="A45:C45"/>
    <mergeCell ref="A55:C55"/>
    <mergeCell ref="A65:A67"/>
    <mergeCell ref="A8:A10"/>
    <mergeCell ref="A14:C14"/>
    <mergeCell ref="A20:C20"/>
    <mergeCell ref="A26:C26"/>
    <mergeCell ref="A32:C32"/>
    <mergeCell ref="A39:D3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Lookup!$Q$2:$Q$5</xm:f>
          </x14:formula1>
          <xm:sqref>A34:A35</xm:sqref>
        </x14:dataValidation>
        <x14:dataValidation type="list" allowBlank="1" showInputMessage="1" showErrorMessage="1">
          <x14:formula1>
            <xm:f>[2]Lookup!#REF!</xm:f>
          </x14:formula1>
          <xm:sqref>B42:B43</xm:sqref>
        </x14:dataValidation>
        <x14:dataValidation type="list" allowBlank="1" showInputMessage="1" showErrorMessage="1">
          <x14:formula1>
            <xm:f>Lookup!$E$2:$E$5</xm:f>
          </x14:formula1>
          <xm:sqref>B37</xm:sqref>
        </x14:dataValidation>
        <x14:dataValidation type="list" allowBlank="1" showInputMessage="1" showErrorMessage="1">
          <x14:formula1>
            <xm:f>Lookup!$C$2:$C$6</xm:f>
          </x14:formula1>
          <xm:sqref>B6</xm:sqref>
        </x14:dataValidation>
        <x14:dataValidation type="list" allowBlank="1" showInputMessage="1" showErrorMessage="1">
          <x14:formula1>
            <xm:f>Lookup!$B$2:$B$7</xm:f>
          </x14:formula1>
          <xm:sqref>B4</xm:sqref>
        </x14:dataValidation>
        <x14:dataValidation type="list" allowBlank="1" showInputMessage="1" showErrorMessage="1">
          <x14:formula1>
            <xm:f>Lookup!$A$2:$A$9</xm:f>
          </x14:formula1>
          <xm:sqref>B2</xm:sqref>
        </x14:dataValidation>
        <x14:dataValidation type="list" allowBlank="1" showInputMessage="1" showErrorMessage="1">
          <x14:formula1>
            <xm:f>Data!$M$2:$M$5</xm:f>
          </x14:formula1>
          <xm:sqref>B12</xm:sqref>
        </x14:dataValidation>
        <x14:dataValidation type="list" allowBlank="1" showInputMessage="1" showErrorMessage="1">
          <x14:formula1>
            <xm:f>Lookup!$K$2:$K$4</xm:f>
          </x14:formula1>
          <xm:sqref>A16:A18</xm:sqref>
        </x14:dataValidation>
        <x14:dataValidation type="list" allowBlank="1" showInputMessage="1" showErrorMessage="1">
          <x14:formula1>
            <xm:f>Lookup!$M$2:$M$4</xm:f>
          </x14:formula1>
          <xm:sqref>A22:A24</xm:sqref>
        </x14:dataValidation>
        <x14:dataValidation type="list" allowBlank="1" showInputMessage="1" showErrorMessage="1">
          <x14:formula1>
            <xm:f>Lookup!$O$2:$O$4</xm:f>
          </x14:formula1>
          <xm:sqref>A28:A30</xm:sqref>
        </x14:dataValidation>
        <x14:dataValidation type="list" allowBlank="1" showInputMessage="1" showErrorMessage="1">
          <x14:formula1>
            <xm:f>Lookup!$F$2:$F$4</xm:f>
          </x14:formula1>
          <xm:sqref>A41:A43</xm:sqref>
        </x14:dataValidation>
        <x14:dataValidation type="list" allowBlank="1" showInputMessage="1" showErrorMessage="1">
          <x14:formula1>
            <xm:f>Lookup!$G$2:$G$3</xm:f>
          </x14:formula1>
          <xm:sqref>B41</xm:sqref>
        </x14:dataValidation>
        <x14:dataValidation type="list" allowBlank="1" showInputMessage="1" showErrorMessage="1">
          <x14:formula1>
            <xm:f>Lookup!$D$2:$D$5</xm:f>
          </x14:formula1>
          <xm:sqref>B8:B10</xm:sqref>
        </x14:dataValidation>
        <x14:dataValidation type="list" allowBlank="1" showInputMessage="1" showErrorMessage="1">
          <x14:formula1>
            <xm:f>Data!$Q$3:$Q$22</xm:f>
          </x14:formula1>
          <xm:sqref>A56:A63</xm:sqref>
        </x14:dataValidation>
        <x14:dataValidation type="list" allowBlank="1" showInputMessage="1" showErrorMessage="1">
          <x14:formula1>
            <xm:f>Lookup!$U$2:$U$5</xm:f>
          </x14:formula1>
          <xm:sqref>A47:A53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" sqref="C2"/>
    </sheetView>
  </sheetViews>
  <sheetFormatPr baseColWidth="10" defaultRowHeight="16" x14ac:dyDescent="0.2"/>
  <cols>
    <col min="1" max="1" width="22.83203125" customWidth="1"/>
    <col min="2" max="2" width="31.33203125" customWidth="1"/>
    <col min="3" max="3" width="16" customWidth="1"/>
    <col min="4" max="4" width="30" customWidth="1"/>
  </cols>
  <sheetData>
    <row r="1" spans="1:4" x14ac:dyDescent="0.2">
      <c r="A1" s="152" t="s">
        <v>214</v>
      </c>
      <c r="B1" s="152"/>
      <c r="C1" s="71" t="s">
        <v>215</v>
      </c>
    </row>
    <row r="2" spans="1:4" x14ac:dyDescent="0.2">
      <c r="A2" s="151" t="s">
        <v>80</v>
      </c>
      <c r="B2" s="151"/>
      <c r="C2" s="65">
        <f>Estimator!$C$70*Data!AG4/100*VLOOKUP(Estimator!$B$12,Data!$M$1:$O$5,3,0)</f>
        <v>336.96</v>
      </c>
    </row>
    <row r="3" spans="1:4" x14ac:dyDescent="0.2">
      <c r="A3" s="151" t="s">
        <v>84</v>
      </c>
      <c r="B3" s="151"/>
      <c r="C3" s="65">
        <f>Estimator!C70*(Data!AG5/100)*VLOOKUP(Estimator!$B$12,Data!$M$1:$O$5,3,0)</f>
        <v>336.96</v>
      </c>
    </row>
    <row r="4" spans="1:4" x14ac:dyDescent="0.2">
      <c r="A4" s="151" t="s">
        <v>79</v>
      </c>
      <c r="B4" s="151"/>
      <c r="C4" s="65">
        <f>Estimator!C70*(Data!AG3/100)*VLOOKUP(Estimator!$B$12,Data!$M$1:$O$5,3,0)</f>
        <v>336.96</v>
      </c>
    </row>
    <row r="5" spans="1:4" x14ac:dyDescent="0.2">
      <c r="A5" s="151" t="s">
        <v>75</v>
      </c>
      <c r="B5" s="151"/>
      <c r="C5" s="65">
        <f>Estimator!C70</f>
        <v>1296</v>
      </c>
    </row>
    <row r="6" spans="1:4" x14ac:dyDescent="0.2">
      <c r="A6" s="151" t="s">
        <v>78</v>
      </c>
      <c r="B6" s="151"/>
      <c r="C6" s="65">
        <f>Estimator!C70*(Data!AG2/100)*VLOOKUP(Estimator!$B$12,Data!$M$1:$O$5,3,0)</f>
        <v>673.92</v>
      </c>
    </row>
    <row r="7" spans="1:4" x14ac:dyDescent="0.2">
      <c r="A7" s="151" t="s">
        <v>192</v>
      </c>
      <c r="B7" s="151"/>
      <c r="C7" s="65">
        <f>Estimator!C70*(Data!AG7/100)*VLOOKUP(Estimator!$B$12,Data!$M$1:$O$5,3,0)</f>
        <v>168.48</v>
      </c>
    </row>
    <row r="8" spans="1:4" x14ac:dyDescent="0.2">
      <c r="A8" s="151" t="s">
        <v>181</v>
      </c>
      <c r="B8" s="151"/>
      <c r="C8" s="65">
        <f>Estimator!C70*(Data!AG10/100)</f>
        <v>64.8</v>
      </c>
    </row>
    <row r="9" spans="1:4" x14ac:dyDescent="0.2">
      <c r="A9" s="151" t="s">
        <v>172</v>
      </c>
      <c r="B9" s="151"/>
      <c r="C9" s="65">
        <f>Estimator!C70*(Data!AG8/100)*VLOOKUP(Estimator!$B$12,Data!$M$1:$O$5,3,0)</f>
        <v>84.24</v>
      </c>
    </row>
    <row r="10" spans="1:4" x14ac:dyDescent="0.2">
      <c r="A10" s="151" t="s">
        <v>173</v>
      </c>
      <c r="B10" s="151"/>
      <c r="C10" s="65">
        <f>Estimator!C70*(Data!AG9/100)*VLOOKUP(Estimator!$B$12,Data!$M$1:$O$5,3,0)</f>
        <v>84.24</v>
      </c>
    </row>
    <row r="11" spans="1:4" x14ac:dyDescent="0.2">
      <c r="A11" s="151" t="s">
        <v>191</v>
      </c>
      <c r="B11" s="151"/>
      <c r="C11" s="65">
        <f>Estimator!C70*(Data!AG6/100)*VLOOKUP(Estimator!$B$12,Data!$M$1:$O$5,3,0)</f>
        <v>33.696000000000005</v>
      </c>
    </row>
    <row r="12" spans="1:4" x14ac:dyDescent="0.2">
      <c r="A12" s="150" t="s">
        <v>82</v>
      </c>
      <c r="B12" s="150"/>
      <c r="C12" s="66">
        <f>ROUNDUP(SUM(C2:C11),0)</f>
        <v>3417</v>
      </c>
    </row>
    <row r="14" spans="1:4" x14ac:dyDescent="0.2">
      <c r="D14" s="58"/>
    </row>
    <row r="15" spans="1:4" x14ac:dyDescent="0.2">
      <c r="D15" s="58"/>
    </row>
  </sheetData>
  <mergeCells count="12">
    <mergeCell ref="A12:B12"/>
    <mergeCell ref="A11:B11"/>
    <mergeCell ref="A1:B1"/>
    <mergeCell ref="A10:B10"/>
    <mergeCell ref="A8:B8"/>
    <mergeCell ref="A9:B9"/>
    <mergeCell ref="A2:B2"/>
    <mergeCell ref="A3:B3"/>
    <mergeCell ref="A7:B7"/>
    <mergeCell ref="A4:B4"/>
    <mergeCell ref="A6:B6"/>
    <mergeCell ref="A5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50" zoomScaleNormal="150" zoomScalePageLayoutView="150" workbookViewId="0">
      <selection activeCell="E4" sqref="E4"/>
    </sheetView>
  </sheetViews>
  <sheetFormatPr baseColWidth="10" defaultRowHeight="16" x14ac:dyDescent="0.2"/>
  <cols>
    <col min="1" max="1" width="22.83203125" bestFit="1" customWidth="1"/>
    <col min="4" max="4" width="23.1640625" bestFit="1" customWidth="1"/>
  </cols>
  <sheetData>
    <row r="1" spans="1:6" x14ac:dyDescent="0.2">
      <c r="A1" s="5" t="s">
        <v>168</v>
      </c>
      <c r="B1" s="5">
        <f>'Effort Estimates'!C12</f>
        <v>3417</v>
      </c>
      <c r="D1" s="5" t="s">
        <v>94</v>
      </c>
      <c r="E1" s="5">
        <v>2</v>
      </c>
    </row>
    <row r="2" spans="1:6" x14ac:dyDescent="0.2">
      <c r="D2" s="4" t="s">
        <v>96</v>
      </c>
      <c r="E2" s="4">
        <v>1</v>
      </c>
    </row>
    <row r="3" spans="1:6" x14ac:dyDescent="0.2">
      <c r="D3" s="1"/>
    </row>
    <row r="4" spans="1:6" x14ac:dyDescent="0.2">
      <c r="D4" s="11" t="s">
        <v>95</v>
      </c>
      <c r="E4" s="11">
        <f>(B1/(E2*40))/E1</f>
        <v>42.712499999999999</v>
      </c>
    </row>
    <row r="5" spans="1:6" x14ac:dyDescent="0.2">
      <c r="A5" t="s">
        <v>90</v>
      </c>
      <c r="B5">
        <f>'Effort Estimates'!C4</f>
        <v>336.96</v>
      </c>
      <c r="C5" s="1"/>
      <c r="D5" s="2"/>
    </row>
    <row r="7" spans="1:6" x14ac:dyDescent="0.2">
      <c r="F7" s="59"/>
    </row>
    <row r="8" spans="1:6" x14ac:dyDescent="0.2">
      <c r="A8" t="s">
        <v>91</v>
      </c>
      <c r="B8">
        <f>'Effort Estimates'!C2</f>
        <v>336.96</v>
      </c>
      <c r="C8" s="1"/>
      <c r="D8" s="2"/>
    </row>
    <row r="12" spans="1:6" x14ac:dyDescent="0.2">
      <c r="A12" t="s">
        <v>92</v>
      </c>
      <c r="B12">
        <f>'Effort Estimates'!C6</f>
        <v>673.92</v>
      </c>
      <c r="C12" s="1"/>
      <c r="D12" s="2"/>
    </row>
    <row r="15" spans="1:6" x14ac:dyDescent="0.2">
      <c r="A15" t="s">
        <v>93</v>
      </c>
      <c r="B15">
        <f>'Effort Estimates'!C3</f>
        <v>336.96</v>
      </c>
      <c r="C15" s="1"/>
      <c r="D15" s="2"/>
    </row>
    <row r="17" spans="4:4" x14ac:dyDescent="0.2">
      <c r="D17" s="2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1"/>
  <sheetViews>
    <sheetView zoomScale="110" zoomScaleNormal="110" zoomScalePageLayoutView="110" workbookViewId="0">
      <pane xSplit="1" ySplit="15" topLeftCell="B17" activePane="bottomRight" state="frozen"/>
      <selection pane="topRight" activeCell="B1" sqref="B1"/>
      <selection pane="bottomLeft" activeCell="A17" sqref="A17"/>
      <selection pane="bottomRight" activeCell="E17" sqref="E17"/>
    </sheetView>
  </sheetViews>
  <sheetFormatPr baseColWidth="10" defaultColWidth="8.83203125" defaultRowHeight="13" x14ac:dyDescent="0.15"/>
  <cols>
    <col min="1" max="1" width="24.5" style="12" customWidth="1"/>
    <col min="2" max="2" width="33" style="12" customWidth="1"/>
    <col min="3" max="5" width="4.33203125" style="12" customWidth="1"/>
    <col min="6" max="10" width="5.83203125" style="12" customWidth="1"/>
    <col min="11" max="11" width="6.83203125" style="12" customWidth="1"/>
    <col min="12" max="12" width="2.33203125" style="12" customWidth="1"/>
    <col min="13" max="14" width="6.5" style="12" customWidth="1"/>
    <col min="15" max="15" width="7" style="12" customWidth="1"/>
    <col min="16" max="16" width="8.5" style="12" customWidth="1"/>
    <col min="17" max="17" width="8.83203125" style="12" customWidth="1"/>
    <col min="18" max="18" width="8" style="12" customWidth="1"/>
    <col min="19" max="19" width="8.6640625" style="12" customWidth="1"/>
    <col min="20" max="32" width="5.5" style="12" customWidth="1"/>
    <col min="33" max="16384" width="8.83203125" style="12"/>
  </cols>
  <sheetData>
    <row r="1" spans="1:18" ht="61.5" customHeight="1" x14ac:dyDescent="0.15">
      <c r="A1" s="39" t="s">
        <v>97</v>
      </c>
      <c r="B1" s="39"/>
      <c r="C1" s="45" t="s">
        <v>99</v>
      </c>
      <c r="D1" s="45" t="s">
        <v>100</v>
      </c>
      <c r="E1" s="45" t="s">
        <v>101</v>
      </c>
      <c r="F1" s="41"/>
      <c r="G1" s="41"/>
      <c r="H1" s="41"/>
      <c r="I1" s="41"/>
      <c r="J1" s="41"/>
      <c r="K1" s="40"/>
    </row>
    <row r="2" spans="1:18" x14ac:dyDescent="0.15">
      <c r="B2" s="43" t="s">
        <v>98</v>
      </c>
      <c r="C2" s="42"/>
      <c r="D2" s="42"/>
      <c r="E2" s="42"/>
      <c r="F2" s="41"/>
      <c r="G2" s="41"/>
      <c r="H2" s="41"/>
      <c r="I2" s="41"/>
      <c r="J2" s="41"/>
      <c r="K2" s="40"/>
    </row>
    <row r="3" spans="1:18" x14ac:dyDescent="0.15">
      <c r="B3" s="43" t="s">
        <v>99</v>
      </c>
      <c r="C3" s="42"/>
      <c r="D3" s="42"/>
      <c r="E3" s="42"/>
      <c r="F3" s="41"/>
      <c r="G3" s="41"/>
      <c r="H3" s="41"/>
      <c r="I3" s="41"/>
      <c r="J3" s="41"/>
      <c r="K3" s="40"/>
    </row>
    <row r="4" spans="1:18" x14ac:dyDescent="0.15">
      <c r="B4" s="43" t="s">
        <v>100</v>
      </c>
      <c r="C4" s="42"/>
      <c r="D4" s="42"/>
      <c r="E4" s="42"/>
      <c r="F4" s="41"/>
      <c r="G4" s="41"/>
      <c r="H4" s="41"/>
      <c r="I4" s="41"/>
      <c r="J4" s="41"/>
      <c r="K4" s="40"/>
    </row>
    <row r="5" spans="1:18" x14ac:dyDescent="0.15">
      <c r="B5" s="41" t="s">
        <v>103</v>
      </c>
      <c r="C5" s="44"/>
      <c r="D5" s="44"/>
      <c r="E5" s="44"/>
      <c r="F5" s="41"/>
      <c r="G5" s="41"/>
      <c r="H5" s="41"/>
      <c r="I5" s="41"/>
      <c r="J5" s="41"/>
      <c r="K5" s="40"/>
    </row>
    <row r="6" spans="1:18" hidden="1" x14ac:dyDescent="0.15">
      <c r="B6" s="41" t="s">
        <v>104</v>
      </c>
      <c r="C6" s="42"/>
      <c r="D6" s="42"/>
      <c r="E6" s="42"/>
      <c r="F6" s="41"/>
      <c r="G6" s="41"/>
      <c r="H6" s="41"/>
      <c r="I6" s="41"/>
      <c r="J6" s="41"/>
      <c r="K6" s="40"/>
    </row>
    <row r="7" spans="1:18" hidden="1" x14ac:dyDescent="0.15">
      <c r="B7" s="41" t="s">
        <v>105</v>
      </c>
      <c r="C7" s="42"/>
      <c r="D7" s="42"/>
      <c r="E7" s="42"/>
      <c r="F7" s="41"/>
      <c r="G7" s="41"/>
      <c r="H7" s="41"/>
      <c r="I7" s="41"/>
      <c r="J7" s="41"/>
      <c r="K7" s="40"/>
    </row>
    <row r="8" spans="1:18" hidden="1" x14ac:dyDescent="0.15">
      <c r="B8" s="41" t="s">
        <v>106</v>
      </c>
      <c r="C8" s="42"/>
      <c r="D8" s="42"/>
      <c r="E8" s="42"/>
      <c r="F8" s="41"/>
      <c r="G8" s="41"/>
      <c r="H8" s="41"/>
      <c r="I8" s="41"/>
      <c r="J8" s="41"/>
      <c r="K8" s="40"/>
    </row>
    <row r="9" spans="1:18" hidden="1" x14ac:dyDescent="0.15">
      <c r="B9" s="41" t="s">
        <v>107</v>
      </c>
      <c r="C9" s="42"/>
      <c r="D9" s="42"/>
      <c r="E9" s="42"/>
      <c r="F9" s="41"/>
      <c r="G9" s="41"/>
      <c r="H9" s="41"/>
      <c r="I9" s="41"/>
      <c r="J9" s="41"/>
      <c r="K9" s="40"/>
    </row>
    <row r="10" spans="1:18" x14ac:dyDescent="0.15">
      <c r="B10" s="43" t="s">
        <v>101</v>
      </c>
      <c r="C10" s="42"/>
      <c r="D10" s="42"/>
      <c r="E10" s="42"/>
      <c r="F10" s="41"/>
      <c r="G10" s="41"/>
      <c r="H10" s="41"/>
      <c r="I10" s="41"/>
      <c r="J10" s="41"/>
      <c r="K10" s="40"/>
    </row>
    <row r="11" spans="1:18" x14ac:dyDescent="0.15">
      <c r="B11" s="43" t="s">
        <v>102</v>
      </c>
      <c r="C11" s="42"/>
      <c r="D11" s="42"/>
      <c r="E11" s="42"/>
      <c r="F11" s="41"/>
      <c r="G11" s="41"/>
      <c r="H11" s="41"/>
      <c r="I11" s="41"/>
      <c r="J11" s="41"/>
      <c r="K11" s="40"/>
    </row>
    <row r="12" spans="1:18" x14ac:dyDescent="0.15">
      <c r="A12" s="41"/>
      <c r="B12" s="41"/>
      <c r="C12" s="38"/>
      <c r="D12" s="38"/>
      <c r="E12" s="38"/>
      <c r="F12" s="41"/>
      <c r="G12" s="41"/>
      <c r="H12" s="41"/>
      <c r="I12" s="41"/>
      <c r="J12" s="41"/>
      <c r="K12" s="40"/>
    </row>
    <row r="13" spans="1:18" ht="14" x14ac:dyDescent="0.15">
      <c r="A13" s="39" t="s">
        <v>108</v>
      </c>
      <c r="B13" s="39"/>
      <c r="C13" s="38"/>
      <c r="D13" s="38"/>
      <c r="E13" s="38"/>
      <c r="F13" s="153" t="s">
        <v>142</v>
      </c>
      <c r="G13" s="153"/>
      <c r="H13" s="153"/>
      <c r="I13" s="153"/>
      <c r="J13" s="153"/>
      <c r="K13" s="153"/>
    </row>
    <row r="14" spans="1:18" ht="14.25" hidden="1" customHeight="1" x14ac:dyDescent="0.15">
      <c r="A14" s="37"/>
      <c r="B14" s="36"/>
      <c r="C14" s="35" t="s">
        <v>98</v>
      </c>
      <c r="D14" s="35" t="s">
        <v>98</v>
      </c>
      <c r="E14" s="35" t="s">
        <v>98</v>
      </c>
      <c r="F14" s="34"/>
      <c r="G14" s="34"/>
      <c r="H14" s="34"/>
      <c r="I14" s="34"/>
      <c r="J14" s="34"/>
      <c r="K14" s="34"/>
    </row>
    <row r="15" spans="1:18" s="27" customFormat="1" ht="50.25" customHeight="1" x14ac:dyDescent="0.15">
      <c r="A15" s="33" t="s">
        <v>109</v>
      </c>
      <c r="B15" s="32"/>
      <c r="C15" s="31">
        <v>42401</v>
      </c>
      <c r="D15" s="30">
        <f t="shared" ref="D15:E15" si="0">C15+7</f>
        <v>42408</v>
      </c>
      <c r="E15" s="30">
        <f t="shared" si="0"/>
        <v>42415</v>
      </c>
      <c r="F15" s="29" t="s">
        <v>98</v>
      </c>
      <c r="G15" s="29" t="s">
        <v>99</v>
      </c>
      <c r="H15" s="29" t="s">
        <v>100</v>
      </c>
      <c r="I15" s="29" t="s">
        <v>101</v>
      </c>
      <c r="J15" s="29" t="s">
        <v>102</v>
      </c>
      <c r="K15" s="28" t="s">
        <v>139</v>
      </c>
    </row>
    <row r="16" spans="1:18" x14ac:dyDescent="0.15">
      <c r="A16" s="26" t="s">
        <v>110</v>
      </c>
      <c r="B16" s="18" t="s">
        <v>143</v>
      </c>
      <c r="C16" s="24"/>
      <c r="D16" s="24"/>
      <c r="E16" s="24"/>
      <c r="F16" s="16">
        <f t="shared" ref="F16:J25" si="1">SUMIF($C$1:$E$1, F$15, $C16:$E16)</f>
        <v>0</v>
      </c>
      <c r="G16" s="16">
        <f t="shared" si="1"/>
        <v>0</v>
      </c>
      <c r="H16" s="16">
        <f t="shared" si="1"/>
        <v>0</v>
      </c>
      <c r="I16" s="16">
        <f t="shared" si="1"/>
        <v>0</v>
      </c>
      <c r="J16" s="16">
        <f t="shared" si="1"/>
        <v>0</v>
      </c>
      <c r="K16" s="15">
        <f t="shared" ref="K16:K40" si="2">SUM(C16:E16)</f>
        <v>0</v>
      </c>
      <c r="M16" s="22"/>
      <c r="N16" s="22"/>
      <c r="O16" s="23"/>
      <c r="P16" s="23"/>
      <c r="Q16" s="23"/>
      <c r="R16" s="22"/>
    </row>
    <row r="17" spans="1:18" x14ac:dyDescent="0.15">
      <c r="A17" s="26" t="s">
        <v>111</v>
      </c>
      <c r="B17" s="18" t="s">
        <v>112</v>
      </c>
      <c r="C17" s="24"/>
      <c r="D17" s="24"/>
      <c r="E17" s="24"/>
      <c r="F17" s="16">
        <f t="shared" si="1"/>
        <v>0</v>
      </c>
      <c r="G17" s="16">
        <f t="shared" si="1"/>
        <v>0</v>
      </c>
      <c r="H17" s="16">
        <f t="shared" si="1"/>
        <v>0</v>
      </c>
      <c r="I17" s="16">
        <f t="shared" si="1"/>
        <v>0</v>
      </c>
      <c r="J17" s="16">
        <f t="shared" si="1"/>
        <v>0</v>
      </c>
      <c r="K17" s="15">
        <f t="shared" si="2"/>
        <v>0</v>
      </c>
      <c r="M17" s="22"/>
      <c r="N17" s="22"/>
      <c r="O17" s="23"/>
      <c r="P17" s="23"/>
      <c r="Q17" s="23"/>
      <c r="R17" s="22"/>
    </row>
    <row r="18" spans="1:18" x14ac:dyDescent="0.15">
      <c r="A18" s="26" t="s">
        <v>113</v>
      </c>
      <c r="B18" s="18" t="s">
        <v>114</v>
      </c>
      <c r="C18" s="24"/>
      <c r="D18" s="24"/>
      <c r="E18" s="24"/>
      <c r="F18" s="16">
        <f t="shared" si="1"/>
        <v>0</v>
      </c>
      <c r="G18" s="16">
        <f t="shared" si="1"/>
        <v>0</v>
      </c>
      <c r="H18" s="16">
        <f t="shared" si="1"/>
        <v>0</v>
      </c>
      <c r="I18" s="16">
        <f t="shared" si="1"/>
        <v>0</v>
      </c>
      <c r="J18" s="16">
        <f t="shared" si="1"/>
        <v>0</v>
      </c>
      <c r="K18" s="15">
        <f t="shared" si="2"/>
        <v>0</v>
      </c>
      <c r="M18" s="22"/>
      <c r="N18" s="22"/>
      <c r="O18" s="23"/>
      <c r="P18" s="23"/>
      <c r="Q18" s="23"/>
      <c r="R18" s="22"/>
    </row>
    <row r="19" spans="1:18" ht="16" x14ac:dyDescent="0.2">
      <c r="A19" s="26" t="s">
        <v>115</v>
      </c>
      <c r="B19" s="18" t="s">
        <v>116</v>
      </c>
      <c r="C19" s="24"/>
      <c r="D19" s="24"/>
      <c r="E19" s="24"/>
      <c r="F19" s="16">
        <f t="shared" si="1"/>
        <v>0</v>
      </c>
      <c r="G19" s="16">
        <f t="shared" si="1"/>
        <v>0</v>
      </c>
      <c r="H19" s="16">
        <f t="shared" si="1"/>
        <v>0</v>
      </c>
      <c r="I19" s="16">
        <f t="shared" si="1"/>
        <v>0</v>
      </c>
      <c r="J19" s="16">
        <f t="shared" si="1"/>
        <v>0</v>
      </c>
      <c r="K19" s="15">
        <f t="shared" si="2"/>
        <v>0</v>
      </c>
      <c r="M19" s="22"/>
      <c r="N19" s="22"/>
      <c r="O19" s="23"/>
      <c r="P19" s="23"/>
      <c r="Q19" s="23"/>
      <c r="R19" s="22"/>
    </row>
    <row r="20" spans="1:18" x14ac:dyDescent="0.15">
      <c r="A20" s="25" t="s">
        <v>117</v>
      </c>
      <c r="B20" s="18" t="s">
        <v>118</v>
      </c>
      <c r="C20" s="24"/>
      <c r="D20" s="24"/>
      <c r="E20" s="24"/>
      <c r="F20" s="16">
        <f t="shared" si="1"/>
        <v>0</v>
      </c>
      <c r="G20" s="16">
        <f t="shared" si="1"/>
        <v>0</v>
      </c>
      <c r="H20" s="16">
        <f t="shared" si="1"/>
        <v>0</v>
      </c>
      <c r="I20" s="16">
        <f t="shared" si="1"/>
        <v>0</v>
      </c>
      <c r="J20" s="16">
        <f t="shared" si="1"/>
        <v>0</v>
      </c>
      <c r="K20" s="15">
        <f t="shared" si="2"/>
        <v>0</v>
      </c>
      <c r="M20" s="22"/>
      <c r="N20" s="22"/>
      <c r="O20" s="23"/>
      <c r="P20" s="23"/>
      <c r="Q20" s="23"/>
      <c r="R20" s="22"/>
    </row>
    <row r="21" spans="1:18" x14ac:dyDescent="0.15">
      <c r="A21" s="25" t="s">
        <v>119</v>
      </c>
      <c r="B21" s="18" t="s">
        <v>120</v>
      </c>
      <c r="C21" s="24"/>
      <c r="D21" s="24"/>
      <c r="E21" s="24"/>
      <c r="F21" s="16">
        <f t="shared" si="1"/>
        <v>0</v>
      </c>
      <c r="G21" s="16">
        <f t="shared" si="1"/>
        <v>0</v>
      </c>
      <c r="H21" s="16">
        <f t="shared" si="1"/>
        <v>0</v>
      </c>
      <c r="I21" s="16">
        <f t="shared" si="1"/>
        <v>0</v>
      </c>
      <c r="J21" s="16">
        <f t="shared" si="1"/>
        <v>0</v>
      </c>
      <c r="K21" s="15">
        <f t="shared" si="2"/>
        <v>0</v>
      </c>
      <c r="M21" s="22"/>
      <c r="N21" s="22"/>
      <c r="O21" s="23"/>
      <c r="P21" s="23"/>
      <c r="Q21" s="23"/>
      <c r="R21" s="22"/>
    </row>
    <row r="22" spans="1:18" x14ac:dyDescent="0.15">
      <c r="A22" s="25" t="s">
        <v>121</v>
      </c>
      <c r="B22" s="18" t="s">
        <v>122</v>
      </c>
      <c r="C22" s="24"/>
      <c r="D22" s="24"/>
      <c r="E22" s="24"/>
      <c r="F22" s="16">
        <f t="shared" si="1"/>
        <v>0</v>
      </c>
      <c r="G22" s="16">
        <f t="shared" si="1"/>
        <v>0</v>
      </c>
      <c r="H22" s="16">
        <f t="shared" si="1"/>
        <v>0</v>
      </c>
      <c r="I22" s="16">
        <f t="shared" si="1"/>
        <v>0</v>
      </c>
      <c r="J22" s="16">
        <f t="shared" si="1"/>
        <v>0</v>
      </c>
      <c r="K22" s="15">
        <f t="shared" si="2"/>
        <v>0</v>
      </c>
      <c r="M22" s="22"/>
      <c r="N22" s="22"/>
      <c r="O22" s="23"/>
      <c r="P22" s="23"/>
      <c r="Q22" s="23"/>
      <c r="R22" s="22"/>
    </row>
    <row r="23" spans="1:18" x14ac:dyDescent="0.15">
      <c r="A23" s="25" t="s">
        <v>123</v>
      </c>
      <c r="B23" s="18" t="s">
        <v>124</v>
      </c>
      <c r="C23" s="24"/>
      <c r="D23" s="24"/>
      <c r="E23" s="24"/>
      <c r="F23" s="16">
        <f t="shared" si="1"/>
        <v>0</v>
      </c>
      <c r="G23" s="16">
        <f t="shared" si="1"/>
        <v>0</v>
      </c>
      <c r="H23" s="16">
        <f t="shared" si="1"/>
        <v>0</v>
      </c>
      <c r="I23" s="16">
        <f t="shared" si="1"/>
        <v>0</v>
      </c>
      <c r="J23" s="16">
        <f t="shared" si="1"/>
        <v>0</v>
      </c>
      <c r="K23" s="15">
        <f t="shared" si="2"/>
        <v>0</v>
      </c>
      <c r="M23" s="22"/>
      <c r="N23" s="22"/>
      <c r="O23" s="23"/>
      <c r="P23" s="23"/>
      <c r="Q23" s="23"/>
      <c r="R23" s="22"/>
    </row>
    <row r="24" spans="1:18" x14ac:dyDescent="0.15">
      <c r="A24" s="25" t="s">
        <v>125</v>
      </c>
      <c r="B24" s="18" t="s">
        <v>126</v>
      </c>
      <c r="C24" s="24"/>
      <c r="D24" s="24"/>
      <c r="E24" s="24"/>
      <c r="F24" s="16">
        <f t="shared" si="1"/>
        <v>0</v>
      </c>
      <c r="G24" s="16">
        <f t="shared" si="1"/>
        <v>0</v>
      </c>
      <c r="H24" s="16">
        <f t="shared" si="1"/>
        <v>0</v>
      </c>
      <c r="I24" s="16">
        <f t="shared" si="1"/>
        <v>0</v>
      </c>
      <c r="J24" s="16">
        <f t="shared" si="1"/>
        <v>0</v>
      </c>
      <c r="K24" s="15">
        <f t="shared" si="2"/>
        <v>0</v>
      </c>
      <c r="M24" s="22"/>
      <c r="N24" s="22"/>
      <c r="O24" s="23"/>
      <c r="P24" s="23"/>
      <c r="Q24" s="23"/>
      <c r="R24" s="22"/>
    </row>
    <row r="25" spans="1:18" x14ac:dyDescent="0.15">
      <c r="A25" s="25" t="s">
        <v>127</v>
      </c>
      <c r="B25" s="18" t="s">
        <v>128</v>
      </c>
      <c r="C25" s="24"/>
      <c r="D25" s="24"/>
      <c r="E25" s="24"/>
      <c r="F25" s="16">
        <f t="shared" si="1"/>
        <v>0</v>
      </c>
      <c r="G25" s="16">
        <f t="shared" si="1"/>
        <v>0</v>
      </c>
      <c r="H25" s="16">
        <f t="shared" si="1"/>
        <v>0</v>
      </c>
      <c r="I25" s="16">
        <f t="shared" si="1"/>
        <v>0</v>
      </c>
      <c r="J25" s="16">
        <f t="shared" si="1"/>
        <v>0</v>
      </c>
      <c r="K25" s="15">
        <f t="shared" si="2"/>
        <v>0</v>
      </c>
      <c r="M25" s="22"/>
      <c r="N25" s="22"/>
      <c r="O25" s="23"/>
      <c r="P25" s="23"/>
      <c r="Q25" s="23"/>
      <c r="R25" s="22"/>
    </row>
    <row r="26" spans="1:18" ht="16" x14ac:dyDescent="0.2">
      <c r="A26" s="25" t="s">
        <v>129</v>
      </c>
      <c r="B26" s="18" t="s">
        <v>130</v>
      </c>
      <c r="C26" s="24"/>
      <c r="D26" s="24"/>
      <c r="E26" s="24"/>
      <c r="F26" s="16">
        <f t="shared" ref="F26:J40" si="3">SUMIF($C$1:$E$1, F$15, $C26:$E26)</f>
        <v>0</v>
      </c>
      <c r="G26" s="16">
        <f t="shared" si="3"/>
        <v>0</v>
      </c>
      <c r="H26" s="16">
        <f t="shared" si="3"/>
        <v>0</v>
      </c>
      <c r="I26" s="16">
        <f t="shared" si="3"/>
        <v>0</v>
      </c>
      <c r="J26" s="16">
        <f t="shared" si="3"/>
        <v>0</v>
      </c>
      <c r="K26" s="15">
        <f t="shared" si="2"/>
        <v>0</v>
      </c>
      <c r="M26" s="22"/>
      <c r="N26" s="22"/>
      <c r="O26" s="23"/>
      <c r="P26" s="23"/>
      <c r="Q26" s="23"/>
      <c r="R26" s="22"/>
    </row>
    <row r="27" spans="1:18" x14ac:dyDescent="0.15">
      <c r="A27" s="25" t="s">
        <v>131</v>
      </c>
      <c r="B27" s="18" t="s">
        <v>132</v>
      </c>
      <c r="C27" s="24"/>
      <c r="D27" s="24"/>
      <c r="E27" s="24"/>
      <c r="F27" s="16">
        <f t="shared" si="3"/>
        <v>0</v>
      </c>
      <c r="G27" s="16">
        <f t="shared" si="3"/>
        <v>0</v>
      </c>
      <c r="H27" s="16">
        <f t="shared" si="3"/>
        <v>0</v>
      </c>
      <c r="I27" s="16">
        <f t="shared" si="3"/>
        <v>0</v>
      </c>
      <c r="J27" s="16">
        <f t="shared" si="3"/>
        <v>0</v>
      </c>
      <c r="K27" s="15">
        <f t="shared" si="2"/>
        <v>0</v>
      </c>
      <c r="M27" s="22"/>
      <c r="N27" s="22"/>
      <c r="O27" s="23"/>
      <c r="P27" s="23"/>
      <c r="Q27" s="23"/>
      <c r="R27" s="22"/>
    </row>
    <row r="28" spans="1:18" x14ac:dyDescent="0.15">
      <c r="A28" s="25" t="s">
        <v>133</v>
      </c>
      <c r="B28" s="18" t="s">
        <v>134</v>
      </c>
      <c r="C28" s="24"/>
      <c r="D28" s="24"/>
      <c r="E28" s="24"/>
      <c r="F28" s="16">
        <f t="shared" si="3"/>
        <v>0</v>
      </c>
      <c r="G28" s="16">
        <f t="shared" si="3"/>
        <v>0</v>
      </c>
      <c r="H28" s="16">
        <f t="shared" si="3"/>
        <v>0</v>
      </c>
      <c r="I28" s="16">
        <f t="shared" si="3"/>
        <v>0</v>
      </c>
      <c r="J28" s="16">
        <f t="shared" si="3"/>
        <v>0</v>
      </c>
      <c r="K28" s="15">
        <f t="shared" si="2"/>
        <v>0</v>
      </c>
      <c r="M28" s="22"/>
      <c r="N28" s="22"/>
      <c r="O28" s="23"/>
      <c r="P28" s="23"/>
      <c r="Q28" s="23"/>
      <c r="R28" s="22"/>
    </row>
    <row r="29" spans="1:18" x14ac:dyDescent="0.15">
      <c r="A29" s="25" t="s">
        <v>135</v>
      </c>
      <c r="B29" s="18" t="s">
        <v>136</v>
      </c>
      <c r="C29" s="24"/>
      <c r="D29" s="24"/>
      <c r="E29" s="24"/>
      <c r="F29" s="16">
        <f t="shared" si="3"/>
        <v>0</v>
      </c>
      <c r="G29" s="16">
        <f t="shared" si="3"/>
        <v>0</v>
      </c>
      <c r="H29" s="16">
        <f t="shared" si="3"/>
        <v>0</v>
      </c>
      <c r="I29" s="16">
        <f t="shared" si="3"/>
        <v>0</v>
      </c>
      <c r="J29" s="16">
        <f t="shared" si="3"/>
        <v>0</v>
      </c>
      <c r="K29" s="15">
        <f t="shared" si="2"/>
        <v>0</v>
      </c>
      <c r="M29" s="22"/>
      <c r="N29" s="22"/>
      <c r="O29" s="23"/>
      <c r="P29" s="23"/>
      <c r="Q29" s="23"/>
      <c r="R29" s="22"/>
    </row>
    <row r="30" spans="1:18" x14ac:dyDescent="0.15">
      <c r="A30" s="25"/>
      <c r="B30" s="18" t="s">
        <v>137</v>
      </c>
      <c r="C30" s="24"/>
      <c r="D30" s="24"/>
      <c r="E30" s="24"/>
      <c r="F30" s="16">
        <f t="shared" si="3"/>
        <v>0</v>
      </c>
      <c r="G30" s="16">
        <f t="shared" si="3"/>
        <v>0</v>
      </c>
      <c r="H30" s="16">
        <f t="shared" si="3"/>
        <v>0</v>
      </c>
      <c r="I30" s="16">
        <f t="shared" si="3"/>
        <v>0</v>
      </c>
      <c r="J30" s="16">
        <f t="shared" si="3"/>
        <v>0</v>
      </c>
      <c r="K30" s="15">
        <f t="shared" si="2"/>
        <v>0</v>
      </c>
      <c r="M30" s="22"/>
      <c r="N30" s="22"/>
      <c r="O30" s="23"/>
      <c r="P30" s="23"/>
      <c r="Q30" s="23"/>
      <c r="R30" s="22"/>
    </row>
    <row r="31" spans="1:18" x14ac:dyDescent="0.15">
      <c r="A31" s="25"/>
      <c r="B31" s="18"/>
      <c r="C31" s="24"/>
      <c r="D31" s="24"/>
      <c r="E31" s="24"/>
      <c r="F31" s="16">
        <f t="shared" si="3"/>
        <v>0</v>
      </c>
      <c r="G31" s="16">
        <f t="shared" si="3"/>
        <v>0</v>
      </c>
      <c r="H31" s="16">
        <f t="shared" si="3"/>
        <v>0</v>
      </c>
      <c r="I31" s="16">
        <f t="shared" si="3"/>
        <v>0</v>
      </c>
      <c r="J31" s="16">
        <f t="shared" si="3"/>
        <v>0</v>
      </c>
      <c r="K31" s="15">
        <f t="shared" si="2"/>
        <v>0</v>
      </c>
      <c r="M31" s="22"/>
      <c r="N31" s="22"/>
      <c r="O31" s="23"/>
      <c r="P31" s="23"/>
      <c r="Q31" s="23"/>
      <c r="R31" s="22"/>
    </row>
    <row r="32" spans="1:18" x14ac:dyDescent="0.15">
      <c r="A32" s="25"/>
      <c r="B32" s="18"/>
      <c r="C32" s="24"/>
      <c r="D32" s="24"/>
      <c r="E32" s="24"/>
      <c r="F32" s="16">
        <f t="shared" si="3"/>
        <v>0</v>
      </c>
      <c r="G32" s="16">
        <f t="shared" si="3"/>
        <v>0</v>
      </c>
      <c r="H32" s="16">
        <f t="shared" si="3"/>
        <v>0</v>
      </c>
      <c r="I32" s="16">
        <f t="shared" si="3"/>
        <v>0</v>
      </c>
      <c r="J32" s="16">
        <f t="shared" si="3"/>
        <v>0</v>
      </c>
      <c r="K32" s="15">
        <f t="shared" si="2"/>
        <v>0</v>
      </c>
      <c r="M32" s="22"/>
      <c r="N32" s="22"/>
      <c r="O32" s="23"/>
      <c r="P32" s="23"/>
      <c r="Q32" s="23"/>
      <c r="R32" s="22"/>
    </row>
    <row r="33" spans="1:21" x14ac:dyDescent="0.15">
      <c r="A33" s="25"/>
      <c r="B33" s="18"/>
      <c r="C33" s="24"/>
      <c r="D33" s="24"/>
      <c r="E33" s="24"/>
      <c r="F33" s="16">
        <f t="shared" si="3"/>
        <v>0</v>
      </c>
      <c r="G33" s="16">
        <f t="shared" si="3"/>
        <v>0</v>
      </c>
      <c r="H33" s="16">
        <f t="shared" si="3"/>
        <v>0</v>
      </c>
      <c r="I33" s="16">
        <f t="shared" si="3"/>
        <v>0</v>
      </c>
      <c r="J33" s="16">
        <f t="shared" si="3"/>
        <v>0</v>
      </c>
      <c r="K33" s="15">
        <f t="shared" si="2"/>
        <v>0</v>
      </c>
      <c r="M33" s="22"/>
      <c r="N33" s="22"/>
      <c r="O33" s="23"/>
      <c r="P33" s="23"/>
      <c r="Q33" s="23"/>
      <c r="R33" s="22"/>
    </row>
    <row r="34" spans="1:21" x14ac:dyDescent="0.15">
      <c r="A34" s="25"/>
      <c r="B34" s="18"/>
      <c r="C34" s="24"/>
      <c r="D34" s="24"/>
      <c r="E34" s="24"/>
      <c r="F34" s="16">
        <f t="shared" si="3"/>
        <v>0</v>
      </c>
      <c r="G34" s="16">
        <f t="shared" si="3"/>
        <v>0</v>
      </c>
      <c r="H34" s="16">
        <f t="shared" si="3"/>
        <v>0</v>
      </c>
      <c r="I34" s="16">
        <f t="shared" si="3"/>
        <v>0</v>
      </c>
      <c r="J34" s="16">
        <f t="shared" si="3"/>
        <v>0</v>
      </c>
      <c r="K34" s="15">
        <f t="shared" si="2"/>
        <v>0</v>
      </c>
      <c r="M34" s="22"/>
      <c r="N34" s="22"/>
      <c r="O34" s="23"/>
      <c r="P34" s="23"/>
      <c r="Q34" s="23"/>
      <c r="R34" s="22"/>
    </row>
    <row r="35" spans="1:21" x14ac:dyDescent="0.15">
      <c r="A35" s="25"/>
      <c r="B35" s="18"/>
      <c r="C35" s="24"/>
      <c r="D35" s="24"/>
      <c r="E35" s="24"/>
      <c r="F35" s="16">
        <f t="shared" si="3"/>
        <v>0</v>
      </c>
      <c r="G35" s="16">
        <f t="shared" si="3"/>
        <v>0</v>
      </c>
      <c r="H35" s="16">
        <f t="shared" si="3"/>
        <v>0</v>
      </c>
      <c r="I35" s="16">
        <f t="shared" si="3"/>
        <v>0</v>
      </c>
      <c r="J35" s="16">
        <f t="shared" si="3"/>
        <v>0</v>
      </c>
      <c r="K35" s="15">
        <f t="shared" si="2"/>
        <v>0</v>
      </c>
      <c r="M35" s="22"/>
      <c r="N35" s="22"/>
      <c r="O35" s="23"/>
      <c r="P35" s="23"/>
      <c r="Q35" s="23"/>
      <c r="R35" s="22"/>
    </row>
    <row r="36" spans="1:21" x14ac:dyDescent="0.15">
      <c r="A36" s="25"/>
      <c r="B36" s="18"/>
      <c r="C36" s="24"/>
      <c r="D36" s="24"/>
      <c r="E36" s="24"/>
      <c r="F36" s="16">
        <f t="shared" si="3"/>
        <v>0</v>
      </c>
      <c r="G36" s="16">
        <f t="shared" si="3"/>
        <v>0</v>
      </c>
      <c r="H36" s="16">
        <f t="shared" si="3"/>
        <v>0</v>
      </c>
      <c r="I36" s="16">
        <f t="shared" si="3"/>
        <v>0</v>
      </c>
      <c r="J36" s="16">
        <f t="shared" si="3"/>
        <v>0</v>
      </c>
      <c r="K36" s="15">
        <f t="shared" si="2"/>
        <v>0</v>
      </c>
      <c r="M36" s="22"/>
      <c r="N36" s="22"/>
      <c r="O36" s="23"/>
      <c r="P36" s="23"/>
      <c r="Q36" s="23"/>
      <c r="R36" s="22"/>
    </row>
    <row r="37" spans="1:21" x14ac:dyDescent="0.15">
      <c r="A37" s="25"/>
      <c r="B37" s="18"/>
      <c r="C37" s="24"/>
      <c r="D37" s="24"/>
      <c r="E37" s="24"/>
      <c r="F37" s="16">
        <f t="shared" si="3"/>
        <v>0</v>
      </c>
      <c r="G37" s="16">
        <f t="shared" si="3"/>
        <v>0</v>
      </c>
      <c r="H37" s="16">
        <f t="shared" si="3"/>
        <v>0</v>
      </c>
      <c r="I37" s="16">
        <f t="shared" si="3"/>
        <v>0</v>
      </c>
      <c r="J37" s="16">
        <f t="shared" si="3"/>
        <v>0</v>
      </c>
      <c r="K37" s="15">
        <f t="shared" si="2"/>
        <v>0</v>
      </c>
      <c r="M37" s="22"/>
      <c r="N37" s="22"/>
      <c r="O37" s="23"/>
      <c r="P37" s="23"/>
      <c r="Q37" s="23"/>
      <c r="R37" s="22"/>
    </row>
    <row r="38" spans="1:21" x14ac:dyDescent="0.15">
      <c r="A38" s="25"/>
      <c r="B38" s="18"/>
      <c r="C38" s="24"/>
      <c r="D38" s="24"/>
      <c r="E38" s="24"/>
      <c r="F38" s="16">
        <f t="shared" si="3"/>
        <v>0</v>
      </c>
      <c r="G38" s="16">
        <f t="shared" si="3"/>
        <v>0</v>
      </c>
      <c r="H38" s="16">
        <f t="shared" si="3"/>
        <v>0</v>
      </c>
      <c r="I38" s="16">
        <f t="shared" si="3"/>
        <v>0</v>
      </c>
      <c r="J38" s="16">
        <f t="shared" si="3"/>
        <v>0</v>
      </c>
      <c r="K38" s="15">
        <f t="shared" si="2"/>
        <v>0</v>
      </c>
      <c r="M38" s="22"/>
      <c r="N38" s="22"/>
      <c r="O38" s="23"/>
      <c r="P38" s="23"/>
      <c r="Q38" s="23"/>
      <c r="R38" s="22"/>
    </row>
    <row r="39" spans="1:21" x14ac:dyDescent="0.15">
      <c r="A39" s="25"/>
      <c r="B39" s="18"/>
      <c r="C39" s="24"/>
      <c r="D39" s="24"/>
      <c r="E39" s="24"/>
      <c r="F39" s="16">
        <f t="shared" si="3"/>
        <v>0</v>
      </c>
      <c r="G39" s="16">
        <f t="shared" si="3"/>
        <v>0</v>
      </c>
      <c r="H39" s="16">
        <f t="shared" si="3"/>
        <v>0</v>
      </c>
      <c r="I39" s="16">
        <f t="shared" si="3"/>
        <v>0</v>
      </c>
      <c r="J39" s="16">
        <f t="shared" si="3"/>
        <v>0</v>
      </c>
      <c r="K39" s="15">
        <f t="shared" si="2"/>
        <v>0</v>
      </c>
      <c r="M39" s="22"/>
      <c r="N39" s="22"/>
      <c r="O39" s="23"/>
      <c r="P39" s="23"/>
      <c r="Q39" s="23"/>
      <c r="R39" s="22"/>
    </row>
    <row r="40" spans="1:21" x14ac:dyDescent="0.15">
      <c r="A40" s="25"/>
      <c r="B40" s="18"/>
      <c r="C40" s="24"/>
      <c r="D40" s="24"/>
      <c r="E40" s="24"/>
      <c r="F40" s="16">
        <f t="shared" si="3"/>
        <v>0</v>
      </c>
      <c r="G40" s="16">
        <f t="shared" si="3"/>
        <v>0</v>
      </c>
      <c r="H40" s="16">
        <f t="shared" si="3"/>
        <v>0</v>
      </c>
      <c r="I40" s="16">
        <f t="shared" si="3"/>
        <v>0</v>
      </c>
      <c r="J40" s="16">
        <f t="shared" si="3"/>
        <v>0</v>
      </c>
      <c r="K40" s="15">
        <f t="shared" si="2"/>
        <v>0</v>
      </c>
      <c r="M40" s="22"/>
      <c r="N40" s="22"/>
      <c r="O40" s="23"/>
      <c r="P40" s="23"/>
      <c r="Q40" s="23"/>
      <c r="R40" s="22"/>
    </row>
    <row r="41" spans="1:21" x14ac:dyDescent="0.15">
      <c r="A41" s="14" t="s">
        <v>138</v>
      </c>
      <c r="B41" s="14"/>
      <c r="C41" s="13">
        <f t="shared" ref="C41:F41" si="4">SUM(C16:C40)</f>
        <v>0</v>
      </c>
      <c r="D41" s="13">
        <f t="shared" si="4"/>
        <v>0</v>
      </c>
      <c r="E41" s="13">
        <f t="shared" si="4"/>
        <v>0</v>
      </c>
      <c r="F41" s="13">
        <f t="shared" si="4"/>
        <v>0</v>
      </c>
      <c r="G41" s="13"/>
      <c r="H41" s="13">
        <f>SUM(H16:H40)</f>
        <v>0</v>
      </c>
      <c r="I41" s="13">
        <f>SUM(I16:I40)</f>
        <v>0</v>
      </c>
      <c r="J41" s="13">
        <f>SUM(J16:J40)</f>
        <v>0</v>
      </c>
      <c r="K41" s="13">
        <f>SUM(K16:K40)</f>
        <v>0</v>
      </c>
      <c r="M41" s="21"/>
      <c r="N41" s="21"/>
      <c r="O41" s="21"/>
      <c r="P41" s="21"/>
      <c r="Q41" s="21"/>
      <c r="R41" s="21"/>
    </row>
    <row r="42" spans="1:21" x14ac:dyDescent="0.15">
      <c r="L42" s="49"/>
      <c r="M42" s="49"/>
      <c r="N42" s="49"/>
      <c r="O42" s="49"/>
      <c r="P42" s="49"/>
      <c r="Q42" s="49"/>
      <c r="R42" s="49"/>
      <c r="S42" s="49"/>
      <c r="T42" s="49"/>
      <c r="U42" s="49"/>
    </row>
    <row r="43" spans="1:21" x14ac:dyDescent="0.15">
      <c r="F43" s="153" t="s">
        <v>141</v>
      </c>
      <c r="G43" s="153"/>
      <c r="H43" s="153"/>
      <c r="I43" s="153"/>
      <c r="J43" s="153"/>
      <c r="K43" s="155"/>
      <c r="L43" s="49"/>
      <c r="M43" s="154"/>
      <c r="N43" s="154"/>
      <c r="O43" s="154"/>
      <c r="P43" s="154"/>
      <c r="Q43" s="154"/>
      <c r="R43" s="154"/>
      <c r="S43" s="49"/>
      <c r="T43" s="49"/>
      <c r="U43" s="49"/>
    </row>
    <row r="44" spans="1:21" ht="50" x14ac:dyDescent="0.15">
      <c r="A44" s="20" t="s">
        <v>140</v>
      </c>
      <c r="F44" s="19" t="s">
        <v>98</v>
      </c>
      <c r="G44" s="19" t="s">
        <v>99</v>
      </c>
      <c r="H44" s="19" t="s">
        <v>100</v>
      </c>
      <c r="I44" s="19" t="s">
        <v>101</v>
      </c>
      <c r="J44" s="19" t="s">
        <v>102</v>
      </c>
      <c r="K44" s="46" t="s">
        <v>139</v>
      </c>
      <c r="L44" s="49"/>
      <c r="M44" s="50"/>
      <c r="N44" s="50"/>
      <c r="O44" s="50"/>
      <c r="P44" s="50"/>
      <c r="Q44" s="50"/>
      <c r="R44" s="51"/>
      <c r="S44" s="49"/>
      <c r="T44" s="49"/>
      <c r="U44" s="49"/>
    </row>
    <row r="45" spans="1:21" x14ac:dyDescent="0.15">
      <c r="A45" s="18"/>
      <c r="B45" s="18"/>
      <c r="C45" s="17">
        <f t="shared" ref="C45:E69" si="5">SUMIF($B:$B, $A45,C:C )</f>
        <v>0</v>
      </c>
      <c r="D45" s="17">
        <f t="shared" si="5"/>
        <v>0</v>
      </c>
      <c r="E45" s="17">
        <f t="shared" si="5"/>
        <v>0</v>
      </c>
      <c r="F45" s="16">
        <f t="shared" ref="F45:J54" si="6">SUMIF($C$1:$E$1, F$15, $C45:$E45)</f>
        <v>0</v>
      </c>
      <c r="G45" s="16">
        <f t="shared" si="6"/>
        <v>0</v>
      </c>
      <c r="H45" s="16">
        <f t="shared" si="6"/>
        <v>0</v>
      </c>
      <c r="I45" s="16">
        <f t="shared" si="6"/>
        <v>0</v>
      </c>
      <c r="J45" s="16">
        <f t="shared" si="6"/>
        <v>0</v>
      </c>
      <c r="K45" s="47">
        <f t="shared" ref="K45:K69" si="7">SUM(C45:E45)</f>
        <v>0</v>
      </c>
      <c r="L45" s="49"/>
      <c r="M45" s="22"/>
      <c r="N45" s="22"/>
      <c r="O45" s="23"/>
      <c r="P45" s="23"/>
      <c r="Q45" s="23"/>
      <c r="R45" s="22"/>
      <c r="S45" s="49"/>
      <c r="T45" s="49"/>
      <c r="U45" s="49"/>
    </row>
    <row r="46" spans="1:21" x14ac:dyDescent="0.15">
      <c r="A46" s="18"/>
      <c r="B46" s="18"/>
      <c r="C46" s="17">
        <f t="shared" si="5"/>
        <v>0</v>
      </c>
      <c r="D46" s="17">
        <f t="shared" si="5"/>
        <v>0</v>
      </c>
      <c r="E46" s="17">
        <f t="shared" si="5"/>
        <v>0</v>
      </c>
      <c r="F46" s="16">
        <f t="shared" si="6"/>
        <v>0</v>
      </c>
      <c r="G46" s="16">
        <f t="shared" si="6"/>
        <v>0</v>
      </c>
      <c r="H46" s="16">
        <f t="shared" si="6"/>
        <v>0</v>
      </c>
      <c r="I46" s="16">
        <f t="shared" si="6"/>
        <v>0</v>
      </c>
      <c r="J46" s="16">
        <f t="shared" si="6"/>
        <v>0</v>
      </c>
      <c r="K46" s="47">
        <f t="shared" si="7"/>
        <v>0</v>
      </c>
      <c r="L46" s="49"/>
      <c r="M46" s="22"/>
      <c r="N46" s="22"/>
      <c r="O46" s="23"/>
      <c r="P46" s="23"/>
      <c r="Q46" s="23"/>
      <c r="R46" s="22"/>
      <c r="S46" s="49"/>
      <c r="T46" s="49"/>
      <c r="U46" s="49"/>
    </row>
    <row r="47" spans="1:21" x14ac:dyDescent="0.15">
      <c r="A47" s="18"/>
      <c r="B47" s="18"/>
      <c r="C47" s="17">
        <f t="shared" si="5"/>
        <v>0</v>
      </c>
      <c r="D47" s="17">
        <f t="shared" si="5"/>
        <v>0</v>
      </c>
      <c r="E47" s="17">
        <f t="shared" si="5"/>
        <v>0</v>
      </c>
      <c r="F47" s="16">
        <f t="shared" si="6"/>
        <v>0</v>
      </c>
      <c r="G47" s="16">
        <f t="shared" si="6"/>
        <v>0</v>
      </c>
      <c r="H47" s="16">
        <f t="shared" si="6"/>
        <v>0</v>
      </c>
      <c r="I47" s="16">
        <f t="shared" si="6"/>
        <v>0</v>
      </c>
      <c r="J47" s="16">
        <f t="shared" si="6"/>
        <v>0</v>
      </c>
      <c r="K47" s="47">
        <f t="shared" si="7"/>
        <v>0</v>
      </c>
      <c r="L47" s="49"/>
      <c r="M47" s="22"/>
      <c r="N47" s="22"/>
      <c r="O47" s="23"/>
      <c r="P47" s="23"/>
      <c r="Q47" s="23"/>
      <c r="R47" s="22"/>
      <c r="S47" s="49"/>
      <c r="T47" s="49"/>
      <c r="U47" s="49"/>
    </row>
    <row r="48" spans="1:21" x14ac:dyDescent="0.15">
      <c r="A48" s="18"/>
      <c r="B48" s="18"/>
      <c r="C48" s="17">
        <f t="shared" si="5"/>
        <v>0</v>
      </c>
      <c r="D48" s="17">
        <f t="shared" si="5"/>
        <v>0</v>
      </c>
      <c r="E48" s="17">
        <f t="shared" si="5"/>
        <v>0</v>
      </c>
      <c r="F48" s="16">
        <f t="shared" si="6"/>
        <v>0</v>
      </c>
      <c r="G48" s="16">
        <f t="shared" si="6"/>
        <v>0</v>
      </c>
      <c r="H48" s="16">
        <f t="shared" si="6"/>
        <v>0</v>
      </c>
      <c r="I48" s="16">
        <f t="shared" si="6"/>
        <v>0</v>
      </c>
      <c r="J48" s="16">
        <f t="shared" si="6"/>
        <v>0</v>
      </c>
      <c r="K48" s="47">
        <f t="shared" si="7"/>
        <v>0</v>
      </c>
      <c r="L48" s="49"/>
      <c r="M48" s="22"/>
      <c r="N48" s="22"/>
      <c r="O48" s="23"/>
      <c r="P48" s="23"/>
      <c r="Q48" s="23"/>
      <c r="R48" s="22"/>
      <c r="S48" s="49"/>
      <c r="T48" s="49"/>
      <c r="U48" s="49"/>
    </row>
    <row r="49" spans="1:21" x14ac:dyDescent="0.15">
      <c r="A49" s="18"/>
      <c r="B49" s="18"/>
      <c r="C49" s="17">
        <f t="shared" si="5"/>
        <v>0</v>
      </c>
      <c r="D49" s="17">
        <f t="shared" si="5"/>
        <v>0</v>
      </c>
      <c r="E49" s="17">
        <f t="shared" si="5"/>
        <v>0</v>
      </c>
      <c r="F49" s="16">
        <f t="shared" si="6"/>
        <v>0</v>
      </c>
      <c r="G49" s="16">
        <f t="shared" si="6"/>
        <v>0</v>
      </c>
      <c r="H49" s="16">
        <f t="shared" si="6"/>
        <v>0</v>
      </c>
      <c r="I49" s="16">
        <f t="shared" si="6"/>
        <v>0</v>
      </c>
      <c r="J49" s="16">
        <f t="shared" si="6"/>
        <v>0</v>
      </c>
      <c r="K49" s="47">
        <f t="shared" si="7"/>
        <v>0</v>
      </c>
      <c r="L49" s="49"/>
      <c r="M49" s="22"/>
      <c r="N49" s="22"/>
      <c r="O49" s="23"/>
      <c r="P49" s="23"/>
      <c r="Q49" s="23"/>
      <c r="R49" s="22"/>
      <c r="S49" s="49"/>
      <c r="T49" s="49"/>
      <c r="U49" s="49"/>
    </row>
    <row r="50" spans="1:21" x14ac:dyDescent="0.15">
      <c r="A50" s="18"/>
      <c r="B50" s="18"/>
      <c r="C50" s="17">
        <f t="shared" si="5"/>
        <v>0</v>
      </c>
      <c r="D50" s="17">
        <f t="shared" si="5"/>
        <v>0</v>
      </c>
      <c r="E50" s="17">
        <f t="shared" si="5"/>
        <v>0</v>
      </c>
      <c r="F50" s="16">
        <f t="shared" si="6"/>
        <v>0</v>
      </c>
      <c r="G50" s="16">
        <f t="shared" si="6"/>
        <v>0</v>
      </c>
      <c r="H50" s="16">
        <f t="shared" si="6"/>
        <v>0</v>
      </c>
      <c r="I50" s="16">
        <f t="shared" si="6"/>
        <v>0</v>
      </c>
      <c r="J50" s="16">
        <f t="shared" si="6"/>
        <v>0</v>
      </c>
      <c r="K50" s="47">
        <f t="shared" si="7"/>
        <v>0</v>
      </c>
      <c r="L50" s="49"/>
      <c r="M50" s="22"/>
      <c r="N50" s="22"/>
      <c r="O50" s="23"/>
      <c r="P50" s="23"/>
      <c r="Q50" s="23"/>
      <c r="R50" s="22"/>
      <c r="S50" s="49"/>
      <c r="T50" s="49"/>
      <c r="U50" s="49"/>
    </row>
    <row r="51" spans="1:21" x14ac:dyDescent="0.15">
      <c r="A51" s="18"/>
      <c r="B51" s="18"/>
      <c r="C51" s="17">
        <f t="shared" si="5"/>
        <v>0</v>
      </c>
      <c r="D51" s="17">
        <f t="shared" si="5"/>
        <v>0</v>
      </c>
      <c r="E51" s="17">
        <f t="shared" si="5"/>
        <v>0</v>
      </c>
      <c r="F51" s="16">
        <f t="shared" si="6"/>
        <v>0</v>
      </c>
      <c r="G51" s="16">
        <f t="shared" si="6"/>
        <v>0</v>
      </c>
      <c r="H51" s="16">
        <f t="shared" si="6"/>
        <v>0</v>
      </c>
      <c r="I51" s="16">
        <f t="shared" si="6"/>
        <v>0</v>
      </c>
      <c r="J51" s="16">
        <f t="shared" si="6"/>
        <v>0</v>
      </c>
      <c r="K51" s="47">
        <f t="shared" si="7"/>
        <v>0</v>
      </c>
      <c r="L51" s="49"/>
      <c r="M51" s="22"/>
      <c r="N51" s="22"/>
      <c r="O51" s="23"/>
      <c r="P51" s="23"/>
      <c r="Q51" s="23"/>
      <c r="R51" s="22"/>
      <c r="S51" s="49"/>
      <c r="T51" s="49"/>
      <c r="U51" s="49"/>
    </row>
    <row r="52" spans="1:21" x14ac:dyDescent="0.15">
      <c r="A52" s="18"/>
      <c r="B52" s="18"/>
      <c r="C52" s="17">
        <f t="shared" si="5"/>
        <v>0</v>
      </c>
      <c r="D52" s="17">
        <f t="shared" si="5"/>
        <v>0</v>
      </c>
      <c r="E52" s="17">
        <f t="shared" si="5"/>
        <v>0</v>
      </c>
      <c r="F52" s="16">
        <f t="shared" si="6"/>
        <v>0</v>
      </c>
      <c r="G52" s="16">
        <f t="shared" si="6"/>
        <v>0</v>
      </c>
      <c r="H52" s="16">
        <f t="shared" si="6"/>
        <v>0</v>
      </c>
      <c r="I52" s="16">
        <f t="shared" si="6"/>
        <v>0</v>
      </c>
      <c r="J52" s="16">
        <f t="shared" si="6"/>
        <v>0</v>
      </c>
      <c r="K52" s="47">
        <f t="shared" si="7"/>
        <v>0</v>
      </c>
      <c r="L52" s="49"/>
      <c r="M52" s="22"/>
      <c r="N52" s="22"/>
      <c r="O52" s="23"/>
      <c r="P52" s="23"/>
      <c r="Q52" s="23"/>
      <c r="R52" s="22"/>
      <c r="S52" s="49"/>
      <c r="T52" s="49"/>
      <c r="U52" s="49"/>
    </row>
    <row r="53" spans="1:21" x14ac:dyDescent="0.15">
      <c r="A53" s="18"/>
      <c r="B53" s="18"/>
      <c r="C53" s="17">
        <f t="shared" si="5"/>
        <v>0</v>
      </c>
      <c r="D53" s="17">
        <f t="shared" si="5"/>
        <v>0</v>
      </c>
      <c r="E53" s="17">
        <f t="shared" si="5"/>
        <v>0</v>
      </c>
      <c r="F53" s="16">
        <f t="shared" si="6"/>
        <v>0</v>
      </c>
      <c r="G53" s="16">
        <f t="shared" si="6"/>
        <v>0</v>
      </c>
      <c r="H53" s="16">
        <f t="shared" si="6"/>
        <v>0</v>
      </c>
      <c r="I53" s="16">
        <f t="shared" si="6"/>
        <v>0</v>
      </c>
      <c r="J53" s="16">
        <f t="shared" si="6"/>
        <v>0</v>
      </c>
      <c r="K53" s="47">
        <f t="shared" si="7"/>
        <v>0</v>
      </c>
      <c r="L53" s="49"/>
      <c r="M53" s="22"/>
      <c r="N53" s="22"/>
      <c r="O53" s="23"/>
      <c r="P53" s="23"/>
      <c r="Q53" s="23"/>
      <c r="R53" s="22"/>
      <c r="S53" s="49"/>
      <c r="T53" s="49"/>
      <c r="U53" s="49"/>
    </row>
    <row r="54" spans="1:21" x14ac:dyDescent="0.15">
      <c r="A54" s="18"/>
      <c r="B54" s="18"/>
      <c r="C54" s="17">
        <f t="shared" si="5"/>
        <v>0</v>
      </c>
      <c r="D54" s="17">
        <f t="shared" si="5"/>
        <v>0</v>
      </c>
      <c r="E54" s="17">
        <f t="shared" si="5"/>
        <v>0</v>
      </c>
      <c r="F54" s="16">
        <f t="shared" si="6"/>
        <v>0</v>
      </c>
      <c r="G54" s="16">
        <f t="shared" si="6"/>
        <v>0</v>
      </c>
      <c r="H54" s="16">
        <f t="shared" si="6"/>
        <v>0</v>
      </c>
      <c r="I54" s="16">
        <f t="shared" si="6"/>
        <v>0</v>
      </c>
      <c r="J54" s="16">
        <f t="shared" si="6"/>
        <v>0</v>
      </c>
      <c r="K54" s="47">
        <f t="shared" si="7"/>
        <v>0</v>
      </c>
      <c r="L54" s="49"/>
      <c r="M54" s="22"/>
      <c r="N54" s="22"/>
      <c r="O54" s="23"/>
      <c r="P54" s="23"/>
      <c r="Q54" s="23"/>
      <c r="R54" s="22"/>
      <c r="S54" s="49"/>
      <c r="T54" s="49"/>
      <c r="U54" s="49"/>
    </row>
    <row r="55" spans="1:21" x14ac:dyDescent="0.15">
      <c r="A55" s="18"/>
      <c r="B55" s="18"/>
      <c r="C55" s="17">
        <f t="shared" si="5"/>
        <v>0</v>
      </c>
      <c r="D55" s="17">
        <f t="shared" si="5"/>
        <v>0</v>
      </c>
      <c r="E55" s="17">
        <f t="shared" si="5"/>
        <v>0</v>
      </c>
      <c r="F55" s="16">
        <f t="shared" ref="F55:J69" si="8">SUMIF($C$1:$E$1, F$15, $C55:$E55)</f>
        <v>0</v>
      </c>
      <c r="G55" s="16">
        <f t="shared" si="8"/>
        <v>0</v>
      </c>
      <c r="H55" s="16">
        <f t="shared" si="8"/>
        <v>0</v>
      </c>
      <c r="I55" s="16">
        <f t="shared" si="8"/>
        <v>0</v>
      </c>
      <c r="J55" s="16">
        <f t="shared" si="8"/>
        <v>0</v>
      </c>
      <c r="K55" s="47">
        <f t="shared" si="7"/>
        <v>0</v>
      </c>
      <c r="L55" s="49"/>
      <c r="M55" s="22"/>
      <c r="N55" s="22"/>
      <c r="O55" s="23"/>
      <c r="P55" s="23"/>
      <c r="Q55" s="23"/>
      <c r="R55" s="22"/>
      <c r="S55" s="49"/>
      <c r="T55" s="49"/>
      <c r="U55" s="49"/>
    </row>
    <row r="56" spans="1:21" x14ac:dyDescent="0.15">
      <c r="A56" s="18"/>
      <c r="B56" s="18"/>
      <c r="C56" s="17">
        <f t="shared" si="5"/>
        <v>0</v>
      </c>
      <c r="D56" s="17">
        <f t="shared" si="5"/>
        <v>0</v>
      </c>
      <c r="E56" s="17">
        <f t="shared" si="5"/>
        <v>0</v>
      </c>
      <c r="F56" s="16">
        <f t="shared" si="8"/>
        <v>0</v>
      </c>
      <c r="G56" s="16">
        <f t="shared" si="8"/>
        <v>0</v>
      </c>
      <c r="H56" s="16">
        <f t="shared" si="8"/>
        <v>0</v>
      </c>
      <c r="I56" s="16">
        <f t="shared" si="8"/>
        <v>0</v>
      </c>
      <c r="J56" s="16">
        <f t="shared" si="8"/>
        <v>0</v>
      </c>
      <c r="K56" s="47">
        <f t="shared" si="7"/>
        <v>0</v>
      </c>
      <c r="L56" s="49"/>
      <c r="M56" s="22"/>
      <c r="N56" s="22"/>
      <c r="O56" s="23"/>
      <c r="P56" s="23"/>
      <c r="Q56" s="23"/>
      <c r="R56" s="22"/>
      <c r="S56" s="49"/>
      <c r="T56" s="49"/>
      <c r="U56" s="49"/>
    </row>
    <row r="57" spans="1:21" x14ac:dyDescent="0.15">
      <c r="A57" s="18"/>
      <c r="B57" s="18"/>
      <c r="C57" s="17">
        <f t="shared" si="5"/>
        <v>0</v>
      </c>
      <c r="D57" s="17">
        <f t="shared" si="5"/>
        <v>0</v>
      </c>
      <c r="E57" s="17">
        <f t="shared" si="5"/>
        <v>0</v>
      </c>
      <c r="F57" s="16">
        <f t="shared" si="8"/>
        <v>0</v>
      </c>
      <c r="G57" s="16">
        <f t="shared" si="8"/>
        <v>0</v>
      </c>
      <c r="H57" s="16">
        <f t="shared" si="8"/>
        <v>0</v>
      </c>
      <c r="I57" s="16">
        <f t="shared" si="8"/>
        <v>0</v>
      </c>
      <c r="J57" s="16">
        <f t="shared" si="8"/>
        <v>0</v>
      </c>
      <c r="K57" s="47">
        <f t="shared" si="7"/>
        <v>0</v>
      </c>
      <c r="L57" s="49"/>
      <c r="M57" s="22"/>
      <c r="N57" s="22"/>
      <c r="O57" s="23"/>
      <c r="P57" s="23"/>
      <c r="Q57" s="23"/>
      <c r="R57" s="22"/>
      <c r="S57" s="49"/>
      <c r="T57" s="49"/>
      <c r="U57" s="49"/>
    </row>
    <row r="58" spans="1:21" x14ac:dyDescent="0.15">
      <c r="A58" s="18"/>
      <c r="B58" s="18"/>
      <c r="C58" s="17">
        <f t="shared" si="5"/>
        <v>0</v>
      </c>
      <c r="D58" s="17">
        <f t="shared" si="5"/>
        <v>0</v>
      </c>
      <c r="E58" s="17">
        <f t="shared" si="5"/>
        <v>0</v>
      </c>
      <c r="F58" s="16">
        <f t="shared" si="8"/>
        <v>0</v>
      </c>
      <c r="G58" s="16">
        <f t="shared" si="8"/>
        <v>0</v>
      </c>
      <c r="H58" s="16">
        <f t="shared" si="8"/>
        <v>0</v>
      </c>
      <c r="I58" s="16">
        <f t="shared" si="8"/>
        <v>0</v>
      </c>
      <c r="J58" s="16">
        <f t="shared" si="8"/>
        <v>0</v>
      </c>
      <c r="K58" s="47">
        <f t="shared" si="7"/>
        <v>0</v>
      </c>
      <c r="L58" s="49"/>
      <c r="M58" s="22"/>
      <c r="N58" s="22"/>
      <c r="O58" s="23"/>
      <c r="P58" s="23"/>
      <c r="Q58" s="23"/>
      <c r="R58" s="22"/>
      <c r="S58" s="49"/>
      <c r="T58" s="49"/>
      <c r="U58" s="49"/>
    </row>
    <row r="59" spans="1:21" x14ac:dyDescent="0.15">
      <c r="A59" s="18"/>
      <c r="B59" s="18"/>
      <c r="C59" s="17">
        <f t="shared" si="5"/>
        <v>0</v>
      </c>
      <c r="D59" s="17">
        <f t="shared" si="5"/>
        <v>0</v>
      </c>
      <c r="E59" s="17">
        <f t="shared" si="5"/>
        <v>0</v>
      </c>
      <c r="F59" s="16">
        <f t="shared" si="8"/>
        <v>0</v>
      </c>
      <c r="G59" s="16">
        <f t="shared" si="8"/>
        <v>0</v>
      </c>
      <c r="H59" s="16">
        <f t="shared" si="8"/>
        <v>0</v>
      </c>
      <c r="I59" s="16">
        <f t="shared" si="8"/>
        <v>0</v>
      </c>
      <c r="J59" s="16">
        <f t="shared" si="8"/>
        <v>0</v>
      </c>
      <c r="K59" s="47">
        <f t="shared" si="7"/>
        <v>0</v>
      </c>
      <c r="L59" s="49"/>
      <c r="M59" s="22"/>
      <c r="N59" s="22"/>
      <c r="O59" s="23"/>
      <c r="P59" s="23"/>
      <c r="Q59" s="23"/>
      <c r="R59" s="22"/>
      <c r="S59" s="49"/>
      <c r="T59" s="49"/>
      <c r="U59" s="49"/>
    </row>
    <row r="60" spans="1:21" x14ac:dyDescent="0.15">
      <c r="A60" s="18"/>
      <c r="B60" s="18"/>
      <c r="C60" s="17">
        <f t="shared" si="5"/>
        <v>0</v>
      </c>
      <c r="D60" s="17">
        <f t="shared" si="5"/>
        <v>0</v>
      </c>
      <c r="E60" s="17">
        <f t="shared" si="5"/>
        <v>0</v>
      </c>
      <c r="F60" s="16">
        <f t="shared" si="8"/>
        <v>0</v>
      </c>
      <c r="G60" s="16">
        <f t="shared" si="8"/>
        <v>0</v>
      </c>
      <c r="H60" s="16">
        <f t="shared" si="8"/>
        <v>0</v>
      </c>
      <c r="I60" s="16">
        <f t="shared" si="8"/>
        <v>0</v>
      </c>
      <c r="J60" s="16">
        <f t="shared" si="8"/>
        <v>0</v>
      </c>
      <c r="K60" s="47">
        <f t="shared" si="7"/>
        <v>0</v>
      </c>
      <c r="L60" s="49"/>
      <c r="M60" s="22"/>
      <c r="N60" s="22"/>
      <c r="O60" s="23"/>
      <c r="P60" s="23"/>
      <c r="Q60" s="23"/>
      <c r="R60" s="22"/>
      <c r="S60" s="49"/>
      <c r="T60" s="49"/>
      <c r="U60" s="49"/>
    </row>
    <row r="61" spans="1:21" x14ac:dyDescent="0.15">
      <c r="A61" s="18"/>
      <c r="B61" s="18"/>
      <c r="C61" s="17">
        <f t="shared" si="5"/>
        <v>0</v>
      </c>
      <c r="D61" s="17">
        <f t="shared" si="5"/>
        <v>0</v>
      </c>
      <c r="E61" s="17">
        <f t="shared" si="5"/>
        <v>0</v>
      </c>
      <c r="F61" s="16">
        <f t="shared" si="8"/>
        <v>0</v>
      </c>
      <c r="G61" s="16">
        <f t="shared" si="8"/>
        <v>0</v>
      </c>
      <c r="H61" s="16">
        <f t="shared" si="8"/>
        <v>0</v>
      </c>
      <c r="I61" s="16">
        <f t="shared" si="8"/>
        <v>0</v>
      </c>
      <c r="J61" s="16">
        <f t="shared" si="8"/>
        <v>0</v>
      </c>
      <c r="K61" s="47">
        <f t="shared" si="7"/>
        <v>0</v>
      </c>
      <c r="L61" s="49"/>
      <c r="M61" s="22"/>
      <c r="N61" s="22"/>
      <c r="O61" s="23"/>
      <c r="P61" s="23"/>
      <c r="Q61" s="23"/>
      <c r="R61" s="22"/>
      <c r="S61" s="49"/>
      <c r="T61" s="49"/>
      <c r="U61" s="49"/>
    </row>
    <row r="62" spans="1:21" x14ac:dyDescent="0.15">
      <c r="A62" s="18"/>
      <c r="B62" s="18"/>
      <c r="C62" s="17">
        <f t="shared" si="5"/>
        <v>0</v>
      </c>
      <c r="D62" s="17">
        <f t="shared" si="5"/>
        <v>0</v>
      </c>
      <c r="E62" s="17">
        <f t="shared" si="5"/>
        <v>0</v>
      </c>
      <c r="F62" s="16">
        <f t="shared" si="8"/>
        <v>0</v>
      </c>
      <c r="G62" s="16">
        <f t="shared" si="8"/>
        <v>0</v>
      </c>
      <c r="H62" s="16">
        <f t="shared" si="8"/>
        <v>0</v>
      </c>
      <c r="I62" s="16">
        <f t="shared" si="8"/>
        <v>0</v>
      </c>
      <c r="J62" s="16">
        <f t="shared" si="8"/>
        <v>0</v>
      </c>
      <c r="K62" s="47">
        <f t="shared" si="7"/>
        <v>0</v>
      </c>
      <c r="L62" s="49"/>
      <c r="M62" s="22"/>
      <c r="N62" s="22"/>
      <c r="O62" s="23"/>
      <c r="P62" s="23"/>
      <c r="Q62" s="23"/>
      <c r="R62" s="22"/>
      <c r="S62" s="49"/>
      <c r="T62" s="49"/>
      <c r="U62" s="49"/>
    </row>
    <row r="63" spans="1:21" x14ac:dyDescent="0.15">
      <c r="A63" s="18"/>
      <c r="B63" s="18"/>
      <c r="C63" s="17">
        <f t="shared" si="5"/>
        <v>0</v>
      </c>
      <c r="D63" s="17">
        <f t="shared" si="5"/>
        <v>0</v>
      </c>
      <c r="E63" s="17">
        <f t="shared" si="5"/>
        <v>0</v>
      </c>
      <c r="F63" s="16">
        <f t="shared" si="8"/>
        <v>0</v>
      </c>
      <c r="G63" s="16">
        <f t="shared" si="8"/>
        <v>0</v>
      </c>
      <c r="H63" s="16">
        <f t="shared" si="8"/>
        <v>0</v>
      </c>
      <c r="I63" s="16">
        <f t="shared" si="8"/>
        <v>0</v>
      </c>
      <c r="J63" s="16">
        <f t="shared" si="8"/>
        <v>0</v>
      </c>
      <c r="K63" s="47">
        <f t="shared" si="7"/>
        <v>0</v>
      </c>
      <c r="L63" s="49"/>
      <c r="M63" s="22"/>
      <c r="N63" s="22"/>
      <c r="O63" s="23"/>
      <c r="P63" s="23"/>
      <c r="Q63" s="23"/>
      <c r="R63" s="22"/>
      <c r="S63" s="49"/>
      <c r="T63" s="49"/>
      <c r="U63" s="49"/>
    </row>
    <row r="64" spans="1:21" x14ac:dyDescent="0.15">
      <c r="A64" s="18"/>
      <c r="B64" s="18"/>
      <c r="C64" s="17">
        <f t="shared" si="5"/>
        <v>0</v>
      </c>
      <c r="D64" s="17">
        <f t="shared" si="5"/>
        <v>0</v>
      </c>
      <c r="E64" s="17">
        <f t="shared" si="5"/>
        <v>0</v>
      </c>
      <c r="F64" s="16">
        <f t="shared" si="8"/>
        <v>0</v>
      </c>
      <c r="G64" s="16">
        <f t="shared" si="8"/>
        <v>0</v>
      </c>
      <c r="H64" s="16">
        <f t="shared" si="8"/>
        <v>0</v>
      </c>
      <c r="I64" s="16">
        <f t="shared" si="8"/>
        <v>0</v>
      </c>
      <c r="J64" s="16">
        <f t="shared" si="8"/>
        <v>0</v>
      </c>
      <c r="K64" s="47">
        <f t="shared" si="7"/>
        <v>0</v>
      </c>
      <c r="L64" s="49"/>
      <c r="M64" s="22"/>
      <c r="N64" s="22"/>
      <c r="O64" s="23"/>
      <c r="P64" s="23"/>
      <c r="Q64" s="23"/>
      <c r="R64" s="22"/>
      <c r="S64" s="49"/>
      <c r="T64" s="49"/>
      <c r="U64" s="49"/>
    </row>
    <row r="65" spans="1:21" x14ac:dyDescent="0.15">
      <c r="A65" s="18"/>
      <c r="B65" s="18"/>
      <c r="C65" s="17">
        <f t="shared" si="5"/>
        <v>0</v>
      </c>
      <c r="D65" s="17">
        <f t="shared" si="5"/>
        <v>0</v>
      </c>
      <c r="E65" s="17">
        <f t="shared" si="5"/>
        <v>0</v>
      </c>
      <c r="F65" s="16">
        <f t="shared" si="8"/>
        <v>0</v>
      </c>
      <c r="G65" s="16">
        <f t="shared" si="8"/>
        <v>0</v>
      </c>
      <c r="H65" s="16">
        <f t="shared" si="8"/>
        <v>0</v>
      </c>
      <c r="I65" s="16">
        <f t="shared" si="8"/>
        <v>0</v>
      </c>
      <c r="J65" s="16">
        <f t="shared" si="8"/>
        <v>0</v>
      </c>
      <c r="K65" s="47">
        <f t="shared" si="7"/>
        <v>0</v>
      </c>
      <c r="L65" s="49"/>
      <c r="M65" s="22"/>
      <c r="N65" s="22"/>
      <c r="O65" s="23"/>
      <c r="P65" s="23"/>
      <c r="Q65" s="23"/>
      <c r="R65" s="22"/>
      <c r="S65" s="49"/>
      <c r="T65" s="49"/>
      <c r="U65" s="49"/>
    </row>
    <row r="66" spans="1:21" x14ac:dyDescent="0.15">
      <c r="A66" s="18"/>
      <c r="B66" s="18"/>
      <c r="C66" s="17">
        <f t="shared" si="5"/>
        <v>0</v>
      </c>
      <c r="D66" s="17">
        <f t="shared" si="5"/>
        <v>0</v>
      </c>
      <c r="E66" s="17">
        <f t="shared" si="5"/>
        <v>0</v>
      </c>
      <c r="F66" s="16">
        <f t="shared" si="8"/>
        <v>0</v>
      </c>
      <c r="G66" s="16">
        <f t="shared" si="8"/>
        <v>0</v>
      </c>
      <c r="H66" s="16">
        <f t="shared" si="8"/>
        <v>0</v>
      </c>
      <c r="I66" s="16">
        <f t="shared" si="8"/>
        <v>0</v>
      </c>
      <c r="J66" s="16">
        <f t="shared" si="8"/>
        <v>0</v>
      </c>
      <c r="K66" s="47">
        <f t="shared" si="7"/>
        <v>0</v>
      </c>
      <c r="L66" s="49"/>
      <c r="M66" s="22"/>
      <c r="N66" s="22"/>
      <c r="O66" s="23"/>
      <c r="P66" s="23"/>
      <c r="Q66" s="23"/>
      <c r="R66" s="22"/>
      <c r="S66" s="49"/>
      <c r="T66" s="49"/>
      <c r="U66" s="49"/>
    </row>
    <row r="67" spans="1:21" x14ac:dyDescent="0.15">
      <c r="A67" s="18"/>
      <c r="B67" s="18"/>
      <c r="C67" s="17">
        <f t="shared" si="5"/>
        <v>0</v>
      </c>
      <c r="D67" s="17">
        <f t="shared" si="5"/>
        <v>0</v>
      </c>
      <c r="E67" s="17">
        <f t="shared" si="5"/>
        <v>0</v>
      </c>
      <c r="F67" s="16">
        <f t="shared" si="8"/>
        <v>0</v>
      </c>
      <c r="G67" s="16">
        <f t="shared" si="8"/>
        <v>0</v>
      </c>
      <c r="H67" s="16">
        <f t="shared" si="8"/>
        <v>0</v>
      </c>
      <c r="I67" s="16">
        <f t="shared" si="8"/>
        <v>0</v>
      </c>
      <c r="J67" s="16">
        <f t="shared" si="8"/>
        <v>0</v>
      </c>
      <c r="K67" s="47">
        <f t="shared" si="7"/>
        <v>0</v>
      </c>
      <c r="L67" s="49"/>
      <c r="M67" s="22"/>
      <c r="N67" s="22"/>
      <c r="O67" s="23"/>
      <c r="P67" s="23"/>
      <c r="Q67" s="23"/>
      <c r="R67" s="22"/>
      <c r="S67" s="49"/>
      <c r="T67" s="49"/>
      <c r="U67" s="49"/>
    </row>
    <row r="68" spans="1:21" x14ac:dyDescent="0.15">
      <c r="A68" s="18"/>
      <c r="B68" s="18"/>
      <c r="C68" s="17">
        <f t="shared" si="5"/>
        <v>0</v>
      </c>
      <c r="D68" s="17">
        <f t="shared" si="5"/>
        <v>0</v>
      </c>
      <c r="E68" s="17">
        <f t="shared" si="5"/>
        <v>0</v>
      </c>
      <c r="F68" s="16">
        <f t="shared" si="8"/>
        <v>0</v>
      </c>
      <c r="G68" s="16">
        <f t="shared" si="8"/>
        <v>0</v>
      </c>
      <c r="H68" s="16">
        <f t="shared" si="8"/>
        <v>0</v>
      </c>
      <c r="I68" s="16">
        <f t="shared" si="8"/>
        <v>0</v>
      </c>
      <c r="J68" s="16">
        <f t="shared" si="8"/>
        <v>0</v>
      </c>
      <c r="K68" s="47">
        <f t="shared" si="7"/>
        <v>0</v>
      </c>
      <c r="L68" s="49"/>
      <c r="M68" s="22"/>
      <c r="N68" s="22"/>
      <c r="O68" s="23"/>
      <c r="P68" s="23"/>
      <c r="Q68" s="23"/>
      <c r="R68" s="22"/>
      <c r="S68" s="49"/>
      <c r="T68" s="49"/>
      <c r="U68" s="49"/>
    </row>
    <row r="69" spans="1:21" x14ac:dyDescent="0.15">
      <c r="A69" s="18"/>
      <c r="B69" s="18"/>
      <c r="C69" s="17">
        <f t="shared" si="5"/>
        <v>0</v>
      </c>
      <c r="D69" s="17">
        <f t="shared" si="5"/>
        <v>0</v>
      </c>
      <c r="E69" s="17">
        <f t="shared" si="5"/>
        <v>0</v>
      </c>
      <c r="F69" s="16">
        <f t="shared" si="8"/>
        <v>0</v>
      </c>
      <c r="G69" s="16">
        <f t="shared" si="8"/>
        <v>0</v>
      </c>
      <c r="H69" s="16">
        <f t="shared" si="8"/>
        <v>0</v>
      </c>
      <c r="I69" s="16">
        <f t="shared" si="8"/>
        <v>0</v>
      </c>
      <c r="J69" s="16">
        <f t="shared" si="8"/>
        <v>0</v>
      </c>
      <c r="K69" s="47">
        <f t="shared" si="7"/>
        <v>0</v>
      </c>
      <c r="L69" s="49"/>
      <c r="M69" s="22"/>
      <c r="N69" s="22"/>
      <c r="O69" s="23"/>
      <c r="P69" s="23"/>
      <c r="Q69" s="23"/>
      <c r="R69" s="22"/>
      <c r="S69" s="49"/>
      <c r="T69" s="49"/>
      <c r="U69" s="49"/>
    </row>
    <row r="70" spans="1:21" x14ac:dyDescent="0.15">
      <c r="A70" s="14" t="s">
        <v>138</v>
      </c>
      <c r="B70" s="14"/>
      <c r="C70" s="13">
        <f t="shared" ref="C70:K70" si="9">SUM(C45:C69)</f>
        <v>0</v>
      </c>
      <c r="D70" s="13">
        <f t="shared" si="9"/>
        <v>0</v>
      </c>
      <c r="E70" s="13">
        <f t="shared" si="9"/>
        <v>0</v>
      </c>
      <c r="F70" s="13">
        <f t="shared" si="9"/>
        <v>0</v>
      </c>
      <c r="G70" s="13">
        <f t="shared" si="9"/>
        <v>0</v>
      </c>
      <c r="H70" s="13">
        <f t="shared" si="9"/>
        <v>0</v>
      </c>
      <c r="I70" s="13">
        <f t="shared" si="9"/>
        <v>0</v>
      </c>
      <c r="J70" s="13">
        <f t="shared" si="9"/>
        <v>0</v>
      </c>
      <c r="K70" s="48">
        <f t="shared" si="9"/>
        <v>0</v>
      </c>
      <c r="L70" s="49"/>
      <c r="M70" s="21"/>
      <c r="N70" s="21"/>
      <c r="O70" s="21"/>
      <c r="P70" s="21"/>
      <c r="Q70" s="21"/>
      <c r="R70" s="21"/>
      <c r="S70" s="49"/>
      <c r="T70" s="49"/>
      <c r="U70" s="49"/>
    </row>
    <row r="71" spans="1:21" x14ac:dyDescent="0.15">
      <c r="L71" s="49"/>
      <c r="M71" s="49"/>
      <c r="N71" s="49"/>
      <c r="O71" s="49"/>
      <c r="P71" s="49"/>
      <c r="Q71" s="49"/>
      <c r="R71" s="49"/>
      <c r="S71" s="49"/>
      <c r="T71" s="49"/>
      <c r="U71" s="49"/>
    </row>
  </sheetData>
  <sheetProtection formatCells="0" formatColumns="0" formatRows="0"/>
  <mergeCells count="3">
    <mergeCell ref="F13:K13"/>
    <mergeCell ref="M43:R43"/>
    <mergeCell ref="F43:K43"/>
  </mergeCells>
  <conditionalFormatting sqref="F46:J69 F22:J22 F24:J40 F16:J20">
    <cfRule type="expression" dxfId="12" priority="11">
      <formula>ABS(F16-M16)/(M16+0.000001)&gt;0.1</formula>
    </cfRule>
  </conditionalFormatting>
  <conditionalFormatting sqref="C5:D5 C2:E4 C6:E11">
    <cfRule type="expression" dxfId="11" priority="12">
      <formula>C$1=$B2</formula>
    </cfRule>
  </conditionalFormatting>
  <conditionalFormatting sqref="F45:J45">
    <cfRule type="expression" dxfId="10" priority="17">
      <formula>ABS(F45-#REF!)/(#REF!+0.000001)&gt;0.1</formula>
    </cfRule>
  </conditionalFormatting>
  <conditionalFormatting sqref="F23:J23">
    <cfRule type="expression" dxfId="9" priority="3">
      <formula>ABS(F23-M23)/(M23+0.000001)&gt;0.1</formula>
    </cfRule>
  </conditionalFormatting>
  <conditionalFormatting sqref="F21:J21">
    <cfRule type="expression" dxfId="8" priority="2">
      <formula>ABS(F21-M21)/(M21+0.000001)&gt;0.1</formula>
    </cfRule>
  </conditionalFormatting>
  <conditionalFormatting sqref="D5:E5">
    <cfRule type="expression" dxfId="7" priority="28">
      <formula>#REF!=$B5</formula>
    </cfRule>
  </conditionalFormatting>
  <dataValidations count="2">
    <dataValidation type="list" allowBlank="1" showInputMessage="1" showErrorMessage="1" sqref="B16:B40">
      <formula1>ROLES</formula1>
    </dataValidation>
    <dataValidation type="list" allowBlank="1" showInputMessage="1" showErrorMessage="1" sqref="C1:E1">
      <formula1>PHASES</formula1>
    </dataValidation>
  </dataValidations>
  <pageMargins left="0.7" right="0.7" top="0.75" bottom="0.75" header="0.3" footer="0.3"/>
  <pageSetup orientation="landscape" horizontalDpi="4294967293" verticalDpi="429496729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G2" sqref="G2:G11"/>
    </sheetView>
  </sheetViews>
  <sheetFormatPr baseColWidth="10" defaultRowHeight="16" x14ac:dyDescent="0.2"/>
  <cols>
    <col min="1" max="1" width="36.6640625" customWidth="1"/>
    <col min="2" max="2" width="18.83203125" customWidth="1"/>
    <col min="3" max="3" width="19.83203125" customWidth="1"/>
    <col min="4" max="4" width="16.1640625" customWidth="1"/>
    <col min="5" max="5" width="20.1640625" customWidth="1"/>
    <col min="6" max="6" width="18.83203125" style="83" customWidth="1"/>
    <col min="7" max="7" width="20.33203125" style="83" customWidth="1"/>
  </cols>
  <sheetData>
    <row r="1" spans="1:7" ht="37" customHeight="1" thickBot="1" x14ac:dyDescent="0.25">
      <c r="A1" s="89" t="s">
        <v>223</v>
      </c>
      <c r="B1" s="90" t="s">
        <v>224</v>
      </c>
      <c r="C1" s="90" t="s">
        <v>225</v>
      </c>
      <c r="D1" s="90" t="s">
        <v>226</v>
      </c>
      <c r="E1" s="90" t="s">
        <v>227</v>
      </c>
      <c r="F1" s="91" t="s">
        <v>229</v>
      </c>
      <c r="G1" s="92" t="s">
        <v>228</v>
      </c>
    </row>
    <row r="2" spans="1:7" ht="18" thickTop="1" thickBot="1" x14ac:dyDescent="0.25">
      <c r="A2" s="73" t="s">
        <v>217</v>
      </c>
      <c r="B2" s="75">
        <f>VLOOKUP(Estimator!$B$12,Data!$M$1:$N$5,2,0)*'Effort Estimates'!C2</f>
        <v>0</v>
      </c>
      <c r="C2" s="76">
        <f>(100%-VLOOKUP(Estimator!$B$12,Data!$M$1:$N$5,2,0))*'Effort Estimates'!C2</f>
        <v>336.96</v>
      </c>
      <c r="D2" s="75">
        <f>B2*Data!AK4</f>
        <v>0</v>
      </c>
      <c r="E2" s="77">
        <f>C2*Data!AK5</f>
        <v>13478.4</v>
      </c>
      <c r="F2" s="85">
        <f>SUM('Cost Estimates'!$B2:$C2)*Data!AK4</f>
        <v>40435.199999999997</v>
      </c>
      <c r="G2" s="84">
        <f>('Cost Estimates'!$F2-$E2-D2)/$F2</f>
        <v>0.66666666666666663</v>
      </c>
    </row>
    <row r="3" spans="1:7" ht="18" thickTop="1" thickBot="1" x14ac:dyDescent="0.25">
      <c r="A3" s="74" t="s">
        <v>218</v>
      </c>
      <c r="B3" s="75">
        <f>VLOOKUP(Estimator!$B$12,Data!$M$1:$N$5,2,0)*'Effort Estimates'!C3</f>
        <v>0</v>
      </c>
      <c r="C3" s="76">
        <f>(100%-VLOOKUP(Estimator!$B$12,Data!$M$1:$N$5,2,0))*'Effort Estimates'!C3</f>
        <v>336.96</v>
      </c>
      <c r="D3" s="81">
        <f>B3*Data!AK6</f>
        <v>0</v>
      </c>
      <c r="E3" s="82">
        <f>C3*Data!AK7</f>
        <v>13478.4</v>
      </c>
      <c r="F3" s="86">
        <f>SUM('Cost Estimates'!$B3:$C3)*Data!AK6</f>
        <v>40435.199999999997</v>
      </c>
      <c r="G3" s="84">
        <f>('Cost Estimates'!$F3-$E3-D3)/$F3</f>
        <v>0.66666666666666663</v>
      </c>
    </row>
    <row r="4" spans="1:7" ht="18" thickTop="1" thickBot="1" x14ac:dyDescent="0.25">
      <c r="A4" s="73" t="s">
        <v>219</v>
      </c>
      <c r="B4" s="75">
        <f>VLOOKUP(Estimator!$B$12,Data!$M$1:$N$5,2,0)*'Effort Estimates'!C4</f>
        <v>0</v>
      </c>
      <c r="C4" s="76">
        <f>(100%-VLOOKUP(Estimator!$B$12,Data!$M$1:$N$5,2,0))*'Effort Estimates'!C4</f>
        <v>336.96</v>
      </c>
      <c r="D4" s="75">
        <f>B4*Data!AK2</f>
        <v>0</v>
      </c>
      <c r="E4" s="77">
        <f>C4*Data!AK3</f>
        <v>13478.4</v>
      </c>
      <c r="F4" s="87">
        <f>SUM('Cost Estimates'!$B4:$C4)*Data!AK2</f>
        <v>47174.399999999994</v>
      </c>
      <c r="G4" s="84">
        <f>('Cost Estimates'!$F4-$E4-D4)/$F4</f>
        <v>0.71428571428571419</v>
      </c>
    </row>
    <row r="5" spans="1:7" ht="18" thickTop="1" thickBot="1" x14ac:dyDescent="0.25">
      <c r="A5" s="74" t="s">
        <v>221</v>
      </c>
      <c r="B5" s="75">
        <f>VLOOKUP(Estimator!$B$12,Data!$M$1:$N$5,2,0)*'Effort Estimates'!C5</f>
        <v>0</v>
      </c>
      <c r="C5" s="76">
        <f>(100%-VLOOKUP(Estimator!$B$12,Data!$M$1:$N$5,2,0))*'Effort Estimates'!C5</f>
        <v>1296</v>
      </c>
      <c r="D5" s="81">
        <f>B5*Data!AK8</f>
        <v>0</v>
      </c>
      <c r="E5" s="82">
        <f>C5*Data!AK9</f>
        <v>51840</v>
      </c>
      <c r="F5" s="86">
        <f>SUM('Cost Estimates'!$B5:$C5)*Data!AK8</f>
        <v>155520</v>
      </c>
      <c r="G5" s="84">
        <f>('Cost Estimates'!$F5-$E5-D5)/$F5</f>
        <v>0.66666666666666663</v>
      </c>
    </row>
    <row r="6" spans="1:7" ht="18" thickTop="1" thickBot="1" x14ac:dyDescent="0.25">
      <c r="A6" s="73" t="s">
        <v>220</v>
      </c>
      <c r="B6" s="75">
        <f>VLOOKUP(Estimator!$B$12,Data!$M$1:$N$5,2,0)*'Effort Estimates'!C6</f>
        <v>0</v>
      </c>
      <c r="C6" s="76">
        <f>(100%-VLOOKUP(Estimator!$B$12,Data!$M$1:$N$5,2,0))*'Effort Estimates'!C6</f>
        <v>673.92</v>
      </c>
      <c r="D6" s="75">
        <f>B6*Data!AK10</f>
        <v>0</v>
      </c>
      <c r="E6" s="77">
        <f>C6*Data!AK11</f>
        <v>26956.799999999999</v>
      </c>
      <c r="F6" s="87">
        <f>SUM('Cost Estimates'!$B6:$C6)*Data!AK10</f>
        <v>80870.399999999994</v>
      </c>
      <c r="G6" s="84">
        <f>('Cost Estimates'!$F6-$E6-D6)/$F6</f>
        <v>0.66666666666666663</v>
      </c>
    </row>
    <row r="7" spans="1:7" ht="18" thickTop="1" thickBot="1" x14ac:dyDescent="0.25">
      <c r="A7" s="74" t="s">
        <v>222</v>
      </c>
      <c r="B7" s="75">
        <f>VLOOKUP(Estimator!$B$12,Data!$M$1:$N$5,2,0)*'Effort Estimates'!C7</f>
        <v>0</v>
      </c>
      <c r="C7" s="76">
        <f>(100%-VLOOKUP(Estimator!$B$12,Data!$M$1:$N$5,2,0))*'Effort Estimates'!C7</f>
        <v>168.48</v>
      </c>
      <c r="D7" s="81">
        <f>B7*Data!AK8</f>
        <v>0</v>
      </c>
      <c r="E7" s="82">
        <f>C7*Data!AK9</f>
        <v>6739.2</v>
      </c>
      <c r="F7" s="86">
        <f>SUM('Cost Estimates'!$B7:$C7)*Data!AK8</f>
        <v>20217.599999999999</v>
      </c>
      <c r="G7" s="84">
        <f>('Cost Estimates'!$F7-$E7-D7)/$F7</f>
        <v>0.66666666666666663</v>
      </c>
    </row>
    <row r="8" spans="1:7" ht="18" thickTop="1" thickBot="1" x14ac:dyDescent="0.25">
      <c r="A8" s="73" t="str">
        <f>'Effort Estimates'!A9:B9</f>
        <v>UAT Support - Developers</v>
      </c>
      <c r="B8" s="75">
        <f>VLOOKUP(Estimator!$B$12,Data!$M$1:$N$5,2,0)*'Effort Estimates'!C8</f>
        <v>0</v>
      </c>
      <c r="C8" s="76">
        <f>(100%-VLOOKUP(Estimator!$B$12,Data!$M$1:$N$5,2,0))*'Effort Estimates'!C8</f>
        <v>64.8</v>
      </c>
      <c r="D8" s="75">
        <f>B8*Data!AK8</f>
        <v>0</v>
      </c>
      <c r="E8" s="77">
        <f>C8*Data!AK9</f>
        <v>2592</v>
      </c>
      <c r="F8" s="87">
        <f>SUM('Cost Estimates'!$B8:$C8)*Data!AK8</f>
        <v>7776</v>
      </c>
      <c r="G8" s="84">
        <f>('Cost Estimates'!$F8-$E8-D8)/$F8</f>
        <v>0.66666666666666663</v>
      </c>
    </row>
    <row r="9" spans="1:7" ht="18" thickTop="1" thickBot="1" x14ac:dyDescent="0.25">
      <c r="A9" s="74" t="str">
        <f>'Effort Estimates'!A10:B10</f>
        <v>UAT Support - Testers</v>
      </c>
      <c r="B9" s="75">
        <f>VLOOKUP(Estimator!$B$12,Data!$M$1:$N$5,2,0)*'Effort Estimates'!C9</f>
        <v>0</v>
      </c>
      <c r="C9" s="76">
        <f>(100%-VLOOKUP(Estimator!$B$12,Data!$M$1:$N$5,2,0))*'Effort Estimates'!C9</f>
        <v>84.24</v>
      </c>
      <c r="D9" s="81">
        <f>B9*Data!AK10</f>
        <v>0</v>
      </c>
      <c r="E9" s="82">
        <f>C9*Data!AK11</f>
        <v>3369.6</v>
      </c>
      <c r="F9" s="86">
        <f>SUM('Cost Estimates'!$B9:$C9)*Data!AK10</f>
        <v>10108.799999999999</v>
      </c>
      <c r="G9" s="84">
        <f>('Cost Estimates'!$F9-$E9-D9)/$F9</f>
        <v>0.66666666666666663</v>
      </c>
    </row>
    <row r="10" spans="1:7" ht="18" thickTop="1" thickBot="1" x14ac:dyDescent="0.25">
      <c r="A10" s="73" t="s">
        <v>184</v>
      </c>
      <c r="B10" s="75">
        <f>VLOOKUP(Estimator!$B$12,Data!$M$1:$N$5,2,0)*'Effort Estimates'!C10</f>
        <v>0</v>
      </c>
      <c r="C10" s="76">
        <f>(100%-VLOOKUP(Estimator!$B$12,Data!$M$1:$N$5,2,0))*'Effort Estimates'!C10</f>
        <v>84.24</v>
      </c>
      <c r="D10" s="75">
        <f>B10*Data!AK8</f>
        <v>0</v>
      </c>
      <c r="E10" s="77">
        <f>C10*Data!AK9</f>
        <v>3369.6</v>
      </c>
      <c r="F10" s="87">
        <f>SUM('Cost Estimates'!$B10:$C10)*Data!AK8</f>
        <v>10108.799999999999</v>
      </c>
      <c r="G10" s="84">
        <f>('Cost Estimates'!$F10-$E10-D10)/$F10</f>
        <v>0.66666666666666663</v>
      </c>
    </row>
    <row r="11" spans="1:7" ht="17" thickTop="1" x14ac:dyDescent="0.2">
      <c r="A11" s="72" t="s">
        <v>139</v>
      </c>
      <c r="B11" s="78">
        <f>SUM(B2:B10)</f>
        <v>0</v>
      </c>
      <c r="C11" s="79">
        <f t="shared" ref="C11:E11" si="0">SUM(C2:C10)</f>
        <v>3382.56</v>
      </c>
      <c r="D11" s="78">
        <f t="shared" si="0"/>
        <v>0</v>
      </c>
      <c r="E11" s="80">
        <f t="shared" si="0"/>
        <v>135302.39999999999</v>
      </c>
      <c r="F11" s="88">
        <f>SUM(F2:F10)</f>
        <v>412646.39999999991</v>
      </c>
      <c r="G11" s="84">
        <f>('Cost Estimates'!$F11-$E11-D11)/$F11</f>
        <v>0.67211055276381892</v>
      </c>
    </row>
    <row r="13" spans="1:7" x14ac:dyDescent="0.2">
      <c r="C13" s="52" t="s">
        <v>234</v>
      </c>
      <c r="D13" s="69">
        <f>SUM(D11:E11)</f>
        <v>135302.39999999999</v>
      </c>
    </row>
    <row r="14" spans="1:7" x14ac:dyDescent="0.2">
      <c r="C14" s="52" t="s">
        <v>235</v>
      </c>
      <c r="D14" s="93">
        <f>G11</f>
        <v>0.67211055276381892</v>
      </c>
    </row>
    <row r="20" spans="4:4" x14ac:dyDescent="0.2">
      <c r="D20" s="56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80" zoomScaleNormal="80" zoomScalePageLayoutView="80" workbookViewId="0">
      <selection activeCell="P27" sqref="P27"/>
    </sheetView>
  </sheetViews>
  <sheetFormatPr baseColWidth="10" defaultRowHeight="16" x14ac:dyDescent="0.2"/>
  <cols>
    <col min="1" max="1" width="30" customWidth="1"/>
    <col min="2" max="2" width="19.1640625" customWidth="1"/>
    <col min="3" max="3" width="12.6640625" bestFit="1" customWidth="1"/>
  </cols>
  <sheetData>
    <row r="1" spans="1:34" ht="24" x14ac:dyDescent="0.3">
      <c r="A1" s="156" t="s">
        <v>186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</row>
    <row r="3" spans="1:34" x14ac:dyDescent="0.2">
      <c r="A3" t="s">
        <v>168</v>
      </c>
      <c r="B3" s="58">
        <f>'Effort Estimates'!C12</f>
        <v>3417</v>
      </c>
      <c r="C3" t="s">
        <v>204</v>
      </c>
      <c r="D3" s="62"/>
      <c r="E3" s="61"/>
    </row>
    <row r="4" spans="1:34" x14ac:dyDescent="0.2">
      <c r="A4" s="6" t="s">
        <v>169</v>
      </c>
      <c r="B4" s="6">
        <v>4</v>
      </c>
      <c r="C4" t="s">
        <v>175</v>
      </c>
    </row>
    <row r="5" spans="1:34" x14ac:dyDescent="0.2">
      <c r="A5" s="6" t="s">
        <v>170</v>
      </c>
      <c r="B5" s="6">
        <v>3</v>
      </c>
      <c r="C5" t="s">
        <v>190</v>
      </c>
    </row>
    <row r="6" spans="1:34" x14ac:dyDescent="0.2">
      <c r="A6" s="6" t="s">
        <v>171</v>
      </c>
      <c r="B6" s="6">
        <v>3</v>
      </c>
      <c r="C6" t="s">
        <v>190</v>
      </c>
    </row>
    <row r="7" spans="1:34" x14ac:dyDescent="0.2">
      <c r="A7" s="6" t="s">
        <v>182</v>
      </c>
      <c r="B7" s="6">
        <v>1</v>
      </c>
      <c r="C7" t="s">
        <v>190</v>
      </c>
    </row>
    <row r="9" spans="1:34" ht="24" x14ac:dyDescent="0.3">
      <c r="A9" s="156" t="s">
        <v>185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</row>
    <row r="10" spans="1:34" x14ac:dyDescent="0.2">
      <c r="A10" t="s">
        <v>201</v>
      </c>
      <c r="B10" s="58">
        <f>ROUNDUP((('Effort Estimates'!C3+'Effort Estimates'!C2)/(Plan!B5*40)),)</f>
        <v>6</v>
      </c>
      <c r="C10" t="s">
        <v>175</v>
      </c>
    </row>
    <row r="11" spans="1:34" x14ac:dyDescent="0.2">
      <c r="A11" t="s">
        <v>198</v>
      </c>
      <c r="B11" s="58">
        <f>ROUNDUP(((Estimator!C70)/(Plan!B5*40)),0)</f>
        <v>11</v>
      </c>
      <c r="C11" t="s">
        <v>175</v>
      </c>
    </row>
    <row r="12" spans="1:34" x14ac:dyDescent="0.2">
      <c r="A12" t="s">
        <v>196</v>
      </c>
      <c r="B12" s="58">
        <f>ROUNDUP(('Effort Estimates'!C6/(Plan!B6*40)),0)</f>
        <v>6</v>
      </c>
      <c r="C12" t="s">
        <v>175</v>
      </c>
    </row>
    <row r="13" spans="1:34" x14ac:dyDescent="0.2">
      <c r="A13" t="s">
        <v>197</v>
      </c>
      <c r="B13" s="60">
        <f>ROUNDUP(('Effort Estimates'!C8/(Plan!B7*40)),0)</f>
        <v>2</v>
      </c>
      <c r="C13" t="s">
        <v>175</v>
      </c>
    </row>
    <row r="14" spans="1:34" x14ac:dyDescent="0.2">
      <c r="A14" t="s">
        <v>199</v>
      </c>
      <c r="B14">
        <f>ROUNDUP(('Effort Estimates'!C11/(Plan!B5*40)),0)</f>
        <v>1</v>
      </c>
      <c r="C14" t="s">
        <v>175</v>
      </c>
    </row>
    <row r="15" spans="1:34" x14ac:dyDescent="0.2">
      <c r="A15" s="52" t="s">
        <v>200</v>
      </c>
      <c r="B15" s="69">
        <f>ROUNDUP(SUM(B10:B14),0)</f>
        <v>26</v>
      </c>
      <c r="C15" s="52" t="s">
        <v>175</v>
      </c>
    </row>
    <row r="16" spans="1:34" x14ac:dyDescent="0.2">
      <c r="A16" s="52" t="s">
        <v>176</v>
      </c>
      <c r="B16" s="69">
        <f>ROUNDUP(SUM(B10:B14)/B4,0)</f>
        <v>7</v>
      </c>
      <c r="C16" s="52" t="s">
        <v>183</v>
      </c>
    </row>
    <row r="17" spans="1:34" x14ac:dyDescent="0.2">
      <c r="B17" s="58"/>
    </row>
    <row r="18" spans="1:34" ht="24" x14ac:dyDescent="0.3">
      <c r="A18" s="156" t="s">
        <v>202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</row>
    <row r="19" spans="1:34" x14ac:dyDescent="0.2">
      <c r="A19" s="6" t="s">
        <v>194</v>
      </c>
      <c r="B19" s="70">
        <v>42767</v>
      </c>
    </row>
    <row r="20" spans="1:34" x14ac:dyDescent="0.2">
      <c r="A20" t="s">
        <v>195</v>
      </c>
      <c r="B20" s="67">
        <f>B19+(ROUNDUP(B15,0))*7</f>
        <v>42949</v>
      </c>
    </row>
    <row r="21" spans="1:34" x14ac:dyDescent="0.2">
      <c r="B21" s="58"/>
    </row>
    <row r="22" spans="1:34" ht="24" x14ac:dyDescent="0.3">
      <c r="A22" s="156" t="s">
        <v>203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</row>
    <row r="23" spans="1:34" x14ac:dyDescent="0.2">
      <c r="B23" s="104" t="s">
        <v>193</v>
      </c>
      <c r="C23" s="68">
        <v>1</v>
      </c>
      <c r="D23" s="68">
        <v>2</v>
      </c>
      <c r="E23" s="68">
        <v>3</v>
      </c>
      <c r="F23" s="68">
        <v>4</v>
      </c>
      <c r="G23" s="68">
        <v>5</v>
      </c>
      <c r="H23" s="68">
        <v>6</v>
      </c>
      <c r="I23" s="68">
        <v>7</v>
      </c>
      <c r="J23" s="68">
        <v>8</v>
      </c>
      <c r="K23" s="68">
        <v>9</v>
      </c>
      <c r="L23" s="68">
        <v>10</v>
      </c>
      <c r="M23" s="68">
        <v>11</v>
      </c>
      <c r="N23" s="68">
        <v>12</v>
      </c>
      <c r="O23" s="68">
        <v>13</v>
      </c>
      <c r="P23" s="68">
        <v>14</v>
      </c>
      <c r="Q23" s="68">
        <v>15</v>
      </c>
      <c r="R23" s="68">
        <v>16</v>
      </c>
      <c r="S23" s="68">
        <v>17</v>
      </c>
      <c r="T23" s="68">
        <v>18</v>
      </c>
      <c r="U23" s="68">
        <v>19</v>
      </c>
      <c r="V23" s="68">
        <v>20</v>
      </c>
      <c r="W23" s="68">
        <v>21</v>
      </c>
      <c r="X23" s="68">
        <v>22</v>
      </c>
      <c r="Y23" s="68">
        <v>23</v>
      </c>
      <c r="Z23" s="68">
        <v>24</v>
      </c>
      <c r="AA23" s="68">
        <v>25</v>
      </c>
      <c r="AB23" s="68">
        <v>26</v>
      </c>
      <c r="AC23" s="68">
        <v>27</v>
      </c>
      <c r="AD23" s="68">
        <v>28</v>
      </c>
      <c r="AE23" s="68">
        <v>29</v>
      </c>
      <c r="AF23" s="68">
        <v>30</v>
      </c>
      <c r="AG23" s="68">
        <v>31</v>
      </c>
      <c r="AH23" s="68">
        <v>32</v>
      </c>
    </row>
    <row r="24" spans="1:34" ht="26" customHeight="1" x14ac:dyDescent="0.2">
      <c r="B24" s="104" t="s">
        <v>239</v>
      </c>
      <c r="C24" s="63">
        <f>B19</f>
        <v>42767</v>
      </c>
      <c r="D24" s="63">
        <f t="shared" ref="D24:AH24" si="0">IF($B$15&gt;=D23,C24+7,"")</f>
        <v>42774</v>
      </c>
      <c r="E24" s="63">
        <f t="shared" si="0"/>
        <v>42781</v>
      </c>
      <c r="F24" s="63">
        <f t="shared" si="0"/>
        <v>42788</v>
      </c>
      <c r="G24" s="63">
        <f t="shared" si="0"/>
        <v>42795</v>
      </c>
      <c r="H24" s="63">
        <f t="shared" si="0"/>
        <v>42802</v>
      </c>
      <c r="I24" s="63">
        <f t="shared" si="0"/>
        <v>42809</v>
      </c>
      <c r="J24" s="63">
        <f t="shared" si="0"/>
        <v>42816</v>
      </c>
      <c r="K24" s="63">
        <f t="shared" si="0"/>
        <v>42823</v>
      </c>
      <c r="L24" s="63">
        <f t="shared" si="0"/>
        <v>42830</v>
      </c>
      <c r="M24" s="63">
        <f t="shared" si="0"/>
        <v>42837</v>
      </c>
      <c r="N24" s="63">
        <f t="shared" si="0"/>
        <v>42844</v>
      </c>
      <c r="O24" s="63">
        <f t="shared" si="0"/>
        <v>42851</v>
      </c>
      <c r="P24" s="63">
        <f t="shared" si="0"/>
        <v>42858</v>
      </c>
      <c r="Q24" s="63">
        <f t="shared" si="0"/>
        <v>42865</v>
      </c>
      <c r="R24" s="63">
        <f t="shared" si="0"/>
        <v>42872</v>
      </c>
      <c r="S24" s="63">
        <f t="shared" si="0"/>
        <v>42879</v>
      </c>
      <c r="T24" s="63">
        <f t="shared" si="0"/>
        <v>42886</v>
      </c>
      <c r="U24" s="63">
        <f t="shared" si="0"/>
        <v>42893</v>
      </c>
      <c r="V24" s="63">
        <f t="shared" si="0"/>
        <v>42900</v>
      </c>
      <c r="W24" s="63">
        <f t="shared" si="0"/>
        <v>42907</v>
      </c>
      <c r="X24" s="63">
        <f t="shared" si="0"/>
        <v>42914</v>
      </c>
      <c r="Y24" s="63">
        <f t="shared" si="0"/>
        <v>42921</v>
      </c>
      <c r="Z24" s="63">
        <f t="shared" si="0"/>
        <v>42928</v>
      </c>
      <c r="AA24" s="63">
        <f t="shared" si="0"/>
        <v>42935</v>
      </c>
      <c r="AB24" s="63">
        <f t="shared" si="0"/>
        <v>42942</v>
      </c>
      <c r="AC24" s="63" t="str">
        <f t="shared" si="0"/>
        <v/>
      </c>
      <c r="AD24" s="63" t="str">
        <f t="shared" si="0"/>
        <v/>
      </c>
      <c r="AE24" s="63" t="str">
        <f t="shared" si="0"/>
        <v/>
      </c>
      <c r="AF24" s="63" t="str">
        <f t="shared" si="0"/>
        <v/>
      </c>
      <c r="AG24" s="63" t="str">
        <f t="shared" si="0"/>
        <v/>
      </c>
      <c r="AH24" s="63" t="str">
        <f t="shared" si="0"/>
        <v/>
      </c>
    </row>
    <row r="25" spans="1:34" x14ac:dyDescent="0.2">
      <c r="A25" t="s">
        <v>177</v>
      </c>
      <c r="C25" s="64">
        <f>IF((('Effort Estimates'!C2+'Effort Estimates'!C3)/Plan!B5)&gt;40,40*B5,('Effort Estimates'!C2+'Effort Estimates'!C3))</f>
        <v>120</v>
      </c>
      <c r="D25" s="64">
        <f>IF(C25&lt;(40*B5),0,IF(((('Effort Estimates'!C2+'Effort Estimates'!C3)-C25)/Plan!B5)&gt;40,40*B5,(('Effort Estimates'!C2+'Effort Estimates'!C3)-C25)))</f>
        <v>120</v>
      </c>
      <c r="E25" s="64">
        <f>IF(D25&lt;40*B5,0,IF(((('Effort Estimates'!C2+'Effort Estimates'!C3)-(SUM(C25:D25)))/Plan!B5)&gt;40,40*B5,(('Effort Estimates'!C2+'Effort Estimates'!C3)-(SUM(C25:D25)))))</f>
        <v>120</v>
      </c>
      <c r="F25" s="64">
        <f>IF(E25&lt;40*B5,0,IF(((('Effort Estimates'!C2+'Effort Estimates'!C3)-(SUM(C25:E25)))/Plan!B5)&gt;40,40*B5,(('Effort Estimates'!C2+'Effort Estimates'!C3)-(SUM(C25:E25)))))</f>
        <v>120</v>
      </c>
      <c r="G25" s="64">
        <f>IF(F25&lt;40*$B$5,0,IF(((('Effort Estimates'!$C$2+'Effort Estimates'!$C$3)-(SUM(C25:F25)))/Plan!$B$5)&gt;40,40*$B$5,(('Effort Estimates'!$C$2+'Effort Estimates'!$C$3)-(SUM(C25:F25)))))</f>
        <v>120</v>
      </c>
      <c r="H25" s="64">
        <f>IF(G25&lt;40*$B$5,0,IF(((('Effort Estimates'!$C$2+'Effort Estimates'!$C$3)-(SUM(C25:G25)))/Plan!$B$5)&gt;40,40*$B$5,(('Effort Estimates'!$C$2+'Effort Estimates'!$C$3)-(SUM(C25:G25)))))</f>
        <v>73.919999999999959</v>
      </c>
      <c r="I25" s="64">
        <f>IF(H25&lt;40*$B$5,0,IF(((('Effort Estimates'!$C$2+'Effort Estimates'!$C$3)-(SUM(C25:H25)))/Plan!$B$5)&gt;40,40*$B$5,(('Effort Estimates'!$C$2+'Effort Estimates'!$C$3)-(SUM(C25:H25)))))</f>
        <v>0</v>
      </c>
      <c r="J25" s="64">
        <f>IF(I25&lt;40*$B$5,0,IF(((('Effort Estimates'!$C$2+'Effort Estimates'!$C$3)-(SUM($C$25:I25)))/Plan!$B$5)&gt;40,40*$B$5,(('Effort Estimates'!$C$2+'Effort Estimates'!$C$3)-(SUM($C$25:I25)))))</f>
        <v>0</v>
      </c>
      <c r="K25" s="64">
        <f>IF(J25&lt;40*$B$5,0,IF(((('Effort Estimates'!$C$2+'Effort Estimates'!$C$3)-(SUM($C$25:J25)))/Plan!$B$5)&gt;40,40*$B$5,(('Effort Estimates'!$C$2+'Effort Estimates'!$C$3)-(SUM($C$25:J25)))))</f>
        <v>0</v>
      </c>
      <c r="L25" s="64">
        <f>IF(K25&lt;40*$B$5,0,IF(((('Effort Estimates'!$C$2+'Effort Estimates'!$C$3)-(SUM($C$25:K25)))/Plan!$B$5)&gt;40,40*$B$5,(('Effort Estimates'!$C$2+'Effort Estimates'!$C$3)-(SUM($C$25:K25)))))</f>
        <v>0</v>
      </c>
      <c r="M25" s="64">
        <f>IF(L25&lt;40*$B$5,0,IF(((('Effort Estimates'!$C$2+'Effort Estimates'!$C$3)-(SUM($C$25:L25)))/Plan!$B$5)&gt;40,40*$B$5,(('Effort Estimates'!$C$2+'Effort Estimates'!$C$3)-(SUM($C$25:L25)))))</f>
        <v>0</v>
      </c>
      <c r="N25" s="64">
        <f>IF(M25&lt;40*$B$5,0,IF(((('Effort Estimates'!$C$2+'Effort Estimates'!$C$3)-(SUM($C$25:M25)))/Plan!$B$5)&gt;40,40*$B$5,(('Effort Estimates'!$C$2+'Effort Estimates'!$C$3)-(SUM($C$25:M25)))))</f>
        <v>0</v>
      </c>
      <c r="O25" s="64">
        <f>IF(N25&lt;40*$B$5,0,IF(((('Effort Estimates'!$C$2+'Effort Estimates'!$C$3)-(SUM($C$25:N25)))/Plan!$B$5)&gt;40,40*$B$5,(('Effort Estimates'!$C$2+'Effort Estimates'!$C$3)-(SUM($C$25:N25)))))</f>
        <v>0</v>
      </c>
      <c r="P25" s="64">
        <f>IF(O25&lt;40*$B$5,0,IF(((('Effort Estimates'!$C$2+'Effort Estimates'!$C$3)-(SUM($C$25:O25)))/Plan!$B$5)&gt;40,40*$B$5,(('Effort Estimates'!$C$2+'Effort Estimates'!$C$3)-(SUM($C$25:O25)))))</f>
        <v>0</v>
      </c>
      <c r="Q25" s="64">
        <f>IF(P25&lt;40*$B$5,0,IF(((('Effort Estimates'!$C$2+'Effort Estimates'!$C$3)-(SUM($C$25:P25)))/Plan!$B$5)&gt;40,40*$B$5,(('Effort Estimates'!$C$2+'Effort Estimates'!$C$3)-(SUM($C$25:P25)))))</f>
        <v>0</v>
      </c>
      <c r="R25" s="64">
        <f>IF(Q25&lt;40*$B$5,0,IF(((('Effort Estimates'!$C$2+'Effort Estimates'!$C$3)-(SUM($C$25:Q25)))/Plan!$B$5)&gt;40,40*$B$5,(('Effort Estimates'!$C$2+'Effort Estimates'!$C$3)-(SUM($C$25:Q25)))))</f>
        <v>0</v>
      </c>
      <c r="S25" s="64">
        <f>IF(R25&lt;40*$B$5,0,IF(((('Effort Estimates'!$C$2+'Effort Estimates'!$C$3)-(SUM($C$25:R25)))/Plan!$B$5)&gt;40,40*$B$5,(('Effort Estimates'!$C$2+'Effort Estimates'!$C$3)-(SUM($C$25:R25)))))</f>
        <v>0</v>
      </c>
      <c r="T25" s="64">
        <f>IF(S25&lt;40*$B$5,0,IF(((('Effort Estimates'!$C$2+'Effort Estimates'!$C$3)-(SUM($C$25:S25)))/Plan!$B$5)&gt;40,40*$B$5,(('Effort Estimates'!$C$2+'Effort Estimates'!$C$3)-(SUM($C$25:S25)))))</f>
        <v>0</v>
      </c>
      <c r="U25" s="64">
        <f>IF(T25&lt;40*$B$5,0,IF(((('Effort Estimates'!$C$2+'Effort Estimates'!$C$3)-(SUM($C$25:T25)))/Plan!$B$5)&gt;40,40*$B$5,(('Effort Estimates'!$C$2+'Effort Estimates'!$C$3)-(SUM($C$25:T25)))))</f>
        <v>0</v>
      </c>
      <c r="V25" s="64">
        <f>IF(U25&lt;40*$B$5,0,IF(((('Effort Estimates'!$C$2+'Effort Estimates'!$C$3)-(SUM($C$25:U25)))/Plan!$B$5)&gt;40,40*$B$5,(('Effort Estimates'!$C$2+'Effort Estimates'!$C$3)-(SUM($C$25:U25)))))</f>
        <v>0</v>
      </c>
      <c r="W25" s="64">
        <f>IF(V25&lt;40*$B$5,0,IF(((('Effort Estimates'!$C$2+'Effort Estimates'!$C$3)-(SUM($C$25:V25)))/Plan!$B$5)&gt;40,40*$B$5,(('Effort Estimates'!$C$2+'Effort Estimates'!$C$3)-(SUM($C$25:V25)))))</f>
        <v>0</v>
      </c>
      <c r="X25" s="64">
        <f>IF(W25&lt;40*$B$5,0,IF(((('Effort Estimates'!$C$2+'Effort Estimates'!$C$3)-(SUM($C$25:W25)))/Plan!$B$5)&gt;40,40*$B$5,(('Effort Estimates'!$C$2+'Effort Estimates'!$C$3)-(SUM($C$25:W25)))))</f>
        <v>0</v>
      </c>
      <c r="Y25" s="64">
        <f>IF(X25&lt;40*$B$5,0,IF(((('Effort Estimates'!$C$2+'Effort Estimates'!$C$3)-(SUM($C$25:X25)))/Plan!$B$5)&gt;40,40*$B$5,(('Effort Estimates'!$C$2+'Effort Estimates'!$C$3)-(SUM($C$25:X25)))))</f>
        <v>0</v>
      </c>
      <c r="Z25" s="64">
        <f>IF(Y25&lt;40*$B$5,0,IF(((('Effort Estimates'!$C$2+'Effort Estimates'!$C$3)-(SUM($C$25:Y25)))/Plan!$B$5)&gt;40,40*$B$5,(('Effort Estimates'!$C$2+'Effort Estimates'!$C$3)-(SUM($C$25:Y25)))))</f>
        <v>0</v>
      </c>
      <c r="AA25" s="64">
        <f>IF(Z25&lt;40*$B$5,0,IF(((('Effort Estimates'!$C$2+'Effort Estimates'!$C$3)-(SUM($C$25:Z25)))/Plan!$B$5)&gt;40,40*$B$5,(('Effort Estimates'!$C$2+'Effort Estimates'!$C$3)-(SUM($C$25:Z25)))))</f>
        <v>0</v>
      </c>
      <c r="AB25" s="64">
        <f>IF(AA25&lt;40*$B$5,0,IF(((('Effort Estimates'!$C$2+'Effort Estimates'!$C$3)-(SUM($C$25:AA25)))/Plan!$B$5)&gt;40,40*$B$5,(('Effort Estimates'!$C$2+'Effort Estimates'!$C$3)-(SUM($C$25:AA25)))))</f>
        <v>0</v>
      </c>
      <c r="AC25" s="64">
        <f>IF(AB25&lt;40*$B$5,0,IF(((('Effort Estimates'!$C$2+'Effort Estimates'!$C$3)-(SUM($C$25:AB25)))/Plan!$B$5)&gt;40,40*$B$5,(('Effort Estimates'!$C$2+'Effort Estimates'!$C$3)-(SUM($C$25:AB25)))))</f>
        <v>0</v>
      </c>
      <c r="AD25" s="64">
        <f>IF(AC25&lt;40*$B$5,0,IF(((('Effort Estimates'!$C$2+'Effort Estimates'!$C$3)-(SUM($C$25:AC25)))/Plan!$B$5)&gt;40,40*$B$5,(('Effort Estimates'!$C$2+'Effort Estimates'!$C$3)-(SUM($C$25:AC25)))))</f>
        <v>0</v>
      </c>
      <c r="AE25" s="64">
        <f>IF(AD25&lt;40*$B$5,0,IF(((('Effort Estimates'!$C$2+'Effort Estimates'!$C$3)-(SUM($C$25:AD25)))/Plan!$B$5)&gt;40,40*$B$5,(('Effort Estimates'!$C$2+'Effort Estimates'!$C$3)-(SUM($C$25:AD25)))))</f>
        <v>0</v>
      </c>
      <c r="AF25" s="64">
        <f>IF(AE25&lt;40*$B$5,0,IF(((('Effort Estimates'!$C$2+'Effort Estimates'!$C$3)-(SUM($C$25:AE25)))/Plan!$B$5)&gt;40,40*$B$5,(('Effort Estimates'!$C$2+'Effort Estimates'!$C$3)-(SUM($C$25:AE25)))))</f>
        <v>0</v>
      </c>
      <c r="AG25" s="64">
        <f>IF(AF25&lt;40*$B$5,0,IF(((('Effort Estimates'!$C$2+'Effort Estimates'!$C$3)-(SUM($C$25:AF25)))/Plan!$B$5)&gt;40,40*$B$5,(('Effort Estimates'!$C$2+'Effort Estimates'!$C$3)-(SUM($C$25:AF25)))))</f>
        <v>0</v>
      </c>
      <c r="AH25" s="64">
        <f>IF(AG25&lt;40*$B$5,0,IF(((('Effort Estimates'!$C$2+'Effort Estimates'!$C$3)-(SUM($C$25:AG25)))/Plan!$B$5)&gt;40,40*$B$5,(('Effort Estimates'!$C$2+'Effort Estimates'!$C$3)-(SUM($C$25:AG25)))))</f>
        <v>0</v>
      </c>
    </row>
    <row r="26" spans="1:34" x14ac:dyDescent="0.2">
      <c r="A26" t="s">
        <v>178</v>
      </c>
      <c r="C26" s="64">
        <f>IF(OR(C25&gt;=($B$5*40),C25&gt;0),0,IF(((Estimator!$C$70)/Plan!$B$5)&gt;40,40*$B$5,(Estimator!$C$70)))</f>
        <v>0</v>
      </c>
      <c r="D26" s="64">
        <f>IF(OR(SUM(D25:D25)&gt;=($B$5*40),SUM(D25:D25)&gt;0),0,IF(C26=0,IF(((Estimator!$C$70)/Plan!$B$5)&gt;40,40*$B$5,(Estimator!$C$70)),IF(C26&lt;(40*$B$5),0,IF((((Estimator!$C$70)-C26)/Plan!$B$5)&gt;40,40*$B$5,((Estimator!$C$70)-C26)))))</f>
        <v>0</v>
      </c>
      <c r="E26" s="64">
        <f>IF(OR(SUM(E25:E25)&gt;=($B$5*40),SUM(E25:E25)&gt;0),0,IF(SUM(C26:D26)=0,IF(((Estimator!$C$70)/Plan!$B$5)&gt;40,40*$B$5,(Estimator!$C$70)),IF(D26&lt;(40*$B$5),0,IF((((Estimator!$C$70)-SUM(C26:D26))/Plan!$B$5)&gt;40,40*$B$5,((Estimator!$C$70)-SUM(C26:D26))))))</f>
        <v>0</v>
      </c>
      <c r="F26" s="64">
        <f>IF(OR(SUM(F25:F25)&gt;=($B$5*40),SUM(F25:F25)&gt;0),0,IF(SUM($C$26:E26)=0,IF(((Estimator!$C$70)/Plan!$B$5)&gt;40,40*$B$5,(Estimator!$C$70)),IF(E26&lt;(40*$B$5),0,IF((((Estimator!$C$70)-SUM($C$26:E26))/Plan!$B$5)&gt;40,40*$B$5,((Estimator!$C$70)-SUM($C$26:E26))))))</f>
        <v>0</v>
      </c>
      <c r="G26" s="64">
        <f>IF(OR(SUM(G25:G25)&gt;=($B$5*40),SUM(G25:G25)&gt;0),0,IF(SUM($C$26:F26)=0,IF(((Estimator!$C$70)/Plan!$B$5)&gt;40,40*$B$5,(Estimator!$C$70)),IF(F26&lt;(40*$B$5),0,IF((((Estimator!$C$70)-SUM($C$26:F26))/Plan!$B$5)&gt;40,40*$B$5,((Estimator!$C$70)-SUM($C$26:F26))))))</f>
        <v>0</v>
      </c>
      <c r="H26" s="64">
        <f>IF(OR(SUM(H25:H25)&gt;=($B$5*40),SUM(H25:H25)&gt;0),0,IF(SUM($C$26:G26)=0,IF(((Estimator!$C$70)/Plan!$B$5)&gt;40,40*$B$5,(Estimator!$C$70)),IF(G26&lt;(40*$B$5),0,IF((((Estimator!$C$70)-SUM($C$26:G26))/Plan!$B$5)&gt;40,40*$B$5,((Estimator!$C$70)-SUM($C$26:G26))))))</f>
        <v>0</v>
      </c>
      <c r="I26" s="64">
        <f>IF(OR(SUM(I25:I25)&gt;=($B$5*40),SUM(I25:I25)&gt;0),0,IF(SUM($C$26:H26)=0,IF(((Estimator!$C$70)/Plan!$B$5)&gt;40,40*$B$5,(Estimator!$C$70)),IF(H26&lt;(40*$B$5),0,IF((((Estimator!$C$70)-SUM($C$26:H26))/Plan!$B$5)&gt;40,40*$B$5,((Estimator!$C$70)-SUM($C$26:H26))))))</f>
        <v>120</v>
      </c>
      <c r="J26" s="64">
        <f>IF(OR(SUM(J25:J25)&gt;=($B$5*40),SUM(J25:J25)&gt;0),0,IF(SUM($C$26:I26)=0,IF(((Estimator!$C$70)/Plan!$B$5)&gt;40,40*$B$5,(Estimator!$C$70)),IF(I26&lt;(40*$B$5),0,IF((((Estimator!$C$70)-SUM($C$26:I26))/Plan!$B$5)&gt;40,40*$B$5,((Estimator!$C$70)-SUM($C$26:I26))))))</f>
        <v>120</v>
      </c>
      <c r="K26" s="64">
        <f>IF(OR(SUM(K25:K25)&gt;=($B$5*40),SUM(K25:K25)&gt;0),0,IF(SUM($C$26:J26)=0,IF(((Estimator!$C$70)/Plan!$B$5)&gt;40,40*$B$5,(Estimator!$C$70)),IF(J26&lt;(40*$B$5),0,IF((((Estimator!$C$70)-SUM($C$26:J26))/Plan!$B$5)&gt;40,40*$B$5,((Estimator!$C$70)-SUM($C$26:J26))))))</f>
        <v>120</v>
      </c>
      <c r="L26" s="64">
        <f>IF(OR(SUM(L25:L25)&gt;=($B$5*40),SUM(L25:L25)&gt;0),0,IF(SUM($C$26:K26)=0,IF(((Estimator!$C$70)/Plan!$B$5)&gt;40,40*$B$5,(Estimator!$C$70)),IF(K26&lt;(40*$B$5),0,IF((((Estimator!$C$70)-SUM($C$26:K26))/Plan!$B$5)&gt;40,40*$B$5,((Estimator!$C$70)-SUM($C$26:K26))))))</f>
        <v>120</v>
      </c>
      <c r="M26" s="64">
        <f>IF(OR(SUM(M25:M25)&gt;=($B$5*40),SUM(M25:M25)&gt;0),0,IF(SUM($C$26:L26)=0,IF(((Estimator!$C$70)/Plan!$B$5)&gt;40,40*$B$5,(Estimator!$C$70)),IF(L26&lt;(40*$B$5),0,IF((((Estimator!$C$70)-SUM($C$26:L26))/Plan!$B$5)&gt;40,40*$B$5,((Estimator!$C$70)-SUM($C$26:L26))))))</f>
        <v>120</v>
      </c>
      <c r="N26" s="64">
        <f>IF(OR(SUM(N25:N25)&gt;=($B$5*40),SUM(N25:N25)&gt;0),0,IF(SUM($C$26:M26)=0,IF(((Estimator!$C$70)/Plan!$B$5)&gt;40,40*$B$5,(Estimator!$C$70)),IF(M26&lt;(40*$B$5),0,IF((((Estimator!$C$70)-SUM($C$26:M26))/Plan!$B$5)&gt;40,40*$B$5,((Estimator!$C$70)-SUM($C$26:M26))))))</f>
        <v>120</v>
      </c>
      <c r="O26" s="64">
        <f>IF(OR(SUM(O25:O25)&gt;=($B$5*40),SUM(O25:O25)&gt;0),0,IF(SUM($C$26:N26)=0,IF(((Estimator!$C$70)/Plan!$B$5)&gt;40,40*$B$5,(Estimator!$C$70)),IF(N26&lt;(40*$B$5),0,IF((((Estimator!$C$70)-SUM($C$26:N26))/Plan!$B$5)&gt;40,40*$B$5,((Estimator!$C$70)-SUM($C$26:N26))))))</f>
        <v>120</v>
      </c>
      <c r="P26" s="64">
        <f>IF(OR(SUM(P25:P25)&gt;=($B$5*40),SUM(P25:P25)&gt;0),0,IF(SUM($C$26:O26)=0,IF(((Estimator!$C$70)/Plan!$B$5)&gt;40,40*$B$5,(Estimator!$C$70)),IF(O26&lt;(40*$B$5),0,IF((((Estimator!$C$70)-SUM($C$26:O26))/Plan!$B$5)&gt;40,40*$B$5,((Estimator!$C$70)-SUM($C$26:O26))))))</f>
        <v>120</v>
      </c>
      <c r="Q26" s="64">
        <f>IF(OR(SUM(Q25:Q25)&gt;=($B$5*40),SUM(Q25:Q25)&gt;0),0,IF(SUM($C$26:P26)=0,IF(((Estimator!$C$70)/Plan!$B$5)&gt;40,40*$B$5,(Estimator!$C$70)),IF(P26&lt;(40*$B$5),0,IF((((Estimator!$C$70)-SUM($C$26:P26))/Plan!$B$5)&gt;40,40*$B$5,((Estimator!$C$70)-SUM($C$26:P26))))))</f>
        <v>120</v>
      </c>
      <c r="R26" s="64">
        <f>IF(OR(SUM(R25:R25)&gt;=($B$5*40),SUM(R25:R25)&gt;0),0,IF(SUM($C$26:Q26)=0,IF(((Estimator!$C$70)/Plan!$B$5)&gt;40,40*$B$5,(Estimator!$C$70)),IF(Q26&lt;(40*$B$5),0,IF((((Estimator!$C$70)-SUM($C$26:Q26))/Plan!$B$5)&gt;40,40*$B$5,((Estimator!$C$70)-SUM($C$26:Q26))))))</f>
        <v>120</v>
      </c>
      <c r="S26" s="64">
        <f>IF(OR(SUM(S25:S25)&gt;=($B$5*40),SUM(S25:S25)&gt;0),0,IF(SUM($C$26:R26)=0,IF(((Estimator!$C$70)/Plan!$B$5)&gt;40,40*$B$5,(Estimator!$C$70)),IF(R26&lt;(40*$B$5),0,IF((((Estimator!$C$70)-SUM($C$26:R26))/Plan!$B$5)&gt;40,40*$B$5,((Estimator!$C$70)-SUM($C$26:R26))))))</f>
        <v>96</v>
      </c>
      <c r="T26" s="64">
        <f>IF(OR(SUM(T25:T25)&gt;=($B$5*40),SUM(T25:T25)&gt;0),0,IF(SUM($C$26:S26)=0,IF(((Estimator!$C$70)/Plan!$B$5)&gt;40,40*$B$5,(Estimator!$C$70)),IF(S26&lt;(40*$B$5),0,IF((((Estimator!$C$70)-SUM($C$26:S26))/Plan!$B$5)&gt;40,40*$B$5,((Estimator!$C$70)-SUM($C$26:S26))))))</f>
        <v>0</v>
      </c>
      <c r="U26" s="64">
        <f>IF(OR(SUM(U25:U25)&gt;=($B$5*40),SUM(U25:U25)&gt;0),0,IF(SUM($C$26:T26)=0,IF(((Estimator!$C$70)/Plan!$B$5)&gt;40,40*$B$5,(Estimator!$C$70)),IF(T26&lt;(40*$B$5),0,IF((((Estimator!$C$70)-SUM($C$26:T26))/Plan!$B$5)&gt;40,40*$B$5,((Estimator!$C$70)-SUM($C$26:T26))))))</f>
        <v>0</v>
      </c>
      <c r="V26" s="64">
        <f>IF(OR(SUM(V25:V25)&gt;=($B$5*40),SUM(V25:V25)&gt;0),0,IF(SUM($C$26:U26)=0,IF(((Estimator!$C$70)/Plan!$B$5)&gt;40,40*$B$5,(Estimator!$C$70)),IF(U26&lt;(40*$B$5),0,IF((((Estimator!$C$70)-SUM($C$26:U26))/Plan!$B$5)&gt;40,40*$B$5,((Estimator!$C$70)-SUM($C$26:U26))))))</f>
        <v>0</v>
      </c>
      <c r="W26" s="64">
        <f>IF(OR(SUM(W25:W25)&gt;=($B$5*40),SUM(W25:W25)&gt;0),0,IF(SUM($C$26:V26)=0,IF(((Estimator!$C$70)/Plan!$B$5)&gt;40,40*$B$5,(Estimator!$C$70)),IF(V26&lt;(40*$B$5),0,IF((((Estimator!$C$70)-SUM($C$26:V26))/Plan!$B$5)&gt;40,40*$B$5,((Estimator!$C$70)-SUM($C$26:V26))))))</f>
        <v>0</v>
      </c>
      <c r="X26" s="64">
        <f>IF(OR(SUM(X25:X25)&gt;=($B$5*40),SUM(X25:X25)&gt;0),0,IF(SUM($C$26:W26)=0,IF(((Estimator!$C$70)/Plan!$B$5)&gt;40,40*$B$5,(Estimator!$C$70)),IF(W26&lt;(40*$B$5),0,IF((((Estimator!$C$70)-SUM($C$26:W26))/Plan!$B$5)&gt;40,40*$B$5,((Estimator!$C$70)-SUM($C$26:W26))))))</f>
        <v>0</v>
      </c>
      <c r="Y26" s="64">
        <f>IF(OR(SUM(Y25:Y25)&gt;=($B$5*40),SUM(Y25:Y25)&gt;0),0,IF(SUM($C$26:X26)=0,IF(((Estimator!$C$70)/Plan!$B$5)&gt;40,40*$B$5,(Estimator!$C$70)),IF(X26&lt;(40*$B$5),0,IF((((Estimator!$C$70)-SUM($C$26:X26))/Plan!$B$5)&gt;40,40*$B$5,((Estimator!$C$70)-SUM($C$26:X26))))))</f>
        <v>0</v>
      </c>
      <c r="Z26" s="64">
        <f>IF(OR(SUM(Z25:Z25)&gt;=($B$5*40),SUM(Z25:Z25)&gt;0),0,IF(SUM($C$26:Y26)=0,IF(((Estimator!$C$70)/Plan!$B$5)&gt;40,40*$B$5,(Estimator!$C$70)),IF(Y26&lt;(40*$B$5),0,IF((((Estimator!$C$70)-SUM($C$26:Y26))/Plan!$B$5)&gt;40,40*$B$5,((Estimator!$C$70)-SUM($C$26:Y26))))))</f>
        <v>0</v>
      </c>
      <c r="AA26" s="64">
        <f>IF(OR(SUM(AA25:AA25)&gt;=($B$5*40),SUM(AA25:AA25)&gt;0),0,IF(SUM($C$26:Z26)=0,IF(((Estimator!$C$70)/Plan!$B$5)&gt;40,40*$B$5,(Estimator!$C$70)),IF(Z26&lt;(40*$B$5),0,IF((((Estimator!$C$70)-SUM($C$26:Z26))/Plan!$B$5)&gt;40,40*$B$5,((Estimator!$C$70)-SUM($C$26:Z26))))))</f>
        <v>0</v>
      </c>
      <c r="AB26" s="64">
        <f>IF(OR(SUM(AB25:AB25)&gt;=($B$5*40),SUM(AB25:AB25)&gt;0),0,IF(SUM($C$26:AA26)=0,IF(((Estimator!$C$70)/Plan!$B$5)&gt;40,40*$B$5,(Estimator!$C$70)),IF(AA26&lt;(40*$B$5),0,IF((((Estimator!$C$70)-SUM($C$26:AA26))/Plan!$B$5)&gt;40,40*$B$5,((Estimator!$C$70)-SUM($C$26:AA26))))))</f>
        <v>0</v>
      </c>
      <c r="AC26" s="64">
        <f>IF(OR(SUM(AC25:AC25)&gt;=($B$5*40),SUM(AC25:AC25)&gt;0),0,IF(SUM($C$26:AB26)=0,IF(((Estimator!$C$70)/Plan!$B$5)&gt;40,40*$B$5,(Estimator!$C$70)),IF(AB26&lt;(40*$B$5),0,IF((((Estimator!$C$70)-SUM($C$26:AB26))/Plan!$B$5)&gt;40,40*$B$5,((Estimator!$C$70)-SUM($C$26:AB26))))))</f>
        <v>0</v>
      </c>
      <c r="AD26" s="64">
        <f>IF(OR(SUM(AD25:AD25)&gt;=($B$5*40),SUM(AD25:AD25)&gt;0),0,IF(SUM($C$26:AC26)=0,IF(((Estimator!$C$70)/Plan!$B$5)&gt;40,40*$B$5,(Estimator!$C$70)),IF(AC26&lt;(40*$B$5),0,IF((((Estimator!$C$70)-SUM($C$26:AC26))/Plan!$B$5)&gt;40,40*$B$5,((Estimator!$C$70)-SUM($C$26:AC26))))))</f>
        <v>0</v>
      </c>
      <c r="AE26" s="64">
        <f>IF(OR(SUM(AE25:AE25)&gt;=($B$5*40),SUM(AE25:AE25)&gt;0),0,IF(SUM($C$26:AD26)=0,IF(((Estimator!$C$70)/Plan!$B$5)&gt;40,40*$B$5,(Estimator!$C$70)),IF(AD26&lt;(40*$B$5),0,IF((((Estimator!$C$70)-SUM($C$26:AD26))/Plan!$B$5)&gt;40,40*$B$5,((Estimator!$C$70)-SUM($C$26:AD26))))))</f>
        <v>0</v>
      </c>
      <c r="AF26" s="64">
        <f>IF(OR(SUM(AF25:AF25)&gt;=($B$5*40),SUM(AF25:AF25)&gt;0),0,IF(SUM($C$26:AE26)=0,IF(((Estimator!$C$70)/Plan!$B$5)&gt;40,40*$B$5,(Estimator!$C$70)),IF(AE26&lt;(40*$B$5),0,IF((((Estimator!$C$70)-SUM($C$26:AE26))/Plan!$B$5)&gt;40,40*$B$5,((Estimator!$C$70)-SUM($C$26:AE26))))))</f>
        <v>0</v>
      </c>
      <c r="AG26" s="64">
        <f>IF(OR(SUM(AG25:AG25)&gt;=($B$5*40),SUM(AG25:AG25)&gt;0),0,IF(SUM($C$26:AF26)=0,IF(((Estimator!$C$70)/Plan!$B$5)&gt;40,40*$B$5,(Estimator!$C$70)),IF(AF26&lt;(40*$B$5),0,IF((((Estimator!$C$70)-SUM($C$26:AF26))/Plan!$B$5)&gt;40,40*$B$5,((Estimator!$C$70)-SUM($C$26:AF26))))))</f>
        <v>0</v>
      </c>
      <c r="AH26" s="64">
        <f>IF(OR(SUM(AH25:AH25)&gt;=($B$5*40),SUM(AH25:AH25)&gt;0),0,IF(SUM($C$26:AG26)=0,IF(((Estimator!$C$70)/Plan!$B$5)&gt;40,40*$B$5,(Estimator!$C$70)),IF(AG26&lt;(40*$B$5),0,IF((((Estimator!$C$70)-SUM($C$26:AG26))/Plan!$B$5)&gt;40,40*$B$5,((Estimator!$C$70)-SUM($C$26:AG26))))))</f>
        <v>0</v>
      </c>
    </row>
    <row r="27" spans="1:34" x14ac:dyDescent="0.2">
      <c r="A27" t="s">
        <v>179</v>
      </c>
      <c r="C27" s="64">
        <f>IF(OR(SUM(C25:C26)&gt;=($B$5*40),SUM(C25:C26)&gt;0),0,IF((('Effort Estimates'!C6)/Plan!$B$6)&gt;40,40*$B$6,('Effort Estimates'!C6)))</f>
        <v>0</v>
      </c>
      <c r="D27" s="64">
        <f>IF(OR(SUM(D25:D26)&gt;=($B$6*40),SUM(D25:D26)&gt;0),0,IF(C27=0,IF((('Effort Estimates'!$C$6)/Plan!$B$6)&gt;40,40*$B$6,('Effort Estimates'!$C$6)),IF(C27&lt;(40*$B$6),0,IF(((('Effort Estimates'!$C$6)-C27)/Plan!$B$6)&gt;40,40*$B$6,(('Effort Estimates'!$C$6)-C27)))))</f>
        <v>0</v>
      </c>
      <c r="E27" s="64">
        <f>IF(OR(SUM(E25:E26)&gt;=($B$6*40),SUM(E25:E26)&gt;0),0,IF(SUM(C27:D27)=0,IF((('Effort Estimates'!$C$6)/Plan!$B$6)&gt;40,40*$B$6,('Effort Estimates'!$C$6)),IF(D27&lt;(40*$B$6),0,IF(((('Effort Estimates'!$C$6)-SUM(C27:D27))/Plan!$B$6)&gt;40,40*$B$6,(('Effort Estimates'!$C$6)-SUM(C27:D27))))))</f>
        <v>0</v>
      </c>
      <c r="F27" s="64">
        <f>IF(OR(SUM(F25:F26)&gt;=($B$6*40),SUM(F25:F26)&gt;0),0,IF(SUM(C27:E27)=0,IF((('Effort Estimates'!$C$6)/Plan!$B$6)&gt;40,40*$B$6,('Effort Estimates'!$C$6)),IF(E27&lt;(40*$B$6),0,IF(((('Effort Estimates'!$C$6)-SUM(C27:E27))/Plan!$B$6)&gt;40,40*$B$6,(('Effort Estimates'!$C$6)-SUM(C27:E27))))))</f>
        <v>0</v>
      </c>
      <c r="G27" s="64">
        <f>IF(OR(SUM(G25:G26)&gt;=($B$6*40),SUM(G25:G26)&gt;0),0,IF(SUM(C27:F27)=0,IF((('Effort Estimates'!$C$6)/Plan!$B$6)&gt;40,40*$B$6,('Effort Estimates'!$C$6)),IF(F27&lt;(40*$B$6),0,IF(((('Effort Estimates'!$C$6)-SUM(C27:F27))/Plan!$B$6)&gt;40,40*$B$6,(('Effort Estimates'!$C$6)-SUM(C27:F27))))))</f>
        <v>0</v>
      </c>
      <c r="H27" s="64">
        <f>IF(OR(SUM(H25:H26)&gt;=($B$5*40),SUM(H25:H26)&gt;0),0,IF(SUM(C27:G27)=0,IF((('Effort Estimates'!$C$6)/Plan!$B$6)&gt;40,40*$B$6,('Effort Estimates'!$C$6)),IF(G27&lt;(40*$B$6),0,IF(((('Effort Estimates'!$C$6)-SUM(C27:G27))/Plan!$B$6)&gt;40,40*$B$6,(('Effort Estimates'!$C$6)-SUM(C27:G27))))))</f>
        <v>0</v>
      </c>
      <c r="I27" s="64">
        <f>IF(OR(SUM(I25:I26)&gt;=($B$6*40),SUM(I25:I26)&gt;0),0,IF(SUM(C27:H27)=0,IF((('Effort Estimates'!$C$6)/Plan!$B$6)&gt;40,40*$B$6,('Effort Estimates'!$C$6)),IF(H27&lt;(40*$B$6),0,IF(((('Effort Estimates'!$C$6)-SUM(C27:H27))/Plan!$B$6)&gt;40,40*$B$6,(('Effort Estimates'!$C$6)-SUM(C27:H27))))))</f>
        <v>0</v>
      </c>
      <c r="J27" s="64">
        <f>IF(OR(SUM(J25:J26)&gt;=($B$6*40),SUM(J25:J26)&gt;0),0,IF(SUM(C27:I27)=0,IF((('Effort Estimates'!$C$6)/Plan!$B$6)&gt;40,40*$B$6,('Effort Estimates'!$C$6)),IF(I27&lt;(40*$B$6),0,IF(((('Effort Estimates'!$C$6)-SUM(C27:I27))/Plan!$B$6)&gt;40,40*$B$6,(('Effort Estimates'!$C$6)-SUM(C27:I27))))))</f>
        <v>0</v>
      </c>
      <c r="K27" s="64">
        <f>IF(OR(SUM(K25:K26)&gt;=($B$6*40),SUM(K25:K26)&gt;0),0,IF(SUM(C27:J27)=0,IF((('Effort Estimates'!$C$6)/Plan!$B$6)&gt;40,40*$B$6,('Effort Estimates'!$C$6)),IF(J27&lt;(40*$B$6),0,IF(((('Effort Estimates'!$C$6)-SUM(C27:J27))/Plan!$B$6)&gt;40,40*$B$6,(('Effort Estimates'!$C$6)-SUM(C27:J27))))))</f>
        <v>0</v>
      </c>
      <c r="L27" s="64">
        <f>IF(OR(SUM(L25:L26)&gt;=($B$6*40),SUM(L25:L26)&gt;0),0,IF(SUM(C27:K27)=0,IF((('Effort Estimates'!$C$6)/Plan!$B$6)&gt;40,40*$B$6,('Effort Estimates'!$C$6)),IF(K27&lt;(40*$B$6),0,IF(((('Effort Estimates'!$C$6)-SUM(C27:K27))/Plan!$B$6)&gt;40,40*$B$6,(('Effort Estimates'!$C$6)-SUM(C27:K27))))))</f>
        <v>0</v>
      </c>
      <c r="M27" s="64">
        <f>IF(OR(SUM(M25:M26)&gt;=($B$6*40),SUM(M25:M26)&gt;0),0,IF(SUM(C27:L27)=0,IF((('Effort Estimates'!$C$6)/Plan!$B$6)&gt;40,40*$B$6,('Effort Estimates'!$C$6)),IF(L27&lt;(40*$B$6),0,IF(((('Effort Estimates'!$C$6)-SUM(C27:L27))/Plan!$B$6)&gt;40,40*$B$6,(('Effort Estimates'!$C$6)-SUM(C27:L27))))))</f>
        <v>0</v>
      </c>
      <c r="N27" s="64">
        <f>IF(OR(SUM(N25:N26)&gt;=($B$6*40),SUM(N25:N26)&gt;0),0,IF(SUM(C27:M27)=0,IF((('Effort Estimates'!$C$6)/Plan!$B$6)&gt;40,40*$B$6,('Effort Estimates'!$C$6)),IF(M27&lt;(40*$B$6),0,IF(((('Effort Estimates'!$C$6)-SUM(C27:M27))/Plan!$B$6)&gt;40,40*$B$6,(('Effort Estimates'!$C$6)-SUM(C27:M27))))))</f>
        <v>0</v>
      </c>
      <c r="O27" s="64">
        <f>IF(OR(SUM(O25:O26)&gt;=($B$6*40),SUM(O25:O26)&gt;0),0,IF(SUM($C$27:N27)=0,IF((('Effort Estimates'!$C$6)/Plan!$B$6)&gt;40,40*$B$6,('Effort Estimates'!$C$6)),IF(N27&lt;(40*$B$6),0,IF(((('Effort Estimates'!$C$6)-SUM($C$27:N27))/Plan!$B$6)&gt;40,40*$B$6,(('Effort Estimates'!$C$6)-SUM($C$27:N27))))))</f>
        <v>0</v>
      </c>
      <c r="P27" s="64">
        <f>IF(OR(SUM(P25:P26)&gt;=($B$6*40),SUM(P25:P26)&gt;0),0,IF(SUM($C$27:O27)=0,IF((('Effort Estimates'!$C$6)/Plan!$B$6)&gt;40,40*$B$6,('Effort Estimates'!$C$6)),IF(O27&lt;(40*$B$6),0,IF(((('Effort Estimates'!$C$6)-SUM($C$27:O27))/Plan!$B$6)&gt;40,40*$B$6,(('Effort Estimates'!$C$6)-SUM($C$27:O27))))))</f>
        <v>0</v>
      </c>
      <c r="Q27" s="64">
        <f>IF(OR(SUM(Q25:Q26)&gt;=($B$6*40),SUM(Q25:Q26)&gt;0),0,IF(SUM($C$27:P27)=0,IF((('Effort Estimates'!$C$6)/Plan!$B$6)&gt;40,40*$B$6,('Effort Estimates'!$C$6)),IF(P27&lt;(40*$B$6),0,IF(((('Effort Estimates'!$C$6)-SUM($C$27:P27))/Plan!$B$6)&gt;40,40*$B$6,(('Effort Estimates'!$C$6)-SUM($C$27:P27))))))</f>
        <v>0</v>
      </c>
      <c r="R27" s="64">
        <f>IF(OR(SUM(R25:R26)&gt;=($B$6*40),SUM(R25:R26)&gt;0),0,IF(SUM($C$27:Q27)=0,IF((('Effort Estimates'!$C$6)/Plan!$B$6)&gt;40,40*$B$6,('Effort Estimates'!$C$6)),IF(Q27&lt;(40*$B$6),0,IF(((('Effort Estimates'!$C$6)-SUM($C$27:Q27))/Plan!$B$6)&gt;40,40*$B$6,(('Effort Estimates'!$C$6)-SUM($C$27:Q27))))))</f>
        <v>0</v>
      </c>
      <c r="S27" s="64">
        <f>IF(OR(SUM(S25:S26)&gt;=($B$6*40),SUM(S25:S26)&gt;0),0,IF(SUM($C$27:R27)=0,IF((('Effort Estimates'!$C$6)/Plan!$B$6)&gt;40,40*$B$6,('Effort Estimates'!$C$6)),IF(R27&lt;(40*$B$6),0,IF(((('Effort Estimates'!$C$6)-SUM($C$27:R27))/Plan!$B$6)&gt;40,40*$B$6,(('Effort Estimates'!$C$6)-SUM($C$27:R27))))))</f>
        <v>0</v>
      </c>
      <c r="T27" s="64">
        <f>IF(OR(SUM(T25:T26)&gt;=($B$6*40),SUM(T25:T26)&gt;0),0,IF(SUM($C$27:S27)=0,IF((('Effort Estimates'!$C$6)/Plan!$B$6)&gt;40,40*$B$6,('Effort Estimates'!$C$6)),IF(S27&lt;(40*$B$6),0,IF(((('Effort Estimates'!$C$6)-SUM($C$27:S27))/Plan!$B$6)&gt;40,40*$B$6,(('Effort Estimates'!$C$6)-SUM($C$27:S27))))))</f>
        <v>120</v>
      </c>
      <c r="U27" s="64">
        <f>IF(OR(SUM(U25:U26)&gt;=($B$6*40),SUM(U25:U26)&gt;0),0,IF(SUM($C$27:T27)=0,IF((('Effort Estimates'!$C$6)/Plan!$B$6)&gt;40,40*$B$6,('Effort Estimates'!$C$6)),IF(T27&lt;(40*$B$6),0,IF(((('Effort Estimates'!$C$6)-SUM($C$27:T27))/Plan!$B$6)&gt;40,40*$B$6,(('Effort Estimates'!$C$6)-SUM($C$27:T27))))))</f>
        <v>120</v>
      </c>
      <c r="V27" s="64">
        <f>IF(OR(SUM(V25:V26)&gt;=($B$6*40),SUM(V25:V26)&gt;0),0,IF(SUM($C$27:U27)=0,IF((('Effort Estimates'!$C$6)/Plan!$B$6)&gt;40,40*$B$6,('Effort Estimates'!$C$6)),IF(U27&lt;(40*$B$6),0,IF(((('Effort Estimates'!$C$6)-SUM($C$27:U27))/Plan!$B$6)&gt;40,40*$B$6,(('Effort Estimates'!$C$6)-SUM($C$27:U27))))))</f>
        <v>120</v>
      </c>
      <c r="W27" s="64">
        <f>IF(OR(SUM(W25:W26)&gt;=($B$6*40),SUM(W25:W26)&gt;0),0,IF(SUM($C$27:V27)=0,IF((('Effort Estimates'!$C$6)/Plan!$B$6)&gt;40,40*$B$6,('Effort Estimates'!$C$6)),IF(V27&lt;(40*$B$6),0,IF(((('Effort Estimates'!$C$6)-SUM($C$27:V27))/Plan!$B$6)&gt;40,40*$B$6,(('Effort Estimates'!$C$6)-SUM($C$27:V27))))))</f>
        <v>120</v>
      </c>
      <c r="X27" s="64">
        <f>IF(OR(SUM(X25:X26)&gt;=($B$6*40),SUM(X25:X26)&gt;0),0,IF(SUM($C$27:W27)=0,IF((('Effort Estimates'!$C$6)/Plan!$B$6)&gt;40,40*$B$6,('Effort Estimates'!$C$6)),IF(W27&lt;(40*$B$6),0,IF(((('Effort Estimates'!$C$6)-SUM($C$27:W27))/Plan!$B$6)&gt;40,40*$B$6,(('Effort Estimates'!$C$6)-SUM($C$27:W27))))))</f>
        <v>120</v>
      </c>
      <c r="Y27" s="64">
        <f>IF(OR(SUM(Y25:Y26)&gt;=($B$6*40),SUM(Y25:Y26)&gt;0),0,IF(SUM($C$27:X27)=0,IF((('Effort Estimates'!$C$6)/Plan!$B$6)&gt;40,40*$B$6,('Effort Estimates'!$C$6)),IF(X27&lt;(40*$B$6),0,IF(((('Effort Estimates'!$C$6)-SUM($C$27:X27))/Plan!$B$6)&gt;40,40*$B$6,(('Effort Estimates'!$C$6)-SUM($C$27:X27))))))</f>
        <v>73.919999999999959</v>
      </c>
      <c r="Z27" s="64">
        <f>IF(OR(SUM(Z25:Z26)&gt;=($B$6*40),SUM(Z25:Z26)&gt;0),0,IF(SUM($C$27:Y27)=0,IF((('Effort Estimates'!$C$6)/Plan!$B$6)&gt;40,40*$B$6,('Effort Estimates'!$C$6)),IF(Y27&lt;(40*$B$6),0,IF(((('Effort Estimates'!$C$6)-SUM($C$27:Y27))/Plan!$B$6)&gt;40,40*$B$6,(('Effort Estimates'!$C$6)-SUM($C$27:Y27))))))</f>
        <v>0</v>
      </c>
      <c r="AA27" s="64">
        <f>IF(OR(SUM(AA25:AA26)&gt;=($B$6*40),SUM(AA25:AA26)&gt;0),0,IF(SUM($C$27:Z27)=0,IF((('Effort Estimates'!$C$6)/Plan!$B$6)&gt;40,40*$B$6,('Effort Estimates'!$C$6)),IF(Z27&lt;(40*$B$6),0,IF(((('Effort Estimates'!$C$6)-SUM($C$27:Z27))/Plan!$B$6)&gt;40,40*$B$6,(('Effort Estimates'!$C$6)-SUM($C$27:Z27))))))</f>
        <v>0</v>
      </c>
      <c r="AB27" s="64">
        <f>IF(OR(SUM(AB25:AB26)&gt;=($B$6*40),SUM(AB25:AB26)&gt;0),0,IF(SUM($C$27:AA27)=0,IF((('Effort Estimates'!$C$6)/Plan!$B$6)&gt;40,40*$B$6,('Effort Estimates'!$C$6)),IF(AA27&lt;(40*$B$6),0,IF(((('Effort Estimates'!$C$6)-SUM($C$27:AA27))/Plan!$B$6)&gt;40,40*$B$6,(('Effort Estimates'!$C$6)-SUM($C$27:AA27))))))</f>
        <v>0</v>
      </c>
      <c r="AC27" s="64">
        <f>IF(OR(SUM(AC25:AC26)&gt;=($B$6*40),SUM(AC25:AC26)&gt;0),0,IF(SUM($C$27:AB27)=0,IF((('Effort Estimates'!$C$6)/Plan!$B$6)&gt;40,40*$B$6,('Effort Estimates'!$C$6)),IF(AB27&lt;(40*$B$6),0,IF(((('Effort Estimates'!$C$6)-SUM($C$27:AB27))/Plan!$B$6)&gt;40,40*$B$6,(('Effort Estimates'!$C$6)-SUM($C$27:AB27))))))</f>
        <v>0</v>
      </c>
      <c r="AD27" s="64">
        <f>IF(OR(SUM(AD25:AD26)&gt;=($B$6*40),SUM(AD25:AD26)&gt;0),0,IF(SUM($C$27:AC27)=0,IF((('Effort Estimates'!$C$6)/Plan!$B$6)&gt;40,40*$B$6,('Effort Estimates'!$C$6)),IF(AC27&lt;(40*$B$6),0,IF(((('Effort Estimates'!$C$6)-SUM($C$27:AC27))/Plan!$B$6)&gt;40,40*$B$6,(('Effort Estimates'!$C$6)-SUM($C$27:AC27))))))</f>
        <v>0</v>
      </c>
      <c r="AE27" s="64">
        <f>IF(OR(SUM(AE25:AE26)&gt;=($B$6*40),SUM(AE25:AE26)&gt;0),0,IF(SUM($C$27:AD27)=0,IF((('Effort Estimates'!$C$6)/Plan!$B$6)&gt;40,40*$B$6,('Effort Estimates'!$C$6)),IF(AD27&lt;(40*$B$6),0,IF(((('Effort Estimates'!$C$6)-SUM($C$27:AD27))/Plan!$B$6)&gt;40,40*$B$6,(('Effort Estimates'!$C$6)-SUM($C$27:AD27))))))</f>
        <v>0</v>
      </c>
      <c r="AF27" s="64">
        <f>IF(OR(SUM(AF25:AF26)&gt;=($B$6*40),SUM(AF25:AF26)&gt;0),0,IF(SUM($C$27:AE27)=0,IF((('Effort Estimates'!$C$6)/Plan!$B$6)&gt;40,40*$B$6,('Effort Estimates'!$C$6)),IF(AE27&lt;(40*$B$6),0,IF(((('Effort Estimates'!$C$6)-SUM($C$27:AE27))/Plan!$B$6)&gt;40,40*$B$6,(('Effort Estimates'!$C$6)-SUM($C$27:AE27))))))</f>
        <v>0</v>
      </c>
      <c r="AG27" s="64">
        <f>IF(OR(SUM(AG25:AG26)&gt;=($B$6*40),SUM(AG25:AG26)&gt;0),0,IF(SUM($C$27:AF27)=0,IF((('Effort Estimates'!$C$6)/Plan!$B$6)&gt;40,40*$B$6,('Effort Estimates'!$C$6)),IF(AF27&lt;(40*$B$6),0,IF(((('Effort Estimates'!$C$6)-SUM($C$27:AF27))/Plan!$B$6)&gt;40,40*$B$6,(('Effort Estimates'!$C$6)-SUM($C$27:AF27))))))</f>
        <v>0</v>
      </c>
      <c r="AH27" s="64">
        <f>IF(OR(SUM(AH25:AH26)&gt;=($B$6*40),SUM(AH25:AH26)&gt;0),0,IF(SUM($C$27:AG27)=0,IF((('Effort Estimates'!$C$6)/Plan!$B$6)&gt;40,40*$B$6,('Effort Estimates'!$C$6)),IF(AG27&lt;(40*$B$6),0,IF(((('Effort Estimates'!$C$6)-SUM($C$27:AG27))/Plan!$B$6)&gt;40,40*$B$6,(('Effort Estimates'!$C$6)-SUM($C$27:AG27))))))</f>
        <v>0</v>
      </c>
    </row>
    <row r="28" spans="1:34" x14ac:dyDescent="0.2">
      <c r="A28" t="s">
        <v>180</v>
      </c>
      <c r="C28" s="64">
        <v>0</v>
      </c>
      <c r="D28" s="64">
        <f xml:space="preserve"> IF(OR(SUM(D25:D26)&gt;=($B$5*40),SUM(D25:D26)&gt;0),
  0,
  IF(SUM($C$28:C28)=0,
   IF((('Effort Estimates'!$C$7)/Plan!$B$12)&gt;40*$B$5,
    40*$B$5,
    ('Effort Estimates'!$C$7)/$B$12
   ),
   IF(SUM($C$28:C28)&lt;'Effort Estimates'!$C$7,
    IF((('Effort Estimates'!$C$7)/Plan!$B$12)&gt;40*$B$5,
     40*$B$5,
     ('Effort Estimates'!$C$7)/$B$12
    ),
    0
   )
  )
 )</f>
        <v>0</v>
      </c>
      <c r="E28" s="64">
        <f xml:space="preserve"> IF(OR(SUM(E25:E26)&gt;=($B$5*40),SUM(E25:E26)&gt;0),
  0,
  IF(SUM($C$28:D28)=0,
   IF((('Effort Estimates'!$C$7)/Plan!$B$12)&gt;40*$B$5,
    40*$B$5,
    ('Effort Estimates'!$C$7)/$B$12
   ),
   IF(SUM($C$28:D28)&lt;'Effort Estimates'!$C$7,
    IF((('Effort Estimates'!$C$7)/Plan!$B$12)&gt;40*$B$5,
     40*$B$5,
     ('Effort Estimates'!$C$7)/$B$12
    ),
    0
   )
  )
 )</f>
        <v>0</v>
      </c>
      <c r="F28" s="64">
        <f xml:space="preserve"> IF(OR(SUM(F25:F26)&gt;=($B$5*40),SUM(F25:F26)&gt;0),
  0,
  IF(SUM($C$28:E28)=0,
   IF((('Effort Estimates'!$C$7)/Plan!$B$12)&gt;40*$B$5,
    40*$B$5,
    ('Effort Estimates'!$C$7)/$B$12
   ),
   IF(SUM($C$28:E28)&lt;'Effort Estimates'!$C$7,
    IF((('Effort Estimates'!$C$7)/Plan!$B$12)&gt;40*$B$5,
     40*$B$5,
     ('Effort Estimates'!$C$7)/$B$12
    ),
    0
   )
  )
 )</f>
        <v>0</v>
      </c>
      <c r="G28" s="64">
        <f xml:space="preserve"> IF(OR(SUM(G25:G26)&gt;=($B$5*40),SUM(G25:G26)&gt;0),
  0,
  IF(SUM($C$28:F28)=0,
   IF((('Effort Estimates'!$C$7)/Plan!$B$12)&gt;40*$B$5,
    40*$B$5,
    ('Effort Estimates'!$C$7)/$B$12
   ),
   IF(SUM($C$28:F28)&lt;'Effort Estimates'!$C$7,
    IF((('Effort Estimates'!$C$7)/Plan!$B$12)&gt;40*$B$5,
     40*$B$5,
     ('Effort Estimates'!$C$7)/$B$12
    ),
    0
   )
  )
 )</f>
        <v>0</v>
      </c>
      <c r="H28" s="64">
        <f xml:space="preserve"> IF(OR(SUM(H25:H26)&gt;=($B$5*40),SUM(H25:H26)&gt;0),
  0,
  IF(SUM($C$28:G28)=0,
   IF((('Effort Estimates'!$C$7)/Plan!$B$12)&gt;40*$B$5,
    40*$B$5,
    ('Effort Estimates'!$C$7)/$B$12
   ),
   IF(SUM($C$28:G28)&lt;'Effort Estimates'!$C$7,
    IF((('Effort Estimates'!$C$7)/Plan!$B$12)&gt;40*$B$5,
     40*$B$5,
     ('Effort Estimates'!$C$7)/$B$12
    ),
    0
   )
  )
 )</f>
        <v>0</v>
      </c>
      <c r="I28" s="64">
        <f xml:space="preserve"> IF(OR(SUM(I25:I26)&gt;=($B$5*40),SUM(I25:I26)&gt;0),
  0,
  IF(SUM($C$28:H28)=0,
   IF((('Effort Estimates'!$C$7)/Plan!$B$12)&gt;40*$B$5,
    40*$B$5,
    ('Effort Estimates'!$C$7)/$B$12
   ),
   IF(SUM($C$28:H28)&lt;'Effort Estimates'!$C$7,
    IF((('Effort Estimates'!$C$7)/Plan!$B$12)&gt;40*$B$5,
     40*$B$5,
     ('Effort Estimates'!$C$7)/$B$12
    ),
    0
   )
  )
 )</f>
        <v>0</v>
      </c>
      <c r="J28" s="64">
        <f xml:space="preserve"> IF(OR(SUM(J25:J26)&gt;=($B$5*40),SUM(J25:J26)&gt;0),
  0,
  IF(SUM($C$28:I28)=0,
   IF((('Effort Estimates'!$C$7)/Plan!$B$12)&gt;40*$B$5,
    40*$B$5,
    ('Effort Estimates'!$C$7)/$B$12
   ),
   IF(SUM($C$28:I28)&lt;'Effort Estimates'!$C$7,
    IF((('Effort Estimates'!$C$7)/Plan!$B$12)&gt;40*$B$5,
     40*$B$5,
     ('Effort Estimates'!$C$7)/$B$12
    ),
    0
   )
  )
 )</f>
        <v>0</v>
      </c>
      <c r="K28" s="64">
        <f xml:space="preserve"> IF(OR(SUM(K25:K26)&gt;=($B$5*40),SUM(K25:K26)&gt;0),
  0,
  IF(SUM($C$28:J28)=0,
   IF((('Effort Estimates'!$C$7)/Plan!$B$12)&gt;40*$B$5,
    40*$B$5,
    ('Effort Estimates'!$C$7)/$B$12
   ),
   IF(SUM($C$28:J28)&lt;'Effort Estimates'!$C$7,
    IF((('Effort Estimates'!$C$7)/Plan!$B$12)&gt;40*$B$5,
     40*$B$5,
     ('Effort Estimates'!$C$7)/$B$12
    ),
    0
   )
  )
 )</f>
        <v>0</v>
      </c>
      <c r="L28" s="64">
        <f xml:space="preserve"> IF(OR(SUM(L25:L26)&gt;=($B$5*40),SUM(L25:L26)&gt;0),
  0,
  IF(SUM($C$28:K28)=0,
   IF((('Effort Estimates'!$C$7)/Plan!$B$12)&gt;40*$B$5,
    40*$B$5,
    ('Effort Estimates'!$C$7)/$B$12
   ),
   IF(SUM($C$28:K28)&lt;'Effort Estimates'!$C$7,
    IF((('Effort Estimates'!$C$7)/Plan!$B$12)&gt;40*$B$5,
     40*$B$5,
     ('Effort Estimates'!$C$7)/$B$12
    ),
    0
   )
  )
 )</f>
        <v>0</v>
      </c>
      <c r="M28" s="64">
        <f xml:space="preserve"> IF(OR(SUM(M25:M26)&gt;=($B$5*40),SUM(M25:M26)&gt;0),
  0,
  IF(SUM($C$28:L28)=0,
   IF((('Effort Estimates'!$C$7)/Plan!$B$12)&gt;40*$B$5,
    40*$B$5,
    ('Effort Estimates'!$C$7)/$B$12
   ),
   IF(SUM($C$28:L28)&lt;'Effort Estimates'!$C$7,
    IF((('Effort Estimates'!$C$7)/Plan!$B$12)&gt;40*$B$5,
     40*$B$5,
     ('Effort Estimates'!$C$7)/$B$12
    ),
    0
   )
  )
 )</f>
        <v>0</v>
      </c>
      <c r="N28" s="64">
        <f xml:space="preserve"> IF(OR(SUM(N25:N26)&gt;=($B$5*40),SUM(N25:N26)&gt;0),
  0,
  IF(SUM($C$28:M28)=0,
   IF((('Effort Estimates'!$C$7)/Plan!$B$12)&gt;40*$B$5,
    40*$B$5,
    ('Effort Estimates'!$C$7)/$B$12
   ),
   IF(SUM($C$28:M28)&lt;'Effort Estimates'!$C$7,
    IF((('Effort Estimates'!$C$7)/Plan!$B$12)&gt;40*$B$5,
     40*$B$5,
     ('Effort Estimates'!$C$7)/$B$12
    ),
    0
   )
  )
 )</f>
        <v>0</v>
      </c>
      <c r="O28" s="64">
        <f xml:space="preserve"> IF(OR(SUM(O25:O26)&gt;=($B$5*40),SUM(O25:O26)&gt;0),
  0,
  IF(SUM($C$28:N28)=0,
   IF((('Effort Estimates'!$C$7)/Plan!$B$12)&gt;40*$B$5,
    40*$B$5,
    ('Effort Estimates'!$C$7)/$B$12
   ),
   IF(SUM($C$28:N28)&lt;'Effort Estimates'!$C$7,
    IF((('Effort Estimates'!$C$7)/Plan!$B$12)&gt;40*$B$5,
     40*$B$5,
     ('Effort Estimates'!$C$7)/$B$12
    ),
    0
   )
  )
 )</f>
        <v>0</v>
      </c>
      <c r="P28" s="64">
        <f xml:space="preserve"> IF(OR(SUM(P25:P26)&gt;=($B$5*40),SUM(P25:P26)&gt;0),
  0,
  IF(SUM($C$28:O28)=0,
   IF((('Effort Estimates'!$C$7)/Plan!$B$12)&gt;40*$B$5,
    40*$B$5,
    ('Effort Estimates'!$C$7)/$B$12
   ),
   IF(SUM($C$28:O28)&lt;'Effort Estimates'!$C$7,
    IF((('Effort Estimates'!$C$7)/Plan!$B$12)&gt;40*$B$5,
     40*$B$5,
     ('Effort Estimates'!$C$7)/$B$12
    ),
    0
   )
  )
 )</f>
        <v>0</v>
      </c>
      <c r="Q28" s="64">
        <f xml:space="preserve"> IF(OR(SUM(Q25:Q26)&gt;=($B$5*40),SUM(Q25:Q26)&gt;0),
  0,
  IF(SUM($C$28:P28)=0,
   IF((('Effort Estimates'!$C$7)/Plan!$B$12)&gt;40*$B$5,
    40*$B$5,
    ('Effort Estimates'!$C$7)/$B$12
   ),
   IF(SUM($C$28:P28)&lt;'Effort Estimates'!$C$7,
    IF((('Effort Estimates'!$C$7)/Plan!$B$12)&gt;40*$B$5,
     40*$B$5,
     ('Effort Estimates'!$C$7)/$B$12
    ),
    0
   )
  )
 )</f>
        <v>0</v>
      </c>
      <c r="R28" s="64">
        <f xml:space="preserve"> IF(OR(SUM(R25:R26)&gt;=($B$5*40),SUM(R25:R26)&gt;0),
  0,
  IF(SUM($C$28:Q28)=0,
   IF((('Effort Estimates'!$C$7)/Plan!$B$12)&gt;40*$B$5,
    40*$B$5,
    ('Effort Estimates'!$C$7)/$B$12
   ),
   IF(SUM($C$28:Q28)&lt;'Effort Estimates'!$C$7,
    IF((('Effort Estimates'!$C$7)/Plan!$B$12)&gt;40*$B$5,
     40*$B$5,
     ('Effort Estimates'!$C$7)/$B$12
    ),
    0
   )
  )
 )</f>
        <v>0</v>
      </c>
      <c r="S28" s="64">
        <f xml:space="preserve"> IF(OR(SUM(S25:S26)&gt;=($B$5*40),SUM(S25:S26)&gt;0),
  0,
  IF(SUM($C$28:R28)=0,
   IF((('Effort Estimates'!$C$7)/Plan!$B$12)&gt;40*$B$5,
    40*$B$5,
    ('Effort Estimates'!$C$7)/$B$12
   ),
   IF(SUM($C$28:R28)&lt;'Effort Estimates'!$C$7,
    IF((('Effort Estimates'!$C$7)/Plan!$B$12)&gt;40*$B$5,
     40*$B$5,
     ('Effort Estimates'!$C$7)/$B$12
    ),
    0
   )
  )
 )</f>
        <v>0</v>
      </c>
      <c r="T28" s="64">
        <f xml:space="preserve"> IF(OR(SUM(T25:T26)&gt;=($B$5*40),SUM(T25:T26)&gt;0),
  0,
  IF(SUM($C$28:S28)=0,
   IF((('Effort Estimates'!$C$7)/Plan!$B$12)&gt;40*$B$5,
    40*$B$5,
    ('Effort Estimates'!$C$7)/$B$12
   ),
   IF(SUM($C$28:S28)&lt;'Effort Estimates'!$C$7,
    IF((('Effort Estimates'!$C$7)/Plan!$B$12)&gt;40*$B$5,
     40*$B$5,
     ('Effort Estimates'!$C$7)/$B$12
    ),
    0
   )
  )
 )</f>
        <v>28.08</v>
      </c>
      <c r="U28" s="64">
        <f xml:space="preserve"> IF(OR(SUM(U25:U26)&gt;=($B$5*40),SUM(U25:U26)&gt;0),
  0,
  IF(SUM($C$28:T28)=0,
   IF((('Effort Estimates'!$C$7)/Plan!$B$12)&gt;40*$B$5,
    40*$B$5,
    ('Effort Estimates'!$C$7)/$B$12
   ),
   IF(SUM($C$28:T28)&lt;'Effort Estimates'!$C$7,
    IF((('Effort Estimates'!$C$7)/Plan!$B$12)&gt;40*$B$5,
     40*$B$5,
     ('Effort Estimates'!$C$7)/$B$12
    ),
    0
   )
  )
 )</f>
        <v>28.08</v>
      </c>
      <c r="V28" s="64">
        <f xml:space="preserve"> IF(OR(SUM(V25:V26)&gt;=($B$5*40),SUM(V25:V26)&gt;0),
  0,
  IF(SUM($C$28:U28)=0,
   IF((('Effort Estimates'!$C$7)/Plan!$B$12)&gt;40*$B$5,
    40*$B$5,
    ('Effort Estimates'!$C$7)/$B$12
   ),
   IF(SUM($C$28:U28)&lt;'Effort Estimates'!$C$7,
    IF((('Effort Estimates'!$C$7)/Plan!$B$12)&gt;40*$B$5,
     40*$B$5,
     ('Effort Estimates'!$C$7)/$B$12
    ),
    0
   )
  )
 )</f>
        <v>28.08</v>
      </c>
      <c r="W28" s="64">
        <f xml:space="preserve"> IF(OR(SUM(W25:W26)&gt;=($B$5*40),SUM(W25:W26)&gt;0),
  0,
  IF(SUM($C$28:V28)=0,
   IF((('Effort Estimates'!$C$7)/Plan!$B$12)&gt;40*$B$5,
    40*$B$5,
    ('Effort Estimates'!$C$7)/$B$12
   ),
   IF(SUM($C$28:V28)&lt;'Effort Estimates'!$C$7,
    IF((('Effort Estimates'!$C$7)/Plan!$B$12)&gt;40*$B$5,
     40*$B$5,
     ('Effort Estimates'!$C$7)/$B$12
    ),
    0
   )
  )
 )</f>
        <v>28.08</v>
      </c>
      <c r="X28" s="64">
        <f xml:space="preserve"> IF(OR(SUM(X25:X26)&gt;=($B$5*40),SUM(X25:X26)&gt;0),
  0,
  IF(SUM($C$28:W28)=0,
   IF((('Effort Estimates'!$C$7)/Plan!$B$12)&gt;40*$B$5,
    40*$B$5,
    ('Effort Estimates'!$C$7)/$B$12
   ),
   IF(SUM($C$28:W28)&lt;'Effort Estimates'!$C$7,
    IF((('Effort Estimates'!$C$7)/Plan!$B$12)&gt;40*$B$5,
     40*$B$5,
     ('Effort Estimates'!$C$7)/$B$12
    ),
    0
   )
  )
 )</f>
        <v>28.08</v>
      </c>
      <c r="Y28" s="64">
        <f xml:space="preserve"> IF(OR(SUM(Y25:Y26)&gt;=($B$5*40),SUM(Y25:Y26)&gt;0),
  0,
  IF(SUM($C$28:X28)=0,
   IF((('Effort Estimates'!$C$7)/Plan!$B$12)&gt;40*$B$5,
    40*$B$5,
    ('Effort Estimates'!$C$7)/$B$12
   ),
   IF(SUM($C$28:X28)&lt;'Effort Estimates'!$C$7,
    IF((('Effort Estimates'!$C$7)/Plan!$B$12)&gt;40*$B$5,
     40*$B$5,
     ('Effort Estimates'!$C$7)/$B$12
    ),
    0
   )
  )
 )</f>
        <v>28.08</v>
      </c>
      <c r="Z28" s="64">
        <f xml:space="preserve"> IF(OR(SUM(Z25:Z26)&gt;=($B$5*40),SUM(Z25:Z26)&gt;0),
  0,
  IF(SUM($C$28:Y28)=0,
   IF((('Effort Estimates'!$C$7)/Plan!$B$12)&gt;40*$B$5,
    40*$B$5,
    ('Effort Estimates'!$C$7)/$B$12
   ),
   IF(SUM($C$28:Y28)&lt;'Effort Estimates'!$C$7,
    IF((('Effort Estimates'!$C$7)/Plan!$B$12)&gt;40*$B$5,
     40*$B$5,
     ('Effort Estimates'!$C$7)/$B$12
    ),
    0
   )
  )
 )</f>
        <v>0</v>
      </c>
      <c r="AA28" s="64">
        <f xml:space="preserve"> IF(OR(SUM(AA25:AA26)&gt;=($B$5*40),SUM(AA25:AA26)&gt;0),
  0,
  IF(SUM($C$28:Z28)=0,
   IF((('Effort Estimates'!$C$7)/Plan!$B$12)&gt;40*$B$5,
    40*$B$5,
    ('Effort Estimates'!$C$7)/$B$12
   ),
   IF(SUM($C$28:Z28)&lt;'Effort Estimates'!$C$7,
    IF((('Effort Estimates'!$C$7)/Plan!$B$12)&gt;40*$B$5,
     40*$B$5,
     ('Effort Estimates'!$C$7)/$B$12
    ),
    0
   )
  )
 )</f>
        <v>0</v>
      </c>
      <c r="AB28" s="64">
        <f xml:space="preserve"> IF(OR(SUM(AB25:AB26)&gt;=($B$5*40),SUM(AB25:AB26)&gt;0),
  0,
  IF(SUM($C$28:AA28)=0,
   IF((('Effort Estimates'!$C$7)/Plan!$B$12)&gt;40*$B$5,
    40*$B$5,
    ('Effort Estimates'!$C$7)/$B$12
   ),
   IF(SUM($C$28:AA28)&lt;'Effort Estimates'!$C$7,
    IF((('Effort Estimates'!$C$7)/Plan!$B$12)&gt;40*$B$5,
     40*$B$5,
     ('Effort Estimates'!$C$7)/$B$12
    ),
    0
   )
  )
 )</f>
        <v>0</v>
      </c>
      <c r="AC28" s="64">
        <f xml:space="preserve"> IF(OR(SUM(AC25:AC26)&gt;=($B$5*40),SUM(AC25:AC26)&gt;0),
  0,
  IF(SUM($C$28:AB28)=0,
   IF((('Effort Estimates'!$C$7)/Plan!$B$12)&gt;40*$B$5,
    40*$B$5,
    ('Effort Estimates'!$C$7)/$B$12
   ),
   IF(SUM($C$28:AB28)&lt;'Effort Estimates'!$C$7,
    IF((('Effort Estimates'!$C$7)/Plan!$B$12)&gt;40*$B$5,
     40*$B$5,
     ('Effort Estimates'!$C$7)/$B$12
    ),
    0
   )
  )
 )</f>
        <v>0</v>
      </c>
      <c r="AD28" s="64">
        <f xml:space="preserve"> IF(OR(SUM(AD25:AD26)&gt;=($B$5*40),SUM(AD25:AD26)&gt;0),
  0,
  IF(SUM($C$28:AC28)=0,
   IF((('Effort Estimates'!$C$7)/Plan!$B$12)&gt;40*$B$5,
    40*$B$5,
    ('Effort Estimates'!$C$7)/$B$12
   ),
   IF(SUM($C$28:AC28)&lt;'Effort Estimates'!$C$7,
    IF((('Effort Estimates'!$C$7)/Plan!$B$12)&gt;40*$B$5,
     40*$B$5,
     ('Effort Estimates'!$C$7)/$B$12
    ),
    0
   )
  )
 )</f>
        <v>0</v>
      </c>
      <c r="AE28" s="64">
        <f xml:space="preserve"> IF(OR(SUM(AE25:AE26)&gt;=($B$5*40),SUM(AE25:AE26)&gt;0),
  0,
  IF(SUM($C$28:AD28)=0,
   IF((('Effort Estimates'!$C$7)/Plan!$B$12)&gt;40*$B$5,
    40*$B$5,
    ('Effort Estimates'!$C$7)/$B$12
   ),
   IF(SUM($C$28:AD28)&lt;'Effort Estimates'!$C$7,
    IF((('Effort Estimates'!$C$7)/Plan!$B$12)&gt;40*$B$5,
     40*$B$5,
     ('Effort Estimates'!$C$7)/$B$12
    ),
    0
   )
  )
 )</f>
        <v>0</v>
      </c>
      <c r="AF28" s="64">
        <f xml:space="preserve"> IF(OR(SUM(AF25:AF26)&gt;=($B$5*40),SUM(AF25:AF26)&gt;0),
  0,
  IF(SUM($C$28:AE28)=0,
   IF((('Effort Estimates'!$C$7)/Plan!$B$12)&gt;40*$B$5,
    40*$B$5,
    ('Effort Estimates'!$C$7)/$B$12
   ),
   IF(SUM($C$28:AE28)&lt;'Effort Estimates'!$C$7,
    IF((('Effort Estimates'!$C$7)/Plan!$B$12)&gt;40*$B$5,
     40*$B$5,
     ('Effort Estimates'!$C$7)/$B$12
    ),
    0
   )
  )
 )</f>
        <v>0</v>
      </c>
      <c r="AG28" s="64">
        <f xml:space="preserve"> IF(OR(SUM(AG25:AG26)&gt;=($B$5*40),SUM(AG25:AG26)&gt;0),
  0,
  IF(SUM($C$28:AF28)=0,
   IF((('Effort Estimates'!$C$7)/Plan!$B$12)&gt;40*$B$5,
    40*$B$5,
    ('Effort Estimates'!$C$7)/$B$12
   ),
   IF(SUM($C$28:AF28)&lt;'Effort Estimates'!$C$7,
    IF((('Effort Estimates'!$C$7)/Plan!$B$12)&gt;40*$B$5,
     40*$B$5,
     ('Effort Estimates'!$C$7)/$B$12
    ),
    0
   )
  )
 )</f>
        <v>0</v>
      </c>
      <c r="AH28" s="64">
        <f xml:space="preserve"> IF(OR(SUM(AH25:AH26)&gt;=($B$5*40),SUM(AH25:AH26)&gt;0),
  0,
  IF(SUM($C$28:AG28)=0,
   IF((('Effort Estimates'!$C$7)/Plan!$B$12)&gt;40*$B$5,
    40*$B$5,
    ('Effort Estimates'!$C$7)/$B$12
   ),
   IF(SUM($C$28:AG28)&lt;'Effort Estimates'!$C$7,
    IF((('Effort Estimates'!$C$7)/Plan!$B$12)&gt;40*$B$5,
     40*$B$5,
     ('Effort Estimates'!$C$7)/$B$12
    ),
    0
   )
  )
 )</f>
        <v>0</v>
      </c>
    </row>
    <row r="29" spans="1:34" x14ac:dyDescent="0.2">
      <c r="A29" t="s">
        <v>174</v>
      </c>
      <c r="C29" s="64">
        <f>IF(OR(SUM(C25:C28)&gt;=($B$5*40),SUM(C25:C28)&gt;0),0,IF((('Effort Estimates'!C8)/Plan!$B$7)&gt;40,40*$B$7,('Effort Estimates'!C8)))</f>
        <v>0</v>
      </c>
      <c r="D29" s="64">
        <f>IF(OR(SUM(D25:D28)&gt;=($B$6*40),SUM(D25:D28)&gt;0),0,IF(SUM($C$29:C29)=0,IF((('Effort Estimates'!$C$8)/Plan!$B$7)&gt;40,40*$B$7,('Effort Estimates'!$C$8)),IF(SUM(C29:C29)&lt;(40*$B$7),0,IF(((('Effort Estimates'!$C$8)-SUM($C$29:C29))/Plan!$B$7)&gt;40,40*$B$7,(('Effort Estimates'!$C$8)-SUM($C$29:C29))))))</f>
        <v>0</v>
      </c>
      <c r="E29" s="64">
        <f>IF(OR(SUM(E25:E28)&gt;=($B$6*40),SUM(E25:E28)&gt;0),0,IF(SUM($C$29:D29)=0,IF((('Effort Estimates'!$C$8)/Plan!$B$7)&gt;40,40*$B$7,('Effort Estimates'!$C$8)),IF(SUM(D29:D29)&lt;(40*$B$7),0,IF(((('Effort Estimates'!$C$8)-SUM($C$29:D29))/Plan!$B$7)&gt;40,40*$B$7,(('Effort Estimates'!$C$8)-SUM($C$29:D29))))))</f>
        <v>0</v>
      </c>
      <c r="F29" s="64">
        <f>IF(OR(SUM(F25:F28)&gt;=($B$6*40),SUM(F25:F28)&gt;0),0,IF(SUM($C$29:E29)=0,IF((('Effort Estimates'!$C$8)/Plan!$B$7)&gt;40,40*$B$7,('Effort Estimates'!$C$8)),IF(SUM(E29:E29)&lt;(40*$B$7),0,IF(((('Effort Estimates'!$C$8)-SUM($C$29:E29))/Plan!$B$7)&gt;40,40*$B$7,(('Effort Estimates'!$C$8)-SUM($C$29:E29))))))</f>
        <v>0</v>
      </c>
      <c r="G29" s="64">
        <f>IF(OR(SUM(G25:G28)&gt;=($B$6*40),SUM(G25:G28)&gt;0),0,IF(SUM($C$29:F29)=0,IF((('Effort Estimates'!$C$8)/Plan!$B$7)&gt;40,40*$B$7,('Effort Estimates'!$C$8)),IF(SUM(F29:F29)&lt;(40*$B$7),0,IF(((('Effort Estimates'!$C$8)-SUM($C$29:F29))/Plan!$B$7)&gt;40,40*$B$7,(('Effort Estimates'!$C$8)-SUM($C$29:F29))))))</f>
        <v>0</v>
      </c>
      <c r="H29" s="64">
        <f>IF(OR(SUM(H25:H28)&gt;=($B$6*40),SUM(H25:H28)&gt;0),0,IF(SUM($C$29:G29)=0,IF((('Effort Estimates'!$C$8)/Plan!$B$7)&gt;40,40*$B$7,('Effort Estimates'!$C$8)),IF(SUM(G29:G29)&lt;(40*$B$7),0,IF(((('Effort Estimates'!$C$8)-SUM($C$29:G29))/Plan!$B$7)&gt;40,40*$B$7,(('Effort Estimates'!$C$8)-SUM($C$29:G29))))))</f>
        <v>0</v>
      </c>
      <c r="I29" s="64">
        <f>IF(OR(SUM(I25:I28)&gt;=($B$6*40),SUM(I25:I28)&gt;0),0,IF(SUM($C$29:H29)=0,IF((('Effort Estimates'!$C$8)/Plan!$B$7)&gt;40,40*$B$7,('Effort Estimates'!$C$8)),IF(SUM(H29:H29)&lt;(40*$B$7),0,IF(((('Effort Estimates'!$C$8)-SUM($C$29:H29))/Plan!$B$7)&gt;40,40*$B$7,(('Effort Estimates'!$C$8)-SUM($C$29:H29))))))</f>
        <v>0</v>
      </c>
      <c r="J29" s="64">
        <f>IF(OR(SUM(J25:J28)&gt;=($B$6*40),SUM(J25:J28)&gt;0),0,IF(SUM($C$29:I29)=0,IF((('Effort Estimates'!$C$8)/Plan!$B$7)&gt;40,40*$B$7,('Effort Estimates'!$C$8)),IF(SUM(I29:I29)&lt;(40*$B$7),0,IF(((('Effort Estimates'!$C$8)-SUM($C$29:I29))/Plan!$B$7)&gt;40,40*$B$7,(('Effort Estimates'!$C$8)-SUM($C$29:I29))))))</f>
        <v>0</v>
      </c>
      <c r="K29" s="64">
        <f>IF(OR(SUM(K25:K28)&gt;=($B$6*40),SUM(K25:K28)&gt;0),0,IF(SUM($C$29:J29)=0,IF((('Effort Estimates'!$C$8)/Plan!$B$7)&gt;40,40*$B$7,('Effort Estimates'!$C$8)),IF(SUM(J29:J29)&lt;(40*$B$7),0,IF(((('Effort Estimates'!$C$8)-SUM($C$29:J29))/Plan!$B$7)&gt;40,40*$B$7,(('Effort Estimates'!$C$8)-SUM($C$29:J29))))))</f>
        <v>0</v>
      </c>
      <c r="L29" s="64">
        <f>IF(OR(SUM(L25:L28)&gt;=($B$6*40),SUM(L25:L28)&gt;0),0,IF(SUM($C$29:K29)=0,IF((('Effort Estimates'!$C$8)/Plan!$B$7)&gt;40,40*$B$7,('Effort Estimates'!$C$8)),IF(SUM(K29:K29)&lt;(40*$B$7),0,IF(((('Effort Estimates'!$C$8)-SUM($C$29:K29))/Plan!$B$7)&gt;40,40*$B$7,(('Effort Estimates'!$C$8)-SUM($C$29:K29))))))</f>
        <v>0</v>
      </c>
      <c r="M29" s="64">
        <f>IF(OR(SUM(M25:M28)&gt;=($B$6*40),SUM(M25:M28)&gt;0),0,IF(SUM($C$29:L29)=0,IF((('Effort Estimates'!$C$8)/Plan!$B$7)&gt;40,40*$B$7,('Effort Estimates'!$C$8)),IF(SUM(L29:L29)&lt;(40*$B$7),0,IF(((('Effort Estimates'!$C$8)-SUM($C$29:L29))/Plan!$B$7)&gt;40,40*$B$7,(('Effort Estimates'!$C$8)-SUM($C$29:L29))))))</f>
        <v>0</v>
      </c>
      <c r="N29" s="64">
        <f>IF(OR(SUM(N25:N28)&gt;=($B$6*40),SUM(N25:N28)&gt;0),0,IF(SUM($C$29:M29)=0,IF((('Effort Estimates'!$C$8)/Plan!$B$7)&gt;40,40*$B$7,('Effort Estimates'!$C$8)),IF(SUM(M29:M29)&lt;(40*$B$7),0,IF(((('Effort Estimates'!$C$8)-SUM($C$29:M29))/Plan!$B$7)&gt;40,40*$B$7,(('Effort Estimates'!$C$8)-SUM($C$29:M29))))))</f>
        <v>0</v>
      </c>
      <c r="O29" s="64">
        <f>IF(OR(SUM(O25:O28)&gt;=($B$6*40),SUM(O25:O28)&gt;0),0,IF(SUM($C$29:N29)=0,IF((('Effort Estimates'!$C$8)/Plan!$B$7)&gt;40,40*$B$7,('Effort Estimates'!$C$8)),IF(SUM(N29:N29)&lt;(40*$B$7),0,IF(((('Effort Estimates'!$C$8)-SUM($C$29:N29))/Plan!$B$7)&gt;40,40*$B$7,(('Effort Estimates'!$C$8)-SUM($C$29:N29))))))</f>
        <v>0</v>
      </c>
      <c r="P29" s="64">
        <f>IF(OR(SUM(P25:P28)&gt;=($B$6*40),SUM(P25:P28)&gt;0),0,IF(SUM($C$29:O29)=0,IF((('Effort Estimates'!$C$8)/Plan!$B$7)&gt;40,40*$B$7,('Effort Estimates'!$C$8)),IF(SUM(O29:O29)&lt;(40*$B$7),0,IF(((('Effort Estimates'!$C$8)-SUM($C$29:O29))/Plan!$B$7)&gt;40,40*$B$7,(('Effort Estimates'!$C$8)-SUM($C$29:O29))))))</f>
        <v>0</v>
      </c>
      <c r="Q29" s="64">
        <f>IF(OR(SUM(Q25:Q28)&gt;=($B$6*40),SUM(Q25:Q28)&gt;0),0,IF(SUM($C$29:P29)=0,IF((('Effort Estimates'!$C$8)/Plan!$B$7)&gt;40,40*$B$7,('Effort Estimates'!$C$8)),IF(SUM(P29:P29)&lt;(40*$B$7),0,IF(((('Effort Estimates'!$C$8)-SUM($C$29:P29))/Plan!$B$7)&gt;40,40*$B$7,(('Effort Estimates'!$C$8)-SUM($C$29:P29))))))</f>
        <v>0</v>
      </c>
      <c r="R29" s="64">
        <f>IF(OR(SUM(R25:R28)&gt;=($B$6*40),SUM(R25:R28)&gt;0),0,IF(SUM($C$29:Q29)=0,IF((('Effort Estimates'!$C$8)/Plan!$B$7)&gt;40,40*$B$7,('Effort Estimates'!$C$8)),IF(SUM(Q29:Q29)&lt;(40*$B$7),0,IF(((('Effort Estimates'!$C$8)-SUM($C$29:Q29))/Plan!$B$7)&gt;40,40*$B$7,(('Effort Estimates'!$C$8)-SUM($C$29:Q29))))))</f>
        <v>0</v>
      </c>
      <c r="S29" s="64">
        <f>IF(OR(SUM(S25:S28)&gt;=($B$6*40),SUM(S25:S28)&gt;0),0,IF(SUM($C$29:R29)=0,IF((('Effort Estimates'!$C$8)/Plan!$B$7)&gt;40,40*$B$7,('Effort Estimates'!$C$8)),IF(SUM(R29:R29)&lt;(40*$B$7),0,IF(((('Effort Estimates'!$C$8)-SUM($C$29:R29))/Plan!$B$7)&gt;40,40*$B$7,(('Effort Estimates'!$C$8)-SUM($C$29:R29))))))</f>
        <v>0</v>
      </c>
      <c r="T29" s="64">
        <f>IF(OR(SUM(T25:T28)&gt;=($B$6*40),SUM(T25:T28)&gt;0),0,IF(SUM($C$29:S29)=0,IF((('Effort Estimates'!$C$8)/Plan!$B$7)&gt;40,40*$B$7,('Effort Estimates'!$C$8)),IF(SUM(S29:S29)&lt;(40*$B$7),0,IF(((('Effort Estimates'!$C$8)-SUM($C$29:S29))/Plan!$B$7)&gt;40,40*$B$7,(('Effort Estimates'!$C$8)-SUM($C$29:S29))))))</f>
        <v>0</v>
      </c>
      <c r="U29" s="64">
        <f>IF(OR(SUM(U25:U28)&gt;=($B$6*40),SUM(U25:U28)&gt;0),0,IF(SUM($C$29:T29)=0,IF((('Effort Estimates'!$C$8)/Plan!$B$7)&gt;40,40*$B$7,('Effort Estimates'!$C$8)),IF(SUM(T29:T29)&lt;(40*$B$7),0,IF(((('Effort Estimates'!$C$8)-SUM($C$29:T29))/Plan!$B$7)&gt;40,40*$B$7,(('Effort Estimates'!$C$8)-SUM($C$29:T29))))))</f>
        <v>0</v>
      </c>
      <c r="V29" s="64">
        <f>IF(OR(SUM(V25:V28)&gt;=($B$6*40),SUM(V25:V28)&gt;0),0,IF(SUM($C$29:U29)=0,IF((('Effort Estimates'!$C$8)/Plan!$B$7)&gt;40,40*$B$7,('Effort Estimates'!$C$8)),IF(SUM(U29:U29)&lt;(40*$B$7),0,IF(((('Effort Estimates'!$C$8)-SUM($C$29:U29))/Plan!$B$7)&gt;40,40*$B$7,(('Effort Estimates'!$C$8)-SUM($C$29:U29))))))</f>
        <v>0</v>
      </c>
      <c r="W29" s="64">
        <f>IF(OR(SUM(W25:W28)&gt;=($B$6*40),SUM(W25:W28)&gt;0),0,IF(SUM($C$29:V29)=0,IF((('Effort Estimates'!$C$8)/Plan!$B$7)&gt;40,40*$B$7,('Effort Estimates'!$C$8)),IF(SUM(V29:V29)&lt;(40*$B$7),0,IF(((('Effort Estimates'!$C$8)-SUM($C$29:V29))/Plan!$B$7)&gt;40,40*$B$7,(('Effort Estimates'!$C$8)-SUM($C$29:V29))))))</f>
        <v>0</v>
      </c>
      <c r="X29" s="64">
        <f>IF(OR(SUM(X25:X28)&gt;=($B$6*40),SUM(X25:X28)&gt;0),0,IF(SUM($C$29:W29)=0,IF((('Effort Estimates'!$C$8)/Plan!$B$7)&gt;40,40*$B$7,('Effort Estimates'!$C$8)),IF(SUM(W29:W29)&lt;(40*$B$7),0,IF(((('Effort Estimates'!$C$8)-SUM($C$29:W29))/Plan!$B$7)&gt;40,40*$B$7,(('Effort Estimates'!$C$8)-SUM($C$29:W29))))))</f>
        <v>0</v>
      </c>
      <c r="Y29" s="64">
        <f>IF(OR(SUM(Y25:Y28)&gt;=($B$6*40),SUM(Y25:Y28)&gt;0),0,IF(SUM($C$29:X29)=0,IF((('Effort Estimates'!$C$8)/Plan!$B$7)&gt;40,40*$B$7,('Effort Estimates'!$C$8)),IF(SUM(X29:X29)&lt;(40*$B$7),0,IF(((('Effort Estimates'!$C$8)-SUM($C$29:X29))/Plan!$B$7)&gt;40,40*$B$7,(('Effort Estimates'!$C$8)-SUM($C$29:X29))))))</f>
        <v>0</v>
      </c>
      <c r="Z29" s="64">
        <f>IF(OR(SUM(Z25:Z28)&gt;=($B$6*40),SUM(Z25:Z28)&gt;0),0,IF(SUM($C$29:Y29)=0,IF((('Effort Estimates'!$C$8)/Plan!$B$7)&gt;40,40*$B$7,('Effort Estimates'!$C$8)),IF(SUM(Y29:Y29)&lt;(40*$B$7),0,IF(((('Effort Estimates'!$C$8)-SUM($C$29:Y29))/Plan!$B$7)&gt;40,40*$B$7,(('Effort Estimates'!$C$8)-SUM($C$29:Y29))))))</f>
        <v>40</v>
      </c>
      <c r="AA29" s="64">
        <f>IF(OR(SUM(AA25:AA28)&gt;=($B$6*40),SUM(AA25:AA28)&gt;0),0,IF(SUM($C$29:Z29)=0,IF((('Effort Estimates'!$C$8)/Plan!$B$7)&gt;40,40*$B$7,('Effort Estimates'!$C$8)),IF(SUM(Z29:Z29)&lt;(40*$B$7),0,IF(((('Effort Estimates'!$C$8)-SUM($C$29:Z29))/Plan!$B$7)&gt;40,40*$B$7,(('Effort Estimates'!$C$8)-SUM($C$29:Z29))))))</f>
        <v>24.799999999999997</v>
      </c>
      <c r="AB29" s="64">
        <f>IF(OR(SUM(AB25:AB28)&gt;=($B$6*40),SUM(AB25:AB28)&gt;0),0,IF(SUM($C$29:AA29)=0,IF((('Effort Estimates'!$C$8)/Plan!$B$7)&gt;40,40*$B$7,('Effort Estimates'!$C$8)),IF(SUM(AA29:AA29)&lt;(40*$B$7),0,IF(((('Effort Estimates'!$C$8)-SUM($C$29:AA29))/Plan!$B$7)&gt;40,40*$B$7,(('Effort Estimates'!$C$8)-SUM($C$29:AA29))))))</f>
        <v>0</v>
      </c>
      <c r="AC29" s="64">
        <f>IF(OR(SUM(AC25:AC28)&gt;=($B$6*40),SUM(AC25:AC28)&gt;0),0,IF(SUM($C$29:AB29)=0,IF((('Effort Estimates'!$C$8)/Plan!$B$7)&gt;40,40*$B$7,('Effort Estimates'!$C$8)),IF(SUM(AB29:AB29)&lt;(40*$B$7),0,IF(((('Effort Estimates'!$C$8)-SUM($C$29:AB29))/Plan!$B$7)&gt;40,40*$B$7,(('Effort Estimates'!$C$8)-SUM($C$29:AB29))))))</f>
        <v>0</v>
      </c>
      <c r="AD29" s="64">
        <f>IF(OR(SUM(AD25:AD28)&gt;=($B$6*40),SUM(AD25:AD28)&gt;0),0,IF(SUM($C$29:AC29)=0,IF((('Effort Estimates'!$C$8)/Plan!$B$7)&gt;40,40*$B$7,('Effort Estimates'!$C$8)),IF(SUM(AC29:AC29)&lt;(40*$B$7),0,IF(((('Effort Estimates'!$C$8)-SUM($C$29:AC29))/Plan!$B$7)&gt;40,40*$B$7,(('Effort Estimates'!$C$8)-SUM($C$29:AC29))))))</f>
        <v>0</v>
      </c>
      <c r="AE29" s="64">
        <f>IF(OR(SUM(AE25:AE28)&gt;=($B$6*40),SUM(AE25:AE28)&gt;0),0,IF(SUM($C$29:AD29)=0,IF((('Effort Estimates'!$C$8)/Plan!$B$7)&gt;40,40*$B$7,('Effort Estimates'!$C$8)),IF(SUM(AD29:AD29)&lt;(40*$B$7),0,IF(((('Effort Estimates'!$C$8)-SUM($C$29:AD29))/Plan!$B$7)&gt;40,40*$B$7,(('Effort Estimates'!$C$8)-SUM($C$29:AD29))))))</f>
        <v>0</v>
      </c>
      <c r="AF29" s="64">
        <f>IF(OR(SUM(AF25:AF28)&gt;=($B$6*40),SUM(AF25:AF28)&gt;0),0,IF(SUM($C$29:AE29)=0,IF((('Effort Estimates'!$C$8)/Plan!$B$7)&gt;40,40*$B$7,('Effort Estimates'!$C$8)),IF(SUM(AE29:AE29)&lt;(40*$B$7),0,IF(((('Effort Estimates'!$C$8)-SUM($C$29:AE29))/Plan!$B$7)&gt;40,40*$B$7,(('Effort Estimates'!$C$8)-SUM($C$29:AE29))))))</f>
        <v>0</v>
      </c>
      <c r="AG29" s="64">
        <f>IF(OR(SUM(AG25:AG28)&gt;=($B$6*40),SUM(AG25:AG28)&gt;0),0,IF(SUM($C$29:AF29)=0,IF((('Effort Estimates'!$C$8)/Plan!$B$7)&gt;40,40*$B$7,('Effort Estimates'!$C$8)),IF(SUM(AF29:AF29)&lt;(40*$B$7),0,IF(((('Effort Estimates'!$C$8)-SUM($C$29:AF29))/Plan!$B$7)&gt;40,40*$B$7,(('Effort Estimates'!$C$8)-SUM($C$29:AF29))))))</f>
        <v>0</v>
      </c>
      <c r="AH29" s="64">
        <f>IF(OR(SUM(AH25:AH28)&gt;=($B$6*40),SUM(AH25:AH28)&gt;0),0,IF(SUM($C$29:AG29)=0,IF((('Effort Estimates'!$C$8)/Plan!$B$7)&gt;40,40*$B$7,('Effort Estimates'!$C$8)),IF(SUM(AG29:AG29)&lt;(40*$B$7),0,IF(((('Effort Estimates'!$C$8)-SUM($C$29:AG29))/Plan!$B$7)&gt;40,40*$B$7,(('Effort Estimates'!$C$8)-SUM($C$29:AG29))))))</f>
        <v>0</v>
      </c>
    </row>
    <row r="30" spans="1:34" x14ac:dyDescent="0.2">
      <c r="A30" t="s">
        <v>173</v>
      </c>
      <c r="C30" s="64">
        <v>0</v>
      </c>
      <c r="D30" s="64">
        <f xml:space="preserve"> IF(OR(SUM(D25:D28)&gt;=($B$5*40),SUM(D25:D28)&gt;0),
  0,
  IF(SUM($C$30:C30)=0,
   IF((('Effort Estimates'!$C$10)/Plan!$B$13)&gt;40*$B$6,
    40*$B$6,
    ('Effort Estimates'!$C$10)/$B$13
   ),
   IF(SUM($C$30:C30)&lt;'Effort Estimates'!$C$10,
    IF((('Effort Estimates'!$C$10)/Plan!$B$13)&gt;40*$B$6,
     40*$B$6,
     ('Effort Estimates'!$C$10)/$B$13
    ),
    0
   )
  )
 )</f>
        <v>0</v>
      </c>
      <c r="E30" s="64">
        <f xml:space="preserve"> IF(OR(SUM(E25:E28)&gt;=($B$5*40),SUM(E25:E28)&gt;0),
  0,
  IF(SUM($C$30:D30)=0,
   IF((('Effort Estimates'!$C$10)/Plan!$B$13)&gt;40*$B$6,
    40*$B$6,
    ('Effort Estimates'!$C$10)/$B$13
   ),
   IF(SUM($C$30:D30)&lt;'Effort Estimates'!$C$10,
    IF((('Effort Estimates'!$C$10)/Plan!$B$13)&gt;40*$B$6,
     40*$B$6,
     ('Effort Estimates'!$C$10)/$B$13
    ),
    0
   )
  )
 )</f>
        <v>0</v>
      </c>
      <c r="F30" s="64">
        <f xml:space="preserve"> IF(OR(SUM(F25:F28)&gt;=($B$5*40),SUM(F25:F28)&gt;0),
  0,
  IF(SUM($C$30:E30)=0,
   IF((('Effort Estimates'!$C$10)/Plan!$B$13)&gt;40*$B$6,
    40*$B$6,
    ('Effort Estimates'!$C$10)/$B$13
   ),
   IF(SUM($C$30:E30)&lt;'Effort Estimates'!$C$10,
    IF((('Effort Estimates'!$C$10)/Plan!$B$13)&gt;40*$B$6,
     40*$B$6,
     ('Effort Estimates'!$C$10)/$B$13
    ),
    0
   )
  )
 )</f>
        <v>0</v>
      </c>
      <c r="G30" s="64">
        <f xml:space="preserve"> IF(OR(SUM(G25:G28)&gt;=($B$5*40),SUM(G25:G28)&gt;0),
  0,
  IF(SUM($C$30:F30)=0,
   IF((('Effort Estimates'!$C$10)/Plan!$B$13)&gt;40*$B$6,
    40*$B$6,
    ('Effort Estimates'!$C$10)/$B$13
   ),
   IF(SUM($C$30:F30)&lt;'Effort Estimates'!$C$10,
    IF((('Effort Estimates'!$C$10)/Plan!$B$13)&gt;40*$B$6,
     40*$B$6,
     ('Effort Estimates'!$C$10)/$B$13
    ),
    0
   )
  )
 )</f>
        <v>0</v>
      </c>
      <c r="H30" s="64">
        <f xml:space="preserve"> IF(OR(SUM(H25:H28)&gt;=($B$5*40),SUM(H25:H28)&gt;0),
  0,
  IF(SUM($C$30:G30)=0,
   IF((('Effort Estimates'!$C$10)/Plan!$B$13)&gt;40*$B$6,
    40*$B$6,
    ('Effort Estimates'!$C$10)/$B$13
   ),
   IF(SUM($C$30:G30)&lt;'Effort Estimates'!$C$10,
    IF((('Effort Estimates'!$C$10)/Plan!$B$13)&gt;40*$B$6,
     40*$B$6,
     ('Effort Estimates'!$C$10)/$B$13
    ),
    0
   )
  )
 )</f>
        <v>0</v>
      </c>
      <c r="I30" s="64">
        <f xml:space="preserve"> IF(OR(SUM(I25:I28)&gt;=($B$5*40),SUM(I25:I28)&gt;0),
  0,
  IF(SUM($C$30:H30)=0,
   IF((('Effort Estimates'!$C$10)/Plan!$B$13)&gt;40*$B$6,
    40*$B$6,
    ('Effort Estimates'!$C$10)/$B$13
   ),
   IF(SUM($C$30:H30)&lt;'Effort Estimates'!$C$10,
    IF((('Effort Estimates'!$C$10)/Plan!$B$13)&gt;40*$B$6,
     40*$B$6,
     ('Effort Estimates'!$C$10)/$B$13
    ),
    0
   )
  )
 )</f>
        <v>0</v>
      </c>
      <c r="J30" s="64">
        <f xml:space="preserve"> IF(OR(SUM(J25:J28)&gt;=($B$5*40),SUM(J25:J28)&gt;0),
  0,
  IF(SUM($C$30:I30)=0,
   IF((('Effort Estimates'!$C$10)/Plan!$B$13)&gt;40*$B$6,
    40*$B$6,
    ('Effort Estimates'!$C$10)/$B$13
   ),
   IF(SUM($C$30:I30)&lt;'Effort Estimates'!$C$10,
    IF((('Effort Estimates'!$C$10)/Plan!$B$13)&gt;40*$B$6,
     40*$B$6,
     ('Effort Estimates'!$C$10)/$B$13
    ),
    0
   )
  )
 )</f>
        <v>0</v>
      </c>
      <c r="K30" s="64">
        <f xml:space="preserve"> IF(OR(SUM(K25:K28)&gt;=($B$5*40),SUM(K25:K28)&gt;0),
  0,
  IF(SUM($C$30:J30)=0,
   IF((('Effort Estimates'!$C$10)/Plan!$B$13)&gt;40*$B$6,
    40*$B$6,
    ('Effort Estimates'!$C$10)/$B$13
   ),
   IF(SUM($C$30:J30)&lt;'Effort Estimates'!$C$10,
    IF((('Effort Estimates'!$C$10)/Plan!$B$13)&gt;40*$B$6,
     40*$B$6,
     ('Effort Estimates'!$C$10)/$B$13
    ),
    0
   )
  )
 )</f>
        <v>0</v>
      </c>
      <c r="L30" s="64">
        <f xml:space="preserve"> IF(OR(SUM(L25:L28)&gt;=($B$5*40),SUM(L25:L28)&gt;0),
  0,
  IF(SUM($C$30:K30)=0,
   IF((('Effort Estimates'!$C$10)/Plan!$B$13)&gt;40*$B$6,
    40*$B$6,
    ('Effort Estimates'!$C$10)/$B$13
   ),
   IF(SUM($C$30:K30)&lt;'Effort Estimates'!$C$10,
    IF((('Effort Estimates'!$C$10)/Plan!$B$13)&gt;40*$B$6,
     40*$B$6,
     ('Effort Estimates'!$C$10)/$B$13
    ),
    0
   )
  )
 )</f>
        <v>0</v>
      </c>
      <c r="M30" s="64">
        <f xml:space="preserve"> IF(OR(SUM(M25:M28)&gt;=($B$5*40),SUM(M25:M28)&gt;0),
  0,
  IF(SUM($C$30:L30)=0,
   IF((('Effort Estimates'!$C$10)/Plan!$B$13)&gt;40*$B$6,
    40*$B$6,
    ('Effort Estimates'!$C$10)/$B$13
   ),
   IF(SUM($C$30:L30)&lt;'Effort Estimates'!$C$10,
    IF((('Effort Estimates'!$C$10)/Plan!$B$13)&gt;40*$B$6,
     40*$B$6,
     ('Effort Estimates'!$C$10)/$B$13
    ),
    0
   )
  )
 )</f>
        <v>0</v>
      </c>
      <c r="N30" s="64">
        <f xml:space="preserve"> IF(OR(SUM(N25:N28)&gt;=($B$5*40),SUM(N25:N28)&gt;0),
  0,
  IF(SUM($C$30:M30)=0,
   IF((('Effort Estimates'!$C$10)/Plan!$B$13)&gt;40*$B$6,
    40*$B$6,
    ('Effort Estimates'!$C$10)/$B$13
   ),
   IF(SUM($C$30:M30)&lt;'Effort Estimates'!$C$10,
    IF((('Effort Estimates'!$C$10)/Plan!$B$13)&gt;40*$B$6,
     40*$B$6,
     ('Effort Estimates'!$C$10)/$B$13
    ),
    0
   )
  )
 )</f>
        <v>0</v>
      </c>
      <c r="O30" s="64">
        <f xml:space="preserve"> IF(OR(SUM(O25:O28)&gt;=($B$5*40),SUM(O25:O28)&gt;0),
  0,
  IF(SUM($C$30:N30)=0,
   IF((('Effort Estimates'!$C$10)/Plan!$B$13)&gt;40*$B$6,
    40*$B$6,
    ('Effort Estimates'!$C$10)/$B$13
   ),
   IF(SUM($C$30:N30)&lt;'Effort Estimates'!$C$10,
    IF((('Effort Estimates'!$C$10)/Plan!$B$13)&gt;40*$B$6,
     40*$B$6,
     ('Effort Estimates'!$C$10)/$B$13
    ),
    0
   )
  )
 )</f>
        <v>0</v>
      </c>
      <c r="P30" s="64">
        <f xml:space="preserve"> IF(OR(SUM(P25:P28)&gt;=($B$5*40),SUM(P25:P28)&gt;0),
  0,
  IF(SUM($C$30:O30)=0,
   IF((('Effort Estimates'!$C$10)/Plan!$B$13)&gt;40*$B$6,
    40*$B$6,
    ('Effort Estimates'!$C$10)/$B$13
   ),
   IF(SUM($C$30:O30)&lt;'Effort Estimates'!$C$10,
    IF((('Effort Estimates'!$C$10)/Plan!$B$13)&gt;40*$B$6,
     40*$B$6,
     ('Effort Estimates'!$C$10)/$B$13
    ),
    0
   )
  )
 )</f>
        <v>0</v>
      </c>
      <c r="Q30" s="64">
        <f xml:space="preserve"> IF(OR(SUM(Q25:Q28)&gt;=($B$5*40),SUM(Q25:Q28)&gt;0),
  0,
  IF(SUM($C$30:P30)=0,
   IF((('Effort Estimates'!$C$10)/Plan!$B$13)&gt;40*$B$6,
    40*$B$6,
    ('Effort Estimates'!$C$10)/$B$13
   ),
   IF(SUM($C$30:P30)&lt;'Effort Estimates'!$C$10,
    IF((('Effort Estimates'!$C$10)/Plan!$B$13)&gt;40*$B$6,
     40*$B$6,
     ('Effort Estimates'!$C$10)/$B$13
    ),
    0
   )
  )
 )</f>
        <v>0</v>
      </c>
      <c r="R30" s="64">
        <f xml:space="preserve"> IF(OR(SUM(R25:R28)&gt;=($B$5*40),SUM(R25:R28)&gt;0),
  0,
  IF(SUM($C$30:Q30)=0,
   IF((('Effort Estimates'!$C$10)/Plan!$B$13)&gt;40*$B$6,
    40*$B$6,
    ('Effort Estimates'!$C$10)/$B$13
   ),
   IF(SUM($C$30:Q30)&lt;'Effort Estimates'!$C$10,
    IF((('Effort Estimates'!$C$10)/Plan!$B$13)&gt;40*$B$6,
     40*$B$6,
     ('Effort Estimates'!$C$10)/$B$13
    ),
    0
   )
  )
 )</f>
        <v>0</v>
      </c>
      <c r="S30" s="64">
        <f xml:space="preserve"> IF(OR(SUM(S25:S28)&gt;=($B$5*40),SUM(S25:S28)&gt;0),
  0,
  IF(SUM($C$30:R30)=0,
   IF((('Effort Estimates'!$C$10)/Plan!$B$13)&gt;40*$B$6,
    40*$B$6,
    ('Effort Estimates'!$C$10)/$B$13
   ),
   IF(SUM($C$30:R30)&lt;'Effort Estimates'!$C$10,
    IF((('Effort Estimates'!$C$10)/Plan!$B$13)&gt;40*$B$6,
     40*$B$6,
     ('Effort Estimates'!$C$10)/$B$13
    ),
    0
   )
  )
 )</f>
        <v>0</v>
      </c>
      <c r="T30" s="64">
        <f xml:space="preserve"> IF(OR(SUM(T25:T28)&gt;=($B$5*40),SUM(T25:T28)&gt;0),
  0,
  IF(SUM($C$30:S30)=0,
   IF((('Effort Estimates'!$C$10)/Plan!$B$13)&gt;40*$B$6,
    40*$B$6,
    ('Effort Estimates'!$C$10)/$B$13
   ),
   IF(SUM($C$30:S30)&lt;'Effort Estimates'!$C$10,
    IF((('Effort Estimates'!$C$10)/Plan!$B$13)&gt;40*$B$6,
     40*$B$6,
     ('Effort Estimates'!$C$10)/$B$13
    ),
    0
   )
  )
 )</f>
        <v>0</v>
      </c>
      <c r="U30" s="64">
        <f xml:space="preserve"> IF(OR(SUM(U25:U28)&gt;=($B$5*40),SUM(U25:U28)&gt;0),
  0,
  IF(SUM($C$30:T30)=0,
   IF((('Effort Estimates'!$C$10)/Plan!$B$13)&gt;40*$B$6,
    40*$B$6,
    ('Effort Estimates'!$C$10)/$B$13
   ),
   IF(SUM($C$30:T30)&lt;'Effort Estimates'!$C$10,
    IF((('Effort Estimates'!$C$10)/Plan!$B$13)&gt;40*$B$6,
     40*$B$6,
     ('Effort Estimates'!$C$10)/$B$13
    ),
    0
   )
  )
 )</f>
        <v>0</v>
      </c>
      <c r="V30" s="64">
        <f xml:space="preserve"> IF(OR(SUM(V25:V28)&gt;=($B$5*40),SUM(V25:V28)&gt;0),
  0,
  IF(SUM($C$30:U30)=0,
   IF((('Effort Estimates'!$C$10)/Plan!$B$13)&gt;40*$B$6,
    40*$B$6,
    ('Effort Estimates'!$C$10)/$B$13
   ),
   IF(SUM($C$30:U30)&lt;'Effort Estimates'!$C$10,
    IF((('Effort Estimates'!$C$10)/Plan!$B$13)&gt;40*$B$6,
     40*$B$6,
     ('Effort Estimates'!$C$10)/$B$13
    ),
    0
   )
  )
 )</f>
        <v>0</v>
      </c>
      <c r="W30" s="64">
        <f xml:space="preserve"> IF(OR(SUM(W25:W28)&gt;=($B$5*40),SUM(W25:W28)&gt;0),
  0,
  IF(SUM($C$30:V30)=0,
   IF((('Effort Estimates'!$C$10)/Plan!$B$13)&gt;40*$B$6,
    40*$B$6,
    ('Effort Estimates'!$C$10)/$B$13
   ),
   IF(SUM($C$30:V30)&lt;'Effort Estimates'!$C$10,
    IF((('Effort Estimates'!$C$10)/Plan!$B$13)&gt;40*$B$6,
     40*$B$6,
     ('Effort Estimates'!$C$10)/$B$13
    ),
    0
   )
  )
 )</f>
        <v>0</v>
      </c>
      <c r="X30" s="64">
        <f xml:space="preserve"> IF(OR(SUM(X25:X28)&gt;=($B$5*40),SUM(X25:X28)&gt;0),
  0,
  IF(SUM($C$30:W30)=0,
   IF((('Effort Estimates'!$C$10)/Plan!$B$13)&gt;40*$B$6,
    40*$B$6,
    ('Effort Estimates'!$C$10)/$B$13
   ),
   IF(SUM($C$30:W30)&lt;'Effort Estimates'!$C$10,
    IF((('Effort Estimates'!$C$10)/Plan!$B$13)&gt;40*$B$6,
     40*$B$6,
     ('Effort Estimates'!$C$10)/$B$13
    ),
    0
   )
  )
 )</f>
        <v>0</v>
      </c>
      <c r="Y30" s="64">
        <f xml:space="preserve"> IF(OR(SUM(Y25:Y28)&gt;=($B$5*40),SUM(Y25:Y28)&gt;0),
  0,
  IF(SUM($C$30:X30)=0,
   IF((('Effort Estimates'!$C$10)/Plan!$B$13)&gt;40*$B$6,
    40*$B$6,
    ('Effort Estimates'!$C$10)/$B$13
   ),
   IF(SUM($C$30:X30)&lt;'Effort Estimates'!$C$10,
    IF((('Effort Estimates'!$C$10)/Plan!$B$13)&gt;40*$B$6,
     40*$B$6,
     ('Effort Estimates'!$C$10)/$B$13
    ),
    0
   )
  )
 )</f>
        <v>0</v>
      </c>
      <c r="Z30" s="64">
        <f xml:space="preserve"> IF(OR(SUM(Z25:Z28)&gt;=($B$5*40),SUM(Z25:Z28)&gt;0),
  0,
  IF(SUM($C$30:Y30)=0,
   IF((('Effort Estimates'!$C$10)/Plan!$B$13)&gt;40*$B$6,
    40*$B$6,
    ('Effort Estimates'!$C$10)/$B$13
   ),
   IF(SUM($C$30:Y30)&lt;'Effort Estimates'!$C$10,
    IF((('Effort Estimates'!$C$10)/Plan!$B$13)&gt;40*$B$6,
     40*$B$6,
     ('Effort Estimates'!$C$10)/$B$13
    ),
    0
   )
  )
 )</f>
        <v>42.12</v>
      </c>
      <c r="AA30" s="64">
        <f xml:space="preserve"> IF(OR(SUM(AA25:AA28)&gt;=($B$5*40),SUM(AA25:AA28)&gt;0),
  0,
  IF(SUM($C$30:Z30)=0,
   IF((('Effort Estimates'!$C$10)/Plan!$B$13)&gt;40*$B$6,
    40*$B$6,
    ('Effort Estimates'!$C$10)/$B$13
   ),
   IF(SUM($C$30:Z30)&lt;'Effort Estimates'!$C$10,
    IF((('Effort Estimates'!$C$10)/Plan!$B$13)&gt;40*$B$6,
     40*$B$6,
     ('Effort Estimates'!$C$10)/$B$13
    ),
    0
   )
  )
 )</f>
        <v>42.12</v>
      </c>
      <c r="AB30" s="64">
        <f xml:space="preserve"> IF(OR(SUM(AB25:AB28)&gt;=($B$5*40),SUM(AB25:AB28)&gt;0),
  0,
  IF(SUM($C$30:AA30)=0,
   IF((('Effort Estimates'!$C$10)/Plan!$B$13)&gt;40*$B$6,
    40*$B$6,
    ('Effort Estimates'!$C$10)/$B$13
   ),
   IF(SUM($C$30:AA30)&lt;'Effort Estimates'!$C$10,
    IF((('Effort Estimates'!$C$10)/Plan!$B$13)&gt;40*$B$6,
     40*$B$6,
     ('Effort Estimates'!$C$10)/$B$13
    ),
    0
   )
  )
 )</f>
        <v>0</v>
      </c>
      <c r="AC30" s="64">
        <f xml:space="preserve"> IF(OR(SUM(AC25:AC28)&gt;=($B$5*40),SUM(AC25:AC28)&gt;0),
  0,
  IF(SUM($C$30:AB30)=0,
   IF((('Effort Estimates'!$C$10)/Plan!$B$13)&gt;40*$B$6,
    40*$B$6,
    ('Effort Estimates'!$C$10)/$B$13
   ),
   IF(SUM($C$30:AB30)&lt;'Effort Estimates'!$C$10,
    IF((('Effort Estimates'!$C$10)/Plan!$B$13)&gt;40*$B$6,
     40*$B$6,
     ('Effort Estimates'!$C$10)/$B$13
    ),
    0
   )
  )
 )</f>
        <v>0</v>
      </c>
      <c r="AD30" s="64">
        <f xml:space="preserve"> IF(OR(SUM(AD25:AD28)&gt;=($B$5*40),SUM(AD25:AD28)&gt;0),
  0,
  IF(SUM($C$30:AC30)=0,
   IF((('Effort Estimates'!$C$10)/Plan!$B$13)&gt;40*$B$6,
    40*$B$6,
    ('Effort Estimates'!$C$10)/$B$13
   ),
   IF(SUM($C$30:AC30)&lt;'Effort Estimates'!$C$10,
    IF((('Effort Estimates'!$C$10)/Plan!$B$13)&gt;40*$B$6,
     40*$B$6,
     ('Effort Estimates'!$C$10)/$B$13
    ),
    0
   )
  )
 )</f>
        <v>0</v>
      </c>
      <c r="AE30" s="64">
        <f xml:space="preserve"> IF(OR(SUM(AE25:AE28)&gt;=($B$5*40),SUM(AE25:AE28)&gt;0),
  0,
  IF(SUM($C$30:AD30)=0,
   IF((('Effort Estimates'!$C$10)/Plan!$B$13)&gt;40*$B$6,
    40*$B$6,
    ('Effort Estimates'!$C$10)/$B$13
   ),
   IF(SUM($C$30:AD30)&lt;'Effort Estimates'!$C$10,
    IF((('Effort Estimates'!$C$10)/Plan!$B$13)&gt;40*$B$6,
     40*$B$6,
     ('Effort Estimates'!$C$10)/$B$13
    ),
    0
   )
  )
 )</f>
        <v>0</v>
      </c>
      <c r="AF30" s="64">
        <f xml:space="preserve"> IF(OR(SUM(AF25:AF28)&gt;=($B$5*40),SUM(AF25:AF28)&gt;0),
  0,
  IF(SUM($C$30:AE30)=0,
   IF((('Effort Estimates'!$C$10)/Plan!$B$13)&gt;40*$B$6,
    40*$B$6,
    ('Effort Estimates'!$C$10)/$B$13
   ),
   IF(SUM($C$30:AE30)&lt;'Effort Estimates'!$C$10,
    IF((('Effort Estimates'!$C$10)/Plan!$B$13)&gt;40*$B$6,
     40*$B$6,
     ('Effort Estimates'!$C$10)/$B$13
    ),
    0
   )
  )
 )</f>
        <v>0</v>
      </c>
      <c r="AG30" s="64">
        <f xml:space="preserve"> IF(OR(SUM(AG25:AG28)&gt;=($B$5*40),SUM(AG25:AG28)&gt;0),
  0,
  IF(SUM($C$30:AF30)=0,
   IF((('Effort Estimates'!$C$10)/Plan!$B$13)&gt;40*$B$6,
    40*$B$6,
    ('Effort Estimates'!$C$10)/$B$13
   ),
   IF(SUM($C$30:AF30)&lt;'Effort Estimates'!$C$10,
    IF((('Effort Estimates'!$C$10)/Plan!$B$13)&gt;40*$B$6,
     40*$B$6,
     ('Effort Estimates'!$C$10)/$B$13
    ),
    0
   )
  )
 )</f>
        <v>0</v>
      </c>
      <c r="AH30" s="64">
        <f xml:space="preserve"> IF(OR(SUM(AH25:AH28)&gt;=($B$5*40),SUM(AH25:AH28)&gt;0),
  0,
  IF(SUM($C$30:AG30)=0,
   IF((('Effort Estimates'!$C$10)/Plan!$B$13)&gt;40*$B$6,
    40*$B$6,
    ('Effort Estimates'!$C$10)/$B$13
   ),
   IF(SUM($C$30:AG30)&lt;'Effort Estimates'!$C$10,
    IF((('Effort Estimates'!$C$10)/Plan!$B$13)&gt;40*$B$6,
     40*$B$6,
     ('Effort Estimates'!$C$10)/$B$13
    ),
    0
   )
  )
 )</f>
        <v>0</v>
      </c>
    </row>
    <row r="31" spans="1:34" x14ac:dyDescent="0.2">
      <c r="A31" t="s">
        <v>172</v>
      </c>
      <c r="C31" s="64">
        <v>0</v>
      </c>
      <c r="D31" s="64">
        <f xml:space="preserve"> IF(OR(SUM(D25:D28)&gt;=($B$5*40),SUM(D25:D28)&gt;0),
  0,
  IF(SUM($C$31:C31)=0,
   IF((('Effort Estimates'!$C$9)/Plan!$B$13)&gt;40*$B$5,
    40*$B$5,
    ('Effort Estimates'!$C$9)/$B$13
   ),
   IF(SUM($C$31:C31)&lt;'Effort Estimates'!$C$9,
    IF((('Effort Estimates'!$C$9)/Plan!$B$13)&gt;40*$B$5,
     40*$B$5,
     ('Effort Estimates'!$C$9)/$B$13
    ),
    0
   )
  )
 )</f>
        <v>0</v>
      </c>
      <c r="E31" s="64">
        <f xml:space="preserve"> IF(OR(SUM(E25:E28)&gt;=($B$5*40),SUM(E25:E28)&gt;0),
  0,
  IF(SUM($C$31:D31)=0,
   IF((('Effort Estimates'!$C$9)/Plan!$B$13)&gt;40*$B$5,
    40*$B$5,
    ('Effort Estimates'!$C$9)/$B$13
   ),
   IF(SUM($C$31:D31)&lt;'Effort Estimates'!$C$9,
    IF((('Effort Estimates'!$C$9)/Plan!$B$13)&gt;40*$B$5,
     40*$B$5,
     ('Effort Estimates'!$C$9)/$B$13
    ),
    0
   )
  )
 )</f>
        <v>0</v>
      </c>
      <c r="F31" s="64">
        <f xml:space="preserve"> IF(OR(SUM(F25:F28)&gt;=($B$5*40),SUM(F25:F28)&gt;0),
  0,
  IF(SUM($C$31:E31)=0,
   IF((('Effort Estimates'!$C$9)/Plan!$B$13)&gt;40*$B$5,
    40*$B$5,
    ('Effort Estimates'!$C$9)/$B$13
   ),
   IF(SUM($C$31:E31)&lt;'Effort Estimates'!$C$9,
    IF((('Effort Estimates'!$C$9)/Plan!$B$13)&gt;40*$B$5,
     40*$B$5,
     ('Effort Estimates'!$C$9)/$B$13
    ),
    0
   )
  )
 )</f>
        <v>0</v>
      </c>
      <c r="G31" s="64">
        <f xml:space="preserve"> IF(OR(SUM(G25:G28)&gt;=($B$5*40),SUM(G25:G28)&gt;0),
  0,
  IF(SUM($C$31:F31)=0,
   IF((('Effort Estimates'!$C$9)/Plan!$B$13)&gt;40*$B$5,
    40*$B$5,
    ('Effort Estimates'!$C$9)/$B$13
   ),
   IF(SUM($C$31:F31)&lt;'Effort Estimates'!$C$9,
    IF((('Effort Estimates'!$C$9)/Plan!$B$13)&gt;40*$B$5,
     40*$B$5,
     ('Effort Estimates'!$C$9)/$B$13
    ),
    0
   )
  )
 )</f>
        <v>0</v>
      </c>
      <c r="H31" s="64">
        <f xml:space="preserve"> IF(OR(SUM(H25:H28)&gt;=($B$5*40),SUM(H25:H28)&gt;0),
  0,
  IF(SUM($C$31:G31)=0,
   IF((('Effort Estimates'!$C$9)/Plan!$B$13)&gt;40*$B$5,
    40*$B$5,
    ('Effort Estimates'!$C$9)/$B$13
   ),
   IF(SUM($C$31:G31)&lt;'Effort Estimates'!$C$9,
    IF((('Effort Estimates'!$C$9)/Plan!$B$13)&gt;40*$B$5,
     40*$B$5,
     ('Effort Estimates'!$C$9)/$B$13
    ),
    0
   )
  )
 )</f>
        <v>0</v>
      </c>
      <c r="I31" s="64">
        <f xml:space="preserve"> IF(OR(SUM(I25:I28)&gt;=($B$5*40),SUM(I25:I28)&gt;0),
  0,
  IF(SUM($C$31:H31)=0,
   IF((('Effort Estimates'!$C$9)/Plan!$B$13)&gt;40*$B$5,
    40*$B$5,
    ('Effort Estimates'!$C$9)/$B$13
   ),
   IF(SUM($C$31:H31)&lt;'Effort Estimates'!$C$9,
    IF((('Effort Estimates'!$C$9)/Plan!$B$13)&gt;40*$B$5,
     40*$B$5,
     ('Effort Estimates'!$C$9)/$B$13
    ),
    0
   )
  )
 )</f>
        <v>0</v>
      </c>
      <c r="J31" s="64">
        <f xml:space="preserve"> IF(OR(SUM(J25:J28)&gt;=($B$5*40),SUM(J25:J28)&gt;0),
  0,
  IF(SUM($C$31:I31)=0,
   IF((('Effort Estimates'!$C$9)/Plan!$B$13)&gt;40*$B$5,
    40*$B$5,
    ('Effort Estimates'!$C$9)/$B$13
   ),
   IF(SUM($C$31:I31)&lt;'Effort Estimates'!$C$9,
    IF((('Effort Estimates'!$C$9)/Plan!$B$13)&gt;40*$B$5,
     40*$B$5,
     ('Effort Estimates'!$C$9)/$B$13
    ),
    0
   )
  )
 )</f>
        <v>0</v>
      </c>
      <c r="K31" s="64">
        <f xml:space="preserve"> IF(OR(SUM(K25:K28)&gt;=($B$5*40),SUM(K25:K28)&gt;0),
  0,
  IF(SUM($C$31:J31)=0,
   IF((('Effort Estimates'!$C$9)/Plan!$B$13)&gt;40*$B$5,
    40*$B$5,
    ('Effort Estimates'!$C$9)/$B$13
   ),
   IF(SUM($C$31:J31)&lt;'Effort Estimates'!$C$9,
    IF((('Effort Estimates'!$C$9)/Plan!$B$13)&gt;40*$B$5,
     40*$B$5,
     ('Effort Estimates'!$C$9)/$B$13
    ),
    0
   )
  )
 )</f>
        <v>0</v>
      </c>
      <c r="L31" s="64">
        <f xml:space="preserve"> IF(OR(SUM(L25:L28)&gt;=($B$5*40),SUM(L25:L28)&gt;0),
  0,
  IF(SUM($C$31:K31)=0,
   IF((('Effort Estimates'!$C$9)/Plan!$B$13)&gt;40*$B$5,
    40*$B$5,
    ('Effort Estimates'!$C$9)/$B$13
   ),
   IF(SUM($C$31:K31)&lt;'Effort Estimates'!$C$9,
    IF((('Effort Estimates'!$C$9)/Plan!$B$13)&gt;40*$B$5,
     40*$B$5,
     ('Effort Estimates'!$C$9)/$B$13
    ),
    0
   )
  )
 )</f>
        <v>0</v>
      </c>
      <c r="M31" s="64">
        <f xml:space="preserve"> IF(OR(SUM(M25:M28)&gt;=($B$5*40),SUM(M25:M28)&gt;0),
  0,
  IF(SUM($C$31:L31)=0,
   IF((('Effort Estimates'!$C$9)/Plan!$B$13)&gt;40*$B$5,
    40*$B$5,
    ('Effort Estimates'!$C$9)/$B$13
   ),
   IF(SUM($C$31:L31)&lt;'Effort Estimates'!$C$9,
    IF((('Effort Estimates'!$C$9)/Plan!$B$13)&gt;40*$B$5,
     40*$B$5,
     ('Effort Estimates'!$C$9)/$B$13
    ),
    0
   )
  )
 )</f>
        <v>0</v>
      </c>
      <c r="N31" s="64">
        <f xml:space="preserve"> IF(OR(SUM(N25:N28)&gt;=($B$5*40),SUM(N25:N28)&gt;0),
  0,
  IF(SUM($C$31:M31)=0,
   IF((('Effort Estimates'!$C$9)/Plan!$B$13)&gt;40*$B$5,
    40*$B$5,
    ('Effort Estimates'!$C$9)/$B$13
   ),
   IF(SUM($C$31:M31)&lt;'Effort Estimates'!$C$9,
    IF((('Effort Estimates'!$C$9)/Plan!$B$13)&gt;40*$B$5,
     40*$B$5,
     ('Effort Estimates'!$C$9)/$B$13
    ),
    0
   )
  )
 )</f>
        <v>0</v>
      </c>
      <c r="O31" s="64">
        <f xml:space="preserve"> IF(OR(SUM(O25:O28)&gt;=($B$5*40),SUM(O25:O28)&gt;0),
  0,
  IF(SUM($C$31:N31)=0,
   IF((('Effort Estimates'!$C$9)/Plan!$B$13)&gt;40*$B$5,
    40*$B$5,
    ('Effort Estimates'!$C$9)/$B$13
   ),
   IF(SUM($C$31:N31)&lt;'Effort Estimates'!$C$9,
    IF((('Effort Estimates'!$C$9)/Plan!$B$13)&gt;40*$B$5,
     40*$B$5,
     ('Effort Estimates'!$C$9)/$B$13
    ),
    0
   )
  )
 )</f>
        <v>0</v>
      </c>
      <c r="P31" s="64">
        <f xml:space="preserve"> IF(OR(SUM(P25:P28)&gt;=($B$5*40),SUM(P25:P28)&gt;0),
  0,
  IF(SUM($C$31:O31)=0,
   IF((('Effort Estimates'!$C$9)/Plan!$B$13)&gt;40*$B$5,
    40*$B$5,
    ('Effort Estimates'!$C$9)/$B$13
   ),
   IF(SUM($C$31:O31)&lt;'Effort Estimates'!$C$9,
    IF((('Effort Estimates'!$C$9)/Plan!$B$13)&gt;40*$B$5,
     40*$B$5,
     ('Effort Estimates'!$C$9)/$B$13
    ),
    0
   )
  )
 )</f>
        <v>0</v>
      </c>
      <c r="Q31" s="64">
        <f xml:space="preserve"> IF(OR(SUM(Q25:Q28)&gt;=($B$5*40),SUM(Q25:Q28)&gt;0),
  0,
  IF(SUM($C$31:P31)=0,
   IF((('Effort Estimates'!$C$9)/Plan!$B$13)&gt;40*$B$5,
    40*$B$5,
    ('Effort Estimates'!$C$9)/$B$13
   ),
   IF(SUM($C$31:P31)&lt;'Effort Estimates'!$C$9,
    IF((('Effort Estimates'!$C$9)/Plan!$B$13)&gt;40*$B$5,
     40*$B$5,
     ('Effort Estimates'!$C$9)/$B$13
    ),
    0
   )
  )
 )</f>
        <v>0</v>
      </c>
      <c r="R31" s="64">
        <f xml:space="preserve"> IF(OR(SUM(R25:R28)&gt;=($B$5*40),SUM(R25:R28)&gt;0),
  0,
  IF(SUM($C$31:Q31)=0,
   IF((('Effort Estimates'!$C$9)/Plan!$B$13)&gt;40*$B$5,
    40*$B$5,
    ('Effort Estimates'!$C$9)/$B$13
   ),
   IF(SUM($C$31:Q31)&lt;'Effort Estimates'!$C$9,
    IF((('Effort Estimates'!$C$9)/Plan!$B$13)&gt;40*$B$5,
     40*$B$5,
     ('Effort Estimates'!$C$9)/$B$13
    ),
    0
   )
  )
 )</f>
        <v>0</v>
      </c>
      <c r="S31" s="64">
        <f xml:space="preserve"> IF(OR(SUM(S25:S28)&gt;=($B$5*40),SUM(S25:S28)&gt;0),
  0,
  IF(SUM($C$31:R31)=0,
   IF((('Effort Estimates'!$C$9)/Plan!$B$13)&gt;40*$B$5,
    40*$B$5,
    ('Effort Estimates'!$C$9)/$B$13
   ),
   IF(SUM($C$31:R31)&lt;'Effort Estimates'!$C$9,
    IF((('Effort Estimates'!$C$9)/Plan!$B$13)&gt;40*$B$5,
     40*$B$5,
     ('Effort Estimates'!$C$9)/$B$13
    ),
    0
   )
  )
 )</f>
        <v>0</v>
      </c>
      <c r="T31" s="64">
        <f xml:space="preserve"> IF(OR(SUM(T25:T28)&gt;=($B$5*40),SUM(T25:T28)&gt;0),
  0,
  IF(SUM($C$31:S31)=0,
   IF((('Effort Estimates'!$C$9)/Plan!$B$13)&gt;40*$B$5,
    40*$B$5,
    ('Effort Estimates'!$C$9)/$B$13
   ),
   IF(SUM($C$31:S31)&lt;'Effort Estimates'!$C$9,
    IF((('Effort Estimates'!$C$9)/Plan!$B$13)&gt;40*$B$5,
     40*$B$5,
     ('Effort Estimates'!$C$9)/$B$13
    ),
    0
   )
  )
 )</f>
        <v>0</v>
      </c>
      <c r="U31" s="64">
        <f xml:space="preserve"> IF(OR(SUM(U25:U28)&gt;=($B$5*40),SUM(U25:U28)&gt;0),
  0,
  IF(SUM($C$31:T31)=0,
   IF((('Effort Estimates'!$C$9)/Plan!$B$13)&gt;40*$B$5,
    40*$B$5,
    ('Effort Estimates'!$C$9)/$B$13
   ),
   IF(SUM($C$31:T31)&lt;'Effort Estimates'!$C$9,
    IF((('Effort Estimates'!$C$9)/Plan!$B$13)&gt;40*$B$5,
     40*$B$5,
     ('Effort Estimates'!$C$9)/$B$13
    ),
    0
   )
  )
 )</f>
        <v>0</v>
      </c>
      <c r="V31" s="64">
        <f xml:space="preserve"> IF(OR(SUM(V25:V28)&gt;=($B$5*40),SUM(V25:V28)&gt;0),
  0,
  IF(SUM($C$31:U31)=0,
   IF((('Effort Estimates'!$C$9)/Plan!$B$13)&gt;40*$B$5,
    40*$B$5,
    ('Effort Estimates'!$C$9)/$B$13
   ),
   IF(SUM($C$31:U31)&lt;'Effort Estimates'!$C$9,
    IF((('Effort Estimates'!$C$9)/Plan!$B$13)&gt;40*$B$5,
     40*$B$5,
     ('Effort Estimates'!$C$9)/$B$13
    ),
    0
   )
  )
 )</f>
        <v>0</v>
      </c>
      <c r="W31" s="64">
        <f xml:space="preserve"> IF(OR(SUM(W25:W28)&gt;=($B$5*40),SUM(W25:W28)&gt;0),
  0,
  IF(SUM($C$31:V31)=0,
   IF((('Effort Estimates'!$C$9)/Plan!$B$13)&gt;40*$B$5,
    40*$B$5,
    ('Effort Estimates'!$C$9)/$B$13
   ),
   IF(SUM($C$31:V31)&lt;'Effort Estimates'!$C$9,
    IF((('Effort Estimates'!$C$9)/Plan!$B$13)&gt;40*$B$5,
     40*$B$5,
     ('Effort Estimates'!$C$9)/$B$13
    ),
    0
   )
  )
 )</f>
        <v>0</v>
      </c>
      <c r="X31" s="64">
        <f xml:space="preserve"> IF(OR(SUM(X25:X28)&gt;=($B$5*40),SUM(X25:X28)&gt;0),
  0,
  IF(SUM($C$31:W31)=0,
   IF((('Effort Estimates'!$C$9)/Plan!$B$13)&gt;40*$B$5,
    40*$B$5,
    ('Effort Estimates'!$C$9)/$B$13
   ),
   IF(SUM($C$31:W31)&lt;'Effort Estimates'!$C$9,
    IF((('Effort Estimates'!$C$9)/Plan!$B$13)&gt;40*$B$5,
     40*$B$5,
     ('Effort Estimates'!$C$9)/$B$13
    ),
    0
   )
  )
 )</f>
        <v>0</v>
      </c>
      <c r="Y31" s="64">
        <f xml:space="preserve"> IF(OR(SUM(Y25:Y28)&gt;=($B$5*40),SUM(Y25:Y28)&gt;0),
  0,
  IF(SUM($C$31:X31)=0,
   IF((('Effort Estimates'!$C$9)/Plan!$B$13)&gt;40*$B$5,
    40*$B$5,
    ('Effort Estimates'!$C$9)/$B$13
   ),
   IF(SUM($C$31:X31)&lt;'Effort Estimates'!$C$9,
    IF((('Effort Estimates'!$C$9)/Plan!$B$13)&gt;40*$B$5,
     40*$B$5,
     ('Effort Estimates'!$C$9)/$B$13
    ),
    0
   )
  )
 )</f>
        <v>0</v>
      </c>
      <c r="Z31" s="64">
        <f xml:space="preserve"> IF(OR(SUM(Z25:Z28)&gt;=($B$5*40),SUM(Z25:Z28)&gt;0),
  0,
  IF(SUM($C$31:Y31)=0,
   IF((('Effort Estimates'!$C$9)/Plan!$B$13)&gt;40*$B$5,
    40*$B$5,
    ('Effort Estimates'!$C$9)/$B$13
   ),
   IF(SUM($C$31:Y31)&lt;'Effort Estimates'!$C$9,
    IF((('Effort Estimates'!$C$9)/Plan!$B$13)&gt;40*$B$5,
     40*$B$5,
     ('Effort Estimates'!$C$9)/$B$13
    ),
    0
   )
  )
 )</f>
        <v>42.12</v>
      </c>
      <c r="AA31" s="64">
        <f xml:space="preserve"> IF(OR(SUM(AA25:AA28)&gt;=($B$5*40),SUM(AA25:AA28)&gt;0),
  0,
  IF(SUM($C$31:Z31)=0,
   IF((('Effort Estimates'!$C$9)/Plan!$B$13)&gt;40*$B$5,
    40*$B$5,
    ('Effort Estimates'!$C$9)/$B$13
   ),
   IF(SUM($C$31:Z31)&lt;'Effort Estimates'!$C$9,
    IF((('Effort Estimates'!$C$9)/Plan!$B$13)&gt;40*$B$5,
     40*$B$5,
     ('Effort Estimates'!$C$9)/$B$13
    ),
    0
   )
  )
 )</f>
        <v>42.12</v>
      </c>
      <c r="AB31" s="64">
        <f xml:space="preserve"> IF(OR(SUM(AB25:AB28)&gt;=($B$5*40),SUM(AB25:AB28)&gt;0),
  0,
  IF(SUM($C$31:AA31)=0,
   IF((('Effort Estimates'!$C$9)/Plan!$B$13)&gt;40*$B$5,
    40*$B$5,
    ('Effort Estimates'!$C$9)/$B$13
   ),
   IF(SUM($C$31:AA31)&lt;'Effort Estimates'!$C$9,
    IF((('Effort Estimates'!$C$9)/Plan!$B$13)&gt;40*$B$5,
     40*$B$5,
     ('Effort Estimates'!$C$9)/$B$13
    ),
    0
   )
  )
 )</f>
        <v>0</v>
      </c>
      <c r="AC31" s="64">
        <f xml:space="preserve"> IF(OR(SUM(AC25:AC28)&gt;=($B$5*40),SUM(AC25:AC28)&gt;0),
  0,
  IF(SUM($C$31:AB31)=0,
   IF((('Effort Estimates'!$C$9)/Plan!$B$13)&gt;40*$B$5,
    40*$B$5,
    ('Effort Estimates'!$C$9)/$B$13
   ),
   IF(SUM($C$31:AB31)&lt;'Effort Estimates'!$C$9,
    IF((('Effort Estimates'!$C$9)/Plan!$B$13)&gt;40*$B$5,
     40*$B$5,
     ('Effort Estimates'!$C$9)/$B$13
    ),
    0
   )
  )
 )</f>
        <v>0</v>
      </c>
      <c r="AD31" s="64">
        <f xml:space="preserve"> IF(OR(SUM(AD25:AD28)&gt;=($B$5*40),SUM(AD25:AD28)&gt;0),
  0,
  IF(SUM($C$31:AC31)=0,
   IF((('Effort Estimates'!$C$9)/Plan!$B$13)&gt;40*$B$5,
    40*$B$5,
    ('Effort Estimates'!$C$9)/$B$13
   ),
   IF(SUM($C$31:AC31)&lt;'Effort Estimates'!$C$9,
    IF((('Effort Estimates'!$C$9)/Plan!$B$13)&gt;40*$B$5,
     40*$B$5,
     ('Effort Estimates'!$C$9)/$B$13
    ),
    0
   )
  )
 )</f>
        <v>0</v>
      </c>
      <c r="AE31" s="64">
        <f xml:space="preserve"> IF(OR(SUM(AE25:AE28)&gt;=($B$5*40),SUM(AE25:AE28)&gt;0),
  0,
  IF(SUM($C$31:AD31)=0,
   IF((('Effort Estimates'!$C$9)/Plan!$B$13)&gt;40*$B$5,
    40*$B$5,
    ('Effort Estimates'!$C$9)/$B$13
   ),
   IF(SUM($C$31:AD31)&lt;'Effort Estimates'!$C$9,
    IF((('Effort Estimates'!$C$9)/Plan!$B$13)&gt;40*$B$5,
     40*$B$5,
     ('Effort Estimates'!$C$9)/$B$13
    ),
    0
   )
  )
 )</f>
        <v>0</v>
      </c>
      <c r="AF31" s="64">
        <f xml:space="preserve"> IF(OR(SUM(AF25:AF28)&gt;=($B$5*40),SUM(AF25:AF28)&gt;0),
  0,
  IF(SUM($C$31:AE31)=0,
   IF((('Effort Estimates'!$C$9)/Plan!$B$13)&gt;40*$B$5,
    40*$B$5,
    ('Effort Estimates'!$C$9)/$B$13
   ),
   IF(SUM($C$31:AE31)&lt;'Effort Estimates'!$C$9,
    IF((('Effort Estimates'!$C$9)/Plan!$B$13)&gt;40*$B$5,
     40*$B$5,
     ('Effort Estimates'!$C$9)/$B$13
    ),
    0
   )
  )
 )</f>
        <v>0</v>
      </c>
      <c r="AG31" s="64">
        <f xml:space="preserve"> IF(OR(SUM(AG25:AG28)&gt;=($B$5*40),SUM(AG25:AG28)&gt;0),
  0,
  IF(SUM($C$31:AF31)=0,
   IF((('Effort Estimates'!$C$9)/Plan!$B$13)&gt;40*$B$5,
    40*$B$5,
    ('Effort Estimates'!$C$9)/$B$13
   ),
   IF(SUM($C$31:AF31)&lt;'Effort Estimates'!$C$9,
    IF((('Effort Estimates'!$C$9)/Plan!$B$13)&gt;40*$B$5,
     40*$B$5,
     ('Effort Estimates'!$C$9)/$B$13
    ),
    0
   )
  )
 )</f>
        <v>0</v>
      </c>
      <c r="AH31" s="64">
        <f xml:space="preserve"> IF(OR(SUM(AH25:AH28)&gt;=($B$5*40),SUM(AH25:AH28)&gt;0),
  0,
  IF(SUM($C$31:AG31)=0,
   IF((('Effort Estimates'!$C$9)/Plan!$B$13)&gt;40*$B$5,
    40*$B$5,
    ('Effort Estimates'!$C$9)/$B$13
   ),
   IF(SUM($C$31:AG31)&lt;'Effort Estimates'!$C$9,
    IF((('Effort Estimates'!$C$9)/Plan!$B$13)&gt;40*$B$5,
     40*$B$5,
     ('Effort Estimates'!$C$9)/$B$13
    ),
    0
   )
  )
 )</f>
        <v>0</v>
      </c>
    </row>
    <row r="32" spans="1:34" x14ac:dyDescent="0.2">
      <c r="A32" t="s">
        <v>189</v>
      </c>
      <c r="C32" s="64">
        <v>0</v>
      </c>
      <c r="D32" s="64">
        <f>IF(OR(SUM(D25:D31)&gt;=($B$5*40),SUM(D25:D31)&gt;0),0,IF(SUM($C$32:C32)=0,IF((('Effort Estimates'!$C$11)/Plan!$B$5)&gt;40,40*$B$5,('Effort Estimates'!$C$11)),IF(SUM(C32:C32)&lt;(40*$B$5),0,IF(((('Effort Estimates'!$C$11)-SUM($C$32:C32))/Plan!$B$5)&gt;40,40*$B$5,(('Effort Estimates'!$C$11)-SUM($C$32:C32))))))</f>
        <v>0</v>
      </c>
      <c r="E32" s="64">
        <f>IF(OR(SUM(E25:E31)&gt;=($B$5*40),SUM(E25:E31)&gt;0),0,IF(SUM($C$32:D32)=0,IF((('Effort Estimates'!$C$11)/Plan!$B$5)&gt;40,40*$B$5,('Effort Estimates'!$C$11)),IF(SUM(D32:D32)&lt;(40*$B$5),0,IF(((('Effort Estimates'!$C$11)-SUM($C$32:D32))/Plan!$B$5)&gt;40,40*$B$5,(('Effort Estimates'!$C$11)-SUM($C$32:D32))))))</f>
        <v>0</v>
      </c>
      <c r="F32" s="64">
        <f>IF(OR(SUM(F25:F31)&gt;=($B$5*40),SUM(F25:F31)&gt;0),0,IF(SUM($C$32:E32)=0,IF((('Effort Estimates'!$C$11)/Plan!$B$5)&gt;40,40*$B$5,('Effort Estimates'!$C$11)),IF(SUM(E32:E32)&lt;(40*$B$5),0,IF(((('Effort Estimates'!$C$11)-SUM($C$32:E32))/Plan!$B$5)&gt;40,40*$B$5,(('Effort Estimates'!$C$11)-SUM($C$32:E32))))))</f>
        <v>0</v>
      </c>
      <c r="G32" s="64">
        <f>IF(OR(SUM(G25:G31)&gt;=($B$5*40),SUM(G25:G31)&gt;0),0,IF(SUM($C$32:F32)=0,IF((('Effort Estimates'!$C$11)/Plan!$B$5)&gt;40,40*$B$5,('Effort Estimates'!$C$11)),IF(SUM(F32:F32)&lt;(40*$B$5),0,IF(((('Effort Estimates'!$C$11)-SUM($C$32:F32))/Plan!$B$5)&gt;40,40*$B$5,(('Effort Estimates'!$C$11)-SUM($C$32:F32))))))</f>
        <v>0</v>
      </c>
      <c r="H32" s="64">
        <f>IF(OR(SUM(H25:H31)&gt;=($B$5*40),SUM(H25:H31)&gt;0),0,IF(SUM($C$32:G32)=0,IF((('Effort Estimates'!$C$11)/Plan!$B$5)&gt;40,40*$B$5,('Effort Estimates'!$C$11)),IF(SUM(G32:G32)&lt;(40*$B$5),0,IF(((('Effort Estimates'!$C$11)-SUM($C$32:G32))/Plan!$B$5)&gt;40,40*$B$5,(('Effort Estimates'!$C$11)-SUM($C$32:G32))))))</f>
        <v>0</v>
      </c>
      <c r="I32" s="64">
        <f>IF(OR(SUM(I25:I31)&gt;=($B$5*40),SUM(I25:I31)&gt;0),0,IF(SUM($C$32:H32)=0,IF((('Effort Estimates'!$C$11)/Plan!$B$5)&gt;40,40*$B$5,('Effort Estimates'!$C$11)),IF(SUM(H32:H32)&lt;(40*$B$5),0,IF(((('Effort Estimates'!$C$11)-SUM($C$32:H32))/Plan!$B$5)&gt;40,40*$B$5,(('Effort Estimates'!$C$11)-SUM($C$32:H32))))))</f>
        <v>0</v>
      </c>
      <c r="J32" s="64">
        <f>IF(OR(SUM(J25:J31)&gt;=($B$5*40),SUM(J25:J31)&gt;0),0,IF(SUM($C$32:I32)=0,IF((('Effort Estimates'!$C$11)/Plan!$B$5)&gt;40,40*$B$5,('Effort Estimates'!$C$11)),IF(SUM(I32:I32)&lt;(40*$B$5),0,IF(((('Effort Estimates'!$C$11)-SUM($C$32:I32))/Plan!$B$5)&gt;40,40*$B$5,(('Effort Estimates'!$C$11)-SUM($C$32:I32))))))</f>
        <v>0</v>
      </c>
      <c r="K32" s="64">
        <f>IF(OR(SUM(K25:K31)&gt;=($B$5*40),SUM(K25:K31)&gt;0),0,IF(SUM($C$32:J32)=0,IF((('Effort Estimates'!$C$11)/Plan!$B$5)&gt;40,40*$B$5,('Effort Estimates'!$C$11)),IF(SUM(J32:J32)&lt;(40*$B$5),0,IF(((('Effort Estimates'!$C$11)-SUM($C$32:J32))/Plan!$B$5)&gt;40,40*$B$5,(('Effort Estimates'!$C$11)-SUM($C$32:J32))))))</f>
        <v>0</v>
      </c>
      <c r="L32" s="64">
        <f>IF(OR(SUM(L25:L31)&gt;=($B$5*40),SUM(L25:L31)&gt;0),0,IF(SUM($C$32:K32)=0,IF((('Effort Estimates'!$C$11)/Plan!$B$5)&gt;40,40*$B$5,('Effort Estimates'!$C$11)),IF(SUM(K32:K32)&lt;(40*$B$5),0,IF(((('Effort Estimates'!$C$11)-SUM($C$32:K32))/Plan!$B$5)&gt;40,40*$B$5,(('Effort Estimates'!$C$11)-SUM($C$32:K32))))))</f>
        <v>0</v>
      </c>
      <c r="M32" s="64">
        <f>IF(OR(SUM(M25:M31)&gt;=($B$5*40),SUM(M25:M31)&gt;0),0,IF(SUM($C$32:L32)=0,IF((('Effort Estimates'!$C$11)/Plan!$B$5)&gt;40,40*$B$5,('Effort Estimates'!$C$11)),IF(SUM(L32:L32)&lt;(40*$B$5),0,IF(((('Effort Estimates'!$C$11)-SUM($C$32:L32))/Plan!$B$5)&gt;40,40*$B$5,(('Effort Estimates'!$C$11)-SUM($C$32:L32))))))</f>
        <v>0</v>
      </c>
      <c r="N32" s="64">
        <f>IF(OR(SUM(N25:N31)&gt;=($B$5*40),SUM(N25:N31)&gt;0),0,IF(SUM($C$32:M32)=0,IF((('Effort Estimates'!$C$11)/Plan!$B$5)&gt;40,40*$B$5,('Effort Estimates'!$C$11)),IF(SUM(M32:M32)&lt;(40*$B$5),0,IF(((('Effort Estimates'!$C$11)-SUM($C$32:M32))/Plan!$B$5)&gt;40,40*$B$5,(('Effort Estimates'!$C$11)-SUM($C$32:M32))))))</f>
        <v>0</v>
      </c>
      <c r="O32" s="64">
        <f>IF(OR(SUM(O25:O31)&gt;=($B$5*40),SUM(O25:O31)&gt;0),0,IF(SUM($C$32:N32)=0,IF((('Effort Estimates'!$C$11)/Plan!$B$5)&gt;40,40*$B$5,('Effort Estimates'!$C$11)),IF(SUM(N32:N32)&lt;(40*$B$5),0,IF(((('Effort Estimates'!$C$11)-SUM($C$32:N32))/Plan!$B$5)&gt;40,40*$B$5,(('Effort Estimates'!$C$11)-SUM($C$32:N32))))))</f>
        <v>0</v>
      </c>
      <c r="P32" s="64">
        <f>IF(OR(SUM(P25:P31)&gt;=($B$5*40),SUM(P25:P31)&gt;0),0,IF(SUM($C$32:O32)=0,IF((('Effort Estimates'!$C$11)/Plan!$B$5)&gt;40,40*$B$5,('Effort Estimates'!$C$11)),IF(SUM(O32:O32)&lt;(40*$B$5),0,IF(((('Effort Estimates'!$C$11)-SUM($C$32:O32))/Plan!$B$5)&gt;40,40*$B$5,(('Effort Estimates'!$C$11)-SUM($C$32:O32))))))</f>
        <v>0</v>
      </c>
      <c r="Q32" s="64">
        <f>IF(OR(SUM(Q25:Q31)&gt;=($B$5*40),SUM(Q25:Q31)&gt;0),0,IF(SUM($C$32:P32)=0,IF((('Effort Estimates'!$C$11)/Plan!$B$5)&gt;40,40*$B$5,('Effort Estimates'!$C$11)),IF(SUM(P32:P32)&lt;(40*$B$5),0,IF(((('Effort Estimates'!$C$11)-SUM($C$32:P32))/Plan!$B$5)&gt;40,40*$B$5,(('Effort Estimates'!$C$11)-SUM($C$32:P32))))))</f>
        <v>0</v>
      </c>
      <c r="R32" s="64">
        <f>IF(OR(SUM(R25:R31)&gt;=($B$5*40),SUM(R25:R31)&gt;0),0,IF(SUM($C$32:Q32)=0,IF((('Effort Estimates'!$C$11)/Plan!$B$5)&gt;40,40*$B$5,('Effort Estimates'!$C$11)),IF(SUM(Q32:Q32)&lt;(40*$B$5),0,IF(((('Effort Estimates'!$C$11)-SUM($C$32:Q32))/Plan!$B$5)&gt;40,40*$B$5,(('Effort Estimates'!$C$11)-SUM($C$32:Q32))))))</f>
        <v>0</v>
      </c>
      <c r="S32" s="64">
        <f>IF(OR(SUM(S25:S31)&gt;=($B$5*40),SUM(S25:S31)&gt;0),0,IF(SUM($C$32:R32)=0,IF((('Effort Estimates'!$C$11)/Plan!$B$5)&gt;40,40*$B$5,('Effort Estimates'!$C$11)),IF(SUM(R32:R32)&lt;(40*$B$5),0,IF(((('Effort Estimates'!$C$11)-SUM($C$32:R32))/Plan!$B$5)&gt;40,40*$B$5,(('Effort Estimates'!$C$11)-SUM($C$32:R32))))))</f>
        <v>0</v>
      </c>
      <c r="T32" s="64">
        <f>IF(OR(SUM(T25:T31)&gt;=($B$5*40),SUM(T25:T31)&gt;0),0,IF(SUM($C$32:S32)=0,IF((('Effort Estimates'!$C$11)/Plan!$B$5)&gt;40,40*$B$5,('Effort Estimates'!$C$11)),IF(SUM(S32:S32)&lt;(40*$B$5),0,IF(((('Effort Estimates'!$C$11)-SUM($C$32:S32))/Plan!$B$5)&gt;40,40*$B$5,(('Effort Estimates'!$C$11)-SUM($C$32:S32))))))</f>
        <v>0</v>
      </c>
      <c r="U32" s="64">
        <f>IF(OR(SUM(U25:U31)&gt;=($B$5*40),SUM(U25:U31)&gt;0),0,IF(SUM($C$32:T32)=0,IF((('Effort Estimates'!$C$11)/Plan!$B$5)&gt;40,40*$B$5,('Effort Estimates'!$C$11)),IF(SUM(T32:T32)&lt;(40*$B$5),0,IF(((('Effort Estimates'!$C$11)-SUM($C$32:T32))/Plan!$B$5)&gt;40,40*$B$5,(('Effort Estimates'!$C$11)-SUM($C$32:T32))))))</f>
        <v>0</v>
      </c>
      <c r="V32" s="64">
        <f>IF(OR(SUM(V25:V31)&gt;=($B$5*40),SUM(V25:V31)&gt;0),0,IF(SUM($C$32:U32)=0,IF((('Effort Estimates'!$C$11)/Plan!$B$5)&gt;40,40*$B$5,('Effort Estimates'!$C$11)),IF(SUM(U32:U32)&lt;(40*$B$5),0,IF(((('Effort Estimates'!$C$11)-SUM($C$32:U32))/Plan!$B$5)&gt;40,40*$B$5,(('Effort Estimates'!$C$11)-SUM($C$32:U32))))))</f>
        <v>0</v>
      </c>
      <c r="W32" s="64">
        <f>IF(OR(SUM(W25:W31)&gt;=($B$5*40),SUM(W25:W31)&gt;0),0,IF(SUM($C$32:V32)=0,IF((('Effort Estimates'!$C$11)/Plan!$B$5)&gt;40,40*$B$5,('Effort Estimates'!$C$11)),IF(SUM(V32:V32)&lt;(40*$B$5),0,IF(((('Effort Estimates'!$C$11)-SUM($C$32:V32))/Plan!$B$5)&gt;40,40*$B$5,(('Effort Estimates'!$C$11)-SUM($C$32:V32))))))</f>
        <v>0</v>
      </c>
      <c r="X32" s="64">
        <f>IF(OR(SUM(X25:X31)&gt;=($B$5*40),SUM(X25:X31)&gt;0),0,IF(SUM($C$32:W32)=0,IF((('Effort Estimates'!$C$11)/Plan!$B$5)&gt;40,40*$B$5,('Effort Estimates'!$C$11)),IF(SUM(W32:W32)&lt;(40*$B$5),0,IF(((('Effort Estimates'!$C$11)-SUM($C$32:W32))/Plan!$B$5)&gt;40,40*$B$5,(('Effort Estimates'!$C$11)-SUM($C$32:W32))))))</f>
        <v>0</v>
      </c>
      <c r="Y32" s="64">
        <f>IF(OR(SUM(Y25:Y31)&gt;=($B$5*40),SUM(Y25:Y31)&gt;0),0,IF(SUM($C$32:X32)=0,IF((('Effort Estimates'!$C$11)/Plan!$B$5)&gt;40,40*$B$5,('Effort Estimates'!$C$11)),IF(SUM(X32:X32)&lt;(40*$B$5),0,IF(((('Effort Estimates'!$C$11)-SUM($C$32:X32))/Plan!$B$5)&gt;40,40*$B$5,(('Effort Estimates'!$C$11)-SUM($C$32:X32))))))</f>
        <v>0</v>
      </c>
      <c r="Z32" s="64">
        <f>IF(OR(SUM(Z25:Z31)&gt;=($B$5*40),SUM(Z25:Z31)&gt;0),0,IF(SUM($C$32:Y32)=0,IF((('Effort Estimates'!$C$11)/Plan!$B$5)&gt;40,40*$B$5,('Effort Estimates'!$C$11)),IF(SUM(Y32:Y32)&lt;(40*$B$5),0,IF(((('Effort Estimates'!$C$11)-SUM($C$32:Y32))/Plan!$B$5)&gt;40,40*$B$5,(('Effort Estimates'!$C$11)-SUM($C$32:Y32))))))</f>
        <v>0</v>
      </c>
      <c r="AA32" s="64">
        <f>IF(OR(SUM(AA25:AA31)&gt;=($B$5*40),SUM(AA25:AA31)&gt;0),0,IF(SUM($C$32:Z32)=0,IF((('Effort Estimates'!$C$11)/Plan!$B$5)&gt;40,40*$B$5,('Effort Estimates'!$C$11)),IF(SUM(Z32:Z32)&lt;(40*$B$5),0,IF(((('Effort Estimates'!$C$11)-SUM($C$32:Z32))/Plan!$B$5)&gt;40,40*$B$5,(('Effort Estimates'!$C$11)-SUM($C$32:Z32))))))</f>
        <v>0</v>
      </c>
      <c r="AB32" s="64">
        <f>IF(OR(SUM(AB25:AB31)&gt;=($B$5*40),SUM(AB25:AB31)&gt;0),0,IF(SUM($C$32:AA32)=0,IF((('Effort Estimates'!$C$11)/Plan!$B$5)&gt;40,40*$B$5,('Effort Estimates'!$C$11)),IF(SUM(AA32:AA32)&lt;(40*$B$5),0,IF(((('Effort Estimates'!$C$11)-SUM($C$32:AA32))/Plan!$B$5)&gt;40,40*$B$5,(('Effort Estimates'!$C$11)-SUM($C$32:AA32))))))</f>
        <v>33.696000000000005</v>
      </c>
      <c r="AC32" s="64">
        <f>IF(OR(SUM(AC25:AC31)&gt;=($B$5*40),SUM(AC25:AC31)&gt;0),0,IF(SUM($C$32:AB32)=0,IF((('Effort Estimates'!$C$11)/Plan!$B$5)&gt;40,40*$B$5,('Effort Estimates'!$C$11)),IF(SUM(AB32:AB32)&lt;(40*$B$5),0,IF(((('Effort Estimates'!$C$11)-SUM($C$32:AB32))/Plan!$B$5)&gt;40,40*$B$5,(('Effort Estimates'!$C$11)-SUM($C$32:AB32))))))</f>
        <v>0</v>
      </c>
      <c r="AD32" s="64">
        <f>IF(OR(SUM(AD25:AD31)&gt;=($B$5*40),SUM(AD25:AD31)&gt;0),0,IF(SUM($C$32:AC32)=0,IF((('Effort Estimates'!$C$11)/Plan!$B$5)&gt;40,40*$B$5,('Effort Estimates'!$C$11)),IF(SUM(AC32:AC32)&lt;(40*$B$5),0,IF(((('Effort Estimates'!$C$11)-SUM($C$32:AC32))/Plan!$B$5)&gt;40,40*$B$5,(('Effort Estimates'!$C$11)-SUM($C$32:AC32))))))</f>
        <v>0</v>
      </c>
      <c r="AE32" s="64">
        <f>IF(OR(SUM(AE25:AE31)&gt;=($B$5*40),SUM(AE25:AE31)&gt;0),0,IF(SUM($C$32:AD32)=0,IF((('Effort Estimates'!$C$11)/Plan!$B$5)&gt;40,40*$B$5,('Effort Estimates'!$C$11)),IF(SUM(AD32:AD32)&lt;(40*$B$5),0,IF(((('Effort Estimates'!$C$11)-SUM($C$32:AD32))/Plan!$B$5)&gt;40,40*$B$5,(('Effort Estimates'!$C$11)-SUM($C$32:AD32))))))</f>
        <v>0</v>
      </c>
      <c r="AF32" s="64">
        <f>IF(OR(SUM(AF25:AF31)&gt;=($B$5*40),SUM(AF25:AF31)&gt;0),0,IF(SUM($C$32:AE32)=0,IF((('Effort Estimates'!$C$11)/Plan!$B$5)&gt;40,40*$B$5,('Effort Estimates'!$C$11)),IF(SUM(AE32:AE32)&lt;(40*$B$5),0,IF(((('Effort Estimates'!$C$11)-SUM($C$32:AE32))/Plan!$B$5)&gt;40,40*$B$5,(('Effort Estimates'!$C$11)-SUM($C$32:AE32))))))</f>
        <v>0</v>
      </c>
      <c r="AG32" s="64">
        <f>IF(OR(SUM(AG25:AG31)&gt;=($B$5*40),SUM(AG25:AG31)&gt;0),0,IF(SUM($C$32:AF32)=0,IF((('Effort Estimates'!$C$11)/Plan!$B$5)&gt;40,40*$B$5,('Effort Estimates'!$C$11)),IF(SUM(AF32:AF32)&lt;(40*$B$5),0,IF(((('Effort Estimates'!$C$11)-SUM($C$32:AF32))/Plan!$B$5)&gt;40,40*$B$5,(('Effort Estimates'!$C$11)-SUM($C$32:AF32))))))</f>
        <v>0</v>
      </c>
      <c r="AH32" s="64">
        <f>IF(OR(SUM(AH25:AH31)&gt;=($B$5*40),SUM(AH25:AH31)&gt;0),0,IF(SUM($C$32:AG32)=0,IF((('Effort Estimates'!$C$11)/Plan!$B$5)&gt;40,40*$B$5,('Effort Estimates'!$C$11)),IF(SUM(AG32:AG32)&lt;(40*$B$5),0,IF(((('Effort Estimates'!$C$11)-SUM($C$32:AG32))/Plan!$B$5)&gt;40,40*$B$5,(('Effort Estimates'!$C$11)-SUM($C$32:AG32))))))</f>
        <v>0</v>
      </c>
    </row>
  </sheetData>
  <mergeCells count="4">
    <mergeCell ref="A22:AH22"/>
    <mergeCell ref="A1:AH1"/>
    <mergeCell ref="A9:AH9"/>
    <mergeCell ref="A18:AH18"/>
  </mergeCells>
  <conditionalFormatting sqref="C25:AH32">
    <cfRule type="cellIs" dxfId="6" priority="9" operator="greaterThan">
      <formula>0</formula>
    </cfRule>
  </conditionalFormatting>
  <conditionalFormatting sqref="C26:AH26">
    <cfRule type="cellIs" dxfId="5" priority="8" operator="greaterThan">
      <formula>0</formula>
    </cfRule>
  </conditionalFormatting>
  <conditionalFormatting sqref="C27:AH28">
    <cfRule type="cellIs" dxfId="4" priority="7" operator="greaterThan">
      <formula>0</formula>
    </cfRule>
  </conditionalFormatting>
  <conditionalFormatting sqref="O26:AH26">
    <cfRule type="cellIs" dxfId="3" priority="4" operator="greaterThan">
      <formula>0</formula>
    </cfRule>
  </conditionalFormatting>
  <conditionalFormatting sqref="O27:AH27">
    <cfRule type="cellIs" dxfId="2" priority="3" operator="greaterThan">
      <formula>0</formula>
    </cfRule>
  </conditionalFormatting>
  <conditionalFormatting sqref="C29:AH29">
    <cfRule type="cellIs" dxfId="1" priority="2" operator="greaterThan">
      <formula>0</formula>
    </cfRule>
  </conditionalFormatting>
  <conditionalFormatting sqref="C32:AH3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topLeftCell="J1" workbookViewId="0">
      <selection activeCell="W6" sqref="W6"/>
    </sheetView>
  </sheetViews>
  <sheetFormatPr baseColWidth="10" defaultRowHeight="16" x14ac:dyDescent="0.2"/>
  <cols>
    <col min="1" max="1" width="25.5" customWidth="1"/>
    <col min="2" max="2" width="17.83203125" customWidth="1"/>
    <col min="3" max="3" width="20.6640625" customWidth="1"/>
    <col min="4" max="4" width="15.5" customWidth="1"/>
    <col min="5" max="5" width="20.83203125" bestFit="1" customWidth="1"/>
    <col min="6" max="6" width="15" bestFit="1" customWidth="1"/>
    <col min="7" max="7" width="15.1640625" bestFit="1" customWidth="1"/>
    <col min="8" max="8" width="16.5" bestFit="1" customWidth="1"/>
    <col min="9" max="10" width="16.5" customWidth="1"/>
    <col min="20" max="20" width="14.5" customWidth="1"/>
    <col min="21" max="21" width="15.6640625" bestFit="1" customWidth="1"/>
    <col min="24" max="24" width="15.5" bestFit="1" customWidth="1"/>
  </cols>
  <sheetData>
    <row r="1" spans="1:29" x14ac:dyDescent="0.2">
      <c r="A1" s="52" t="s">
        <v>242</v>
      </c>
      <c r="B1" s="52" t="s">
        <v>243</v>
      </c>
      <c r="C1" s="52" t="s">
        <v>325</v>
      </c>
      <c r="D1" s="52" t="s">
        <v>326</v>
      </c>
      <c r="E1" s="52" t="s">
        <v>257</v>
      </c>
      <c r="F1" s="52" t="s">
        <v>327</v>
      </c>
      <c r="G1" s="52" t="s">
        <v>260</v>
      </c>
      <c r="H1" s="52" t="s">
        <v>255</v>
      </c>
      <c r="I1" s="157" t="s">
        <v>328</v>
      </c>
      <c r="J1" s="157"/>
      <c r="K1" s="157" t="s">
        <v>249</v>
      </c>
      <c r="L1" s="157"/>
      <c r="M1" s="157" t="s">
        <v>329</v>
      </c>
      <c r="N1" s="157"/>
      <c r="O1" s="157" t="s">
        <v>254</v>
      </c>
      <c r="P1" s="157"/>
      <c r="Q1" s="157" t="s">
        <v>255</v>
      </c>
      <c r="R1" s="157"/>
      <c r="S1" s="157" t="s">
        <v>330</v>
      </c>
      <c r="T1" s="157"/>
      <c r="U1" s="157" t="s">
        <v>365</v>
      </c>
      <c r="V1" s="157"/>
      <c r="W1" s="157"/>
      <c r="X1" s="52" t="s">
        <v>327</v>
      </c>
      <c r="Y1" s="52" t="s">
        <v>256</v>
      </c>
      <c r="Z1" s="52" t="s">
        <v>367</v>
      </c>
      <c r="AA1" s="52" t="s">
        <v>364</v>
      </c>
      <c r="AB1" s="52" t="s">
        <v>257</v>
      </c>
      <c r="AC1" s="52" t="s">
        <v>364</v>
      </c>
    </row>
    <row r="2" spans="1:29" x14ac:dyDescent="0.2">
      <c r="A2" t="s">
        <v>331</v>
      </c>
      <c r="B2" t="s">
        <v>332</v>
      </c>
      <c r="C2" t="s">
        <v>333</v>
      </c>
      <c r="D2" t="s">
        <v>246</v>
      </c>
      <c r="E2" s="132" t="s">
        <v>305</v>
      </c>
      <c r="F2" t="s">
        <v>334</v>
      </c>
      <c r="G2" t="s">
        <v>335</v>
      </c>
      <c r="H2" t="s">
        <v>336</v>
      </c>
      <c r="I2" t="s">
        <v>246</v>
      </c>
      <c r="J2">
        <v>8</v>
      </c>
      <c r="K2" t="s">
        <v>252</v>
      </c>
      <c r="L2">
        <v>1</v>
      </c>
      <c r="M2" t="s">
        <v>252</v>
      </c>
      <c r="N2">
        <v>1</v>
      </c>
      <c r="O2" t="s">
        <v>252</v>
      </c>
      <c r="P2">
        <v>1</v>
      </c>
      <c r="Q2" t="s">
        <v>336</v>
      </c>
      <c r="R2">
        <v>1</v>
      </c>
      <c r="S2" t="s">
        <v>335</v>
      </c>
      <c r="T2">
        <v>1.6</v>
      </c>
      <c r="U2" t="s">
        <v>337</v>
      </c>
      <c r="V2" t="s">
        <v>23</v>
      </c>
      <c r="W2">
        <v>1.2</v>
      </c>
      <c r="X2" t="s">
        <v>334</v>
      </c>
      <c r="Y2" t="s">
        <v>335</v>
      </c>
      <c r="Z2" t="str">
        <f>CONCATENATE(X2,Y2)</f>
        <v>InternalSOAP</v>
      </c>
      <c r="AA2">
        <v>1</v>
      </c>
      <c r="AB2" s="132" t="s">
        <v>305</v>
      </c>
      <c r="AC2">
        <v>1.2</v>
      </c>
    </row>
    <row r="3" spans="1:29" x14ac:dyDescent="0.2">
      <c r="A3" t="s">
        <v>338</v>
      </c>
      <c r="B3" t="s">
        <v>339</v>
      </c>
      <c r="C3" t="s">
        <v>340</v>
      </c>
      <c r="D3" t="s">
        <v>247</v>
      </c>
      <c r="E3" s="132" t="s">
        <v>306</v>
      </c>
      <c r="F3" t="s">
        <v>341</v>
      </c>
      <c r="G3" t="s">
        <v>342</v>
      </c>
      <c r="H3" t="s">
        <v>343</v>
      </c>
      <c r="I3" t="s">
        <v>247</v>
      </c>
      <c r="J3">
        <v>12</v>
      </c>
      <c r="K3" t="s">
        <v>23</v>
      </c>
      <c r="L3">
        <v>1.2</v>
      </c>
      <c r="M3" t="s">
        <v>23</v>
      </c>
      <c r="N3">
        <v>1.2</v>
      </c>
      <c r="O3" t="s">
        <v>23</v>
      </c>
      <c r="P3">
        <v>1.2</v>
      </c>
      <c r="Q3" t="s">
        <v>343</v>
      </c>
      <c r="R3">
        <v>1</v>
      </c>
      <c r="S3" t="s">
        <v>342</v>
      </c>
      <c r="T3">
        <v>1.4</v>
      </c>
      <c r="U3" t="s">
        <v>344</v>
      </c>
      <c r="V3" t="s">
        <v>297</v>
      </c>
      <c r="W3">
        <v>1.4</v>
      </c>
      <c r="X3" t="s">
        <v>334</v>
      </c>
      <c r="Y3" t="s">
        <v>342</v>
      </c>
      <c r="Z3" t="str">
        <f t="shared" ref="Z3:Z7" si="0">CONCATENATE(X3,Y3)</f>
        <v>InternalREST</v>
      </c>
      <c r="AA3">
        <v>1.1000000000000001</v>
      </c>
      <c r="AB3" s="132" t="s">
        <v>306</v>
      </c>
      <c r="AC3">
        <v>1.3</v>
      </c>
    </row>
    <row r="4" spans="1:29" x14ac:dyDescent="0.2">
      <c r="A4" t="s">
        <v>345</v>
      </c>
      <c r="B4" t="s">
        <v>346</v>
      </c>
      <c r="C4" t="s">
        <v>347</v>
      </c>
      <c r="D4" t="s">
        <v>248</v>
      </c>
      <c r="E4" s="132" t="s">
        <v>307</v>
      </c>
      <c r="F4" t="s">
        <v>348</v>
      </c>
      <c r="H4" t="s">
        <v>349</v>
      </c>
      <c r="I4" t="s">
        <v>248</v>
      </c>
      <c r="J4">
        <v>16</v>
      </c>
      <c r="K4" t="s">
        <v>297</v>
      </c>
      <c r="L4">
        <v>1.6</v>
      </c>
      <c r="M4" t="s">
        <v>297</v>
      </c>
      <c r="N4">
        <v>1.6</v>
      </c>
      <c r="O4" t="s">
        <v>297</v>
      </c>
      <c r="P4">
        <v>1.6</v>
      </c>
      <c r="Q4" t="s">
        <v>349</v>
      </c>
      <c r="R4">
        <v>1</v>
      </c>
      <c r="U4" t="s">
        <v>350</v>
      </c>
      <c r="V4" t="s">
        <v>23</v>
      </c>
      <c r="W4">
        <v>1.2</v>
      </c>
      <c r="X4" t="s">
        <v>341</v>
      </c>
      <c r="Y4" t="s">
        <v>335</v>
      </c>
      <c r="Z4" t="str">
        <f t="shared" si="0"/>
        <v>External - PublicSOAP</v>
      </c>
      <c r="AA4">
        <v>1.1000000000000001</v>
      </c>
      <c r="AB4" s="132" t="s">
        <v>307</v>
      </c>
      <c r="AC4">
        <v>1.5</v>
      </c>
    </row>
    <row r="5" spans="1:29" x14ac:dyDescent="0.2">
      <c r="A5" t="s">
        <v>351</v>
      </c>
      <c r="B5" t="s">
        <v>352</v>
      </c>
      <c r="C5" t="s">
        <v>353</v>
      </c>
      <c r="D5" t="s">
        <v>366</v>
      </c>
      <c r="E5" s="132" t="s">
        <v>308</v>
      </c>
      <c r="H5" t="s">
        <v>354</v>
      </c>
      <c r="I5" t="s">
        <v>366</v>
      </c>
      <c r="J5">
        <v>20</v>
      </c>
      <c r="Q5" t="s">
        <v>354</v>
      </c>
      <c r="R5">
        <v>1.2</v>
      </c>
      <c r="U5" t="s">
        <v>355</v>
      </c>
      <c r="V5" t="s">
        <v>252</v>
      </c>
      <c r="W5">
        <v>1.1000000000000001</v>
      </c>
      <c r="X5" t="s">
        <v>341</v>
      </c>
      <c r="Y5" t="s">
        <v>342</v>
      </c>
      <c r="Z5" t="str">
        <f t="shared" si="0"/>
        <v>External - PublicREST</v>
      </c>
      <c r="AA5">
        <v>1.2</v>
      </c>
      <c r="AB5" s="132" t="s">
        <v>308</v>
      </c>
      <c r="AC5">
        <v>1.6</v>
      </c>
    </row>
    <row r="6" spans="1:29" x14ac:dyDescent="0.2">
      <c r="A6" t="s">
        <v>356</v>
      </c>
      <c r="B6" t="s">
        <v>357</v>
      </c>
      <c r="C6" t="s">
        <v>358</v>
      </c>
      <c r="X6" t="s">
        <v>348</v>
      </c>
      <c r="Y6" t="s">
        <v>335</v>
      </c>
      <c r="Z6" t="str">
        <f t="shared" si="0"/>
        <v>External - CustomSOAP</v>
      </c>
      <c r="AA6">
        <v>1.2</v>
      </c>
    </row>
    <row r="7" spans="1:29" x14ac:dyDescent="0.2">
      <c r="A7" t="s">
        <v>359</v>
      </c>
      <c r="B7" t="s">
        <v>360</v>
      </c>
      <c r="X7" t="s">
        <v>348</v>
      </c>
      <c r="Y7" t="s">
        <v>342</v>
      </c>
      <c r="Z7" t="str">
        <f t="shared" si="0"/>
        <v>External - CustomREST</v>
      </c>
      <c r="AA7">
        <v>1.3</v>
      </c>
    </row>
    <row r="8" spans="1:29" x14ac:dyDescent="0.2">
      <c r="A8" t="s">
        <v>361</v>
      </c>
    </row>
    <row r="9" spans="1:29" x14ac:dyDescent="0.2">
      <c r="A9" t="s">
        <v>362</v>
      </c>
    </row>
  </sheetData>
  <mergeCells count="7">
    <mergeCell ref="U1:W1"/>
    <mergeCell ref="I1:J1"/>
    <mergeCell ref="K1:L1"/>
    <mergeCell ref="M1:N1"/>
    <mergeCell ref="O1:P1"/>
    <mergeCell ref="Q1:R1"/>
    <mergeCell ref="S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8"/>
  <sheetViews>
    <sheetView topLeftCell="A73" workbookViewId="0">
      <selection sqref="A1:XFD1048576"/>
    </sheetView>
  </sheetViews>
  <sheetFormatPr baseColWidth="10" defaultRowHeight="16" x14ac:dyDescent="0.2"/>
  <cols>
    <col min="1" max="1" width="21.1640625" customWidth="1"/>
    <col min="2" max="2" width="19.1640625" customWidth="1"/>
    <col min="3" max="3" width="26.83203125" customWidth="1"/>
    <col min="4" max="4" width="18.6640625" customWidth="1"/>
    <col min="6" max="6" width="12.5" customWidth="1"/>
    <col min="8" max="8" width="13.6640625" customWidth="1"/>
  </cols>
  <sheetData>
    <row r="1" spans="1:10" ht="32" x14ac:dyDescent="0.2">
      <c r="A1" s="124" t="s">
        <v>272</v>
      </c>
      <c r="B1" s="125" t="s">
        <v>273</v>
      </c>
      <c r="C1" s="125" t="s">
        <v>274</v>
      </c>
      <c r="D1" s="125" t="s">
        <v>275</v>
      </c>
      <c r="E1" s="125" t="s">
        <v>276</v>
      </c>
      <c r="F1" s="125" t="s">
        <v>277</v>
      </c>
      <c r="G1" s="125" t="s">
        <v>278</v>
      </c>
      <c r="H1" s="125" t="s">
        <v>279</v>
      </c>
      <c r="I1" s="125" t="s">
        <v>280</v>
      </c>
      <c r="J1" s="125" t="s">
        <v>281</v>
      </c>
    </row>
    <row r="2" spans="1:10" x14ac:dyDescent="0.2">
      <c r="A2" s="126"/>
      <c r="B2" s="127"/>
      <c r="C2" s="127"/>
      <c r="D2" s="127"/>
      <c r="E2" s="127"/>
      <c r="F2" s="127"/>
      <c r="G2" s="127"/>
      <c r="H2" s="127"/>
      <c r="I2" s="127"/>
      <c r="J2" s="127"/>
    </row>
    <row r="3" spans="1:10" x14ac:dyDescent="0.2">
      <c r="A3" t="s">
        <v>282</v>
      </c>
      <c r="C3" s="127">
        <v>1</v>
      </c>
      <c r="D3" s="127">
        <v>4</v>
      </c>
      <c r="E3" s="127" t="s">
        <v>283</v>
      </c>
      <c r="F3" s="127" t="s">
        <v>283</v>
      </c>
      <c r="G3" s="127" t="s">
        <v>284</v>
      </c>
      <c r="H3" s="127"/>
      <c r="I3" s="127" t="s">
        <v>285</v>
      </c>
      <c r="J3" s="127" t="s">
        <v>283</v>
      </c>
    </row>
    <row r="4" spans="1:10" x14ac:dyDescent="0.2">
      <c r="A4" t="s">
        <v>286</v>
      </c>
      <c r="C4" s="127">
        <v>2</v>
      </c>
      <c r="D4" s="127">
        <v>6</v>
      </c>
      <c r="E4" s="127" t="s">
        <v>287</v>
      </c>
      <c r="F4" s="127" t="s">
        <v>283</v>
      </c>
      <c r="G4" s="127" t="s">
        <v>284</v>
      </c>
      <c r="H4" s="127" t="s">
        <v>284</v>
      </c>
      <c r="I4" s="127" t="s">
        <v>283</v>
      </c>
      <c r="J4" s="127" t="s">
        <v>283</v>
      </c>
    </row>
    <row r="5" spans="1:10" x14ac:dyDescent="0.2">
      <c r="A5" t="s">
        <v>288</v>
      </c>
      <c r="C5" s="127">
        <v>4</v>
      </c>
      <c r="D5" s="127" t="s">
        <v>289</v>
      </c>
      <c r="E5" s="127" t="s">
        <v>284</v>
      </c>
      <c r="F5" s="127" t="s">
        <v>287</v>
      </c>
      <c r="G5" s="127" t="s">
        <v>284</v>
      </c>
      <c r="H5" s="127" t="s">
        <v>284</v>
      </c>
      <c r="I5" s="127" t="s">
        <v>284</v>
      </c>
      <c r="J5" s="127" t="s">
        <v>284</v>
      </c>
    </row>
    <row r="6" spans="1:10" x14ac:dyDescent="0.2">
      <c r="A6" s="83"/>
      <c r="B6" s="4" t="s">
        <v>3</v>
      </c>
      <c r="C6" s="4" t="s">
        <v>290</v>
      </c>
      <c r="D6" s="4" t="s">
        <v>291</v>
      </c>
    </row>
    <row r="7" spans="1:10" x14ac:dyDescent="0.2">
      <c r="A7" s="128" t="s">
        <v>292</v>
      </c>
      <c r="C7" s="127"/>
      <c r="D7" s="127"/>
      <c r="E7" s="127"/>
      <c r="F7" s="127"/>
      <c r="G7" s="127"/>
      <c r="H7" s="127"/>
      <c r="I7" s="127"/>
      <c r="J7" s="127"/>
    </row>
    <row r="8" spans="1:10" x14ac:dyDescent="0.2">
      <c r="A8" s="127" t="s">
        <v>293</v>
      </c>
      <c r="B8" s="127">
        <v>4</v>
      </c>
      <c r="D8" s="129">
        <f>2*B8</f>
        <v>8</v>
      </c>
    </row>
    <row r="9" spans="1:10" x14ac:dyDescent="0.2">
      <c r="A9" s="127" t="s">
        <v>294</v>
      </c>
      <c r="B9" s="127">
        <v>8</v>
      </c>
      <c r="D9" s="129">
        <f t="shared" ref="D9:D47" si="0">2*B9</f>
        <v>16</v>
      </c>
    </row>
    <row r="10" spans="1:10" x14ac:dyDescent="0.2">
      <c r="A10" s="127" t="s">
        <v>295</v>
      </c>
      <c r="B10" s="127">
        <v>16</v>
      </c>
      <c r="D10" s="129">
        <f t="shared" si="0"/>
        <v>32</v>
      </c>
    </row>
    <row r="11" spans="1:10" x14ac:dyDescent="0.2">
      <c r="D11" s="129">
        <f t="shared" si="0"/>
        <v>0</v>
      </c>
    </row>
    <row r="12" spans="1:10" x14ac:dyDescent="0.2">
      <c r="A12" s="125" t="s">
        <v>277</v>
      </c>
      <c r="B12" s="4" t="s">
        <v>296</v>
      </c>
      <c r="D12" s="129"/>
    </row>
    <row r="13" spans="1:10" x14ac:dyDescent="0.2">
      <c r="A13" t="s">
        <v>252</v>
      </c>
      <c r="B13">
        <v>2</v>
      </c>
      <c r="C13">
        <f>1*B13</f>
        <v>2</v>
      </c>
      <c r="D13" s="129">
        <f t="shared" si="0"/>
        <v>4</v>
      </c>
    </row>
    <row r="14" spans="1:10" x14ac:dyDescent="0.2">
      <c r="A14" t="s">
        <v>23</v>
      </c>
      <c r="B14">
        <v>8</v>
      </c>
      <c r="C14">
        <f t="shared" ref="C14:C47" si="1">1*B14</f>
        <v>8</v>
      </c>
      <c r="D14" s="129">
        <f t="shared" si="0"/>
        <v>16</v>
      </c>
    </row>
    <row r="15" spans="1:10" x14ac:dyDescent="0.2">
      <c r="A15" t="s">
        <v>297</v>
      </c>
      <c r="B15">
        <v>16</v>
      </c>
      <c r="C15">
        <f t="shared" si="1"/>
        <v>16</v>
      </c>
      <c r="D15" s="129">
        <f t="shared" si="0"/>
        <v>32</v>
      </c>
    </row>
    <row r="16" spans="1:10" x14ac:dyDescent="0.2">
      <c r="C16">
        <f t="shared" si="1"/>
        <v>0</v>
      </c>
      <c r="D16" s="129"/>
    </row>
    <row r="17" spans="1:4" x14ac:dyDescent="0.2">
      <c r="A17" s="125" t="s">
        <v>298</v>
      </c>
      <c r="C17">
        <f t="shared" si="1"/>
        <v>0</v>
      </c>
      <c r="D17" s="129"/>
    </row>
    <row r="18" spans="1:4" x14ac:dyDescent="0.2">
      <c r="A18" t="s">
        <v>293</v>
      </c>
      <c r="B18">
        <v>2</v>
      </c>
      <c r="C18">
        <f t="shared" si="1"/>
        <v>2</v>
      </c>
      <c r="D18" s="129">
        <f t="shared" si="0"/>
        <v>4</v>
      </c>
    </row>
    <row r="19" spans="1:4" x14ac:dyDescent="0.2">
      <c r="A19" t="s">
        <v>23</v>
      </c>
      <c r="B19">
        <v>8</v>
      </c>
      <c r="C19">
        <f t="shared" si="1"/>
        <v>8</v>
      </c>
      <c r="D19" s="129">
        <f t="shared" si="0"/>
        <v>16</v>
      </c>
    </row>
    <row r="20" spans="1:4" x14ac:dyDescent="0.2">
      <c r="A20" t="s">
        <v>297</v>
      </c>
      <c r="B20">
        <v>16</v>
      </c>
      <c r="C20">
        <f t="shared" si="1"/>
        <v>16</v>
      </c>
      <c r="D20" s="129">
        <f t="shared" si="0"/>
        <v>32</v>
      </c>
    </row>
    <row r="21" spans="1:4" x14ac:dyDescent="0.2">
      <c r="C21">
        <f t="shared" si="1"/>
        <v>0</v>
      </c>
      <c r="D21" s="129"/>
    </row>
    <row r="22" spans="1:4" x14ac:dyDescent="0.2">
      <c r="A22" s="125" t="s">
        <v>299</v>
      </c>
      <c r="C22">
        <f t="shared" si="1"/>
        <v>0</v>
      </c>
      <c r="D22" s="129"/>
    </row>
    <row r="23" spans="1:4" x14ac:dyDescent="0.2">
      <c r="A23" s="158" t="s">
        <v>300</v>
      </c>
      <c r="B23">
        <v>8</v>
      </c>
      <c r="C23">
        <f t="shared" si="1"/>
        <v>8</v>
      </c>
      <c r="D23" s="129">
        <f t="shared" si="0"/>
        <v>16</v>
      </c>
    </row>
    <row r="24" spans="1:4" x14ac:dyDescent="0.2">
      <c r="A24" s="158"/>
      <c r="C24">
        <f t="shared" si="1"/>
        <v>0</v>
      </c>
      <c r="D24" s="129">
        <f t="shared" si="0"/>
        <v>0</v>
      </c>
    </row>
    <row r="25" spans="1:4" x14ac:dyDescent="0.2">
      <c r="C25">
        <f t="shared" si="1"/>
        <v>0</v>
      </c>
      <c r="D25" s="129"/>
    </row>
    <row r="26" spans="1:4" x14ac:dyDescent="0.2">
      <c r="A26" s="125" t="s">
        <v>301</v>
      </c>
      <c r="B26" s="129"/>
      <c r="C26">
        <f t="shared" si="1"/>
        <v>0</v>
      </c>
      <c r="D26" s="129"/>
    </row>
    <row r="27" spans="1:4" x14ac:dyDescent="0.2">
      <c r="A27" t="s">
        <v>302</v>
      </c>
      <c r="B27" s="129">
        <v>8</v>
      </c>
      <c r="C27">
        <f t="shared" si="1"/>
        <v>8</v>
      </c>
      <c r="D27" s="129">
        <f t="shared" si="0"/>
        <v>16</v>
      </c>
    </row>
    <row r="28" spans="1:4" x14ac:dyDescent="0.2">
      <c r="A28" t="s">
        <v>303</v>
      </c>
      <c r="B28" s="129">
        <v>8</v>
      </c>
      <c r="C28">
        <f t="shared" si="1"/>
        <v>8</v>
      </c>
      <c r="D28" s="129">
        <f t="shared" si="0"/>
        <v>16</v>
      </c>
    </row>
    <row r="29" spans="1:4" x14ac:dyDescent="0.2">
      <c r="A29" t="s">
        <v>304</v>
      </c>
      <c r="B29" s="129">
        <v>40</v>
      </c>
      <c r="C29">
        <f t="shared" si="1"/>
        <v>40</v>
      </c>
      <c r="D29" s="129">
        <f t="shared" si="0"/>
        <v>80</v>
      </c>
    </row>
    <row r="30" spans="1:4" x14ac:dyDescent="0.2">
      <c r="C30">
        <f t="shared" si="1"/>
        <v>0</v>
      </c>
      <c r="D30" s="129"/>
    </row>
    <row r="31" spans="1:4" x14ac:dyDescent="0.2">
      <c r="A31" s="125" t="s">
        <v>257</v>
      </c>
      <c r="C31">
        <f t="shared" si="1"/>
        <v>0</v>
      </c>
      <c r="D31" s="129"/>
    </row>
    <row r="32" spans="1:4" x14ac:dyDescent="0.2">
      <c r="A32" t="s">
        <v>305</v>
      </c>
      <c r="B32">
        <v>40</v>
      </c>
      <c r="C32">
        <f t="shared" si="1"/>
        <v>40</v>
      </c>
      <c r="D32" s="129">
        <f t="shared" si="0"/>
        <v>80</v>
      </c>
    </row>
    <row r="33" spans="1:4" x14ac:dyDescent="0.2">
      <c r="A33" t="s">
        <v>306</v>
      </c>
      <c r="B33">
        <v>40</v>
      </c>
      <c r="C33">
        <f t="shared" si="1"/>
        <v>40</v>
      </c>
      <c r="D33" s="129">
        <f t="shared" si="0"/>
        <v>80</v>
      </c>
    </row>
    <row r="34" spans="1:4" x14ac:dyDescent="0.2">
      <c r="A34" t="s">
        <v>307</v>
      </c>
      <c r="C34">
        <f t="shared" si="1"/>
        <v>0</v>
      </c>
      <c r="D34" s="129"/>
    </row>
    <row r="35" spans="1:4" x14ac:dyDescent="0.2">
      <c r="A35" t="s">
        <v>308</v>
      </c>
      <c r="C35">
        <f t="shared" si="1"/>
        <v>0</v>
      </c>
      <c r="D35" s="129"/>
    </row>
    <row r="36" spans="1:4" x14ac:dyDescent="0.2">
      <c r="C36">
        <f t="shared" si="1"/>
        <v>0</v>
      </c>
      <c r="D36" s="129"/>
    </row>
    <row r="37" spans="1:4" x14ac:dyDescent="0.2">
      <c r="A37" s="125" t="s">
        <v>309</v>
      </c>
      <c r="C37">
        <f t="shared" si="1"/>
        <v>0</v>
      </c>
      <c r="D37" s="129">
        <f t="shared" si="0"/>
        <v>0</v>
      </c>
    </row>
    <row r="38" spans="1:4" x14ac:dyDescent="0.2">
      <c r="A38" t="s">
        <v>310</v>
      </c>
      <c r="B38" s="130">
        <v>0.2</v>
      </c>
      <c r="C38">
        <f t="shared" si="1"/>
        <v>0.2</v>
      </c>
      <c r="D38" s="129">
        <f t="shared" si="0"/>
        <v>0.4</v>
      </c>
    </row>
    <row r="39" spans="1:4" x14ac:dyDescent="0.2">
      <c r="C39">
        <f t="shared" si="1"/>
        <v>0</v>
      </c>
      <c r="D39" s="129"/>
    </row>
    <row r="40" spans="1:4" x14ac:dyDescent="0.2">
      <c r="A40" s="125" t="s">
        <v>311</v>
      </c>
      <c r="C40">
        <f t="shared" si="1"/>
        <v>0</v>
      </c>
      <c r="D40" s="129">
        <f t="shared" si="0"/>
        <v>0</v>
      </c>
    </row>
    <row r="41" spans="1:4" x14ac:dyDescent="0.2">
      <c r="A41" t="s">
        <v>312</v>
      </c>
      <c r="B41">
        <v>16</v>
      </c>
      <c r="C41">
        <f t="shared" si="1"/>
        <v>16</v>
      </c>
      <c r="D41" s="129">
        <f t="shared" si="0"/>
        <v>32</v>
      </c>
    </row>
    <row r="42" spans="1:4" x14ac:dyDescent="0.2">
      <c r="A42" t="s">
        <v>313</v>
      </c>
      <c r="B42">
        <v>20</v>
      </c>
      <c r="C42">
        <f t="shared" si="1"/>
        <v>20</v>
      </c>
      <c r="D42" s="129">
        <f t="shared" si="0"/>
        <v>40</v>
      </c>
    </row>
    <row r="43" spans="1:4" x14ac:dyDescent="0.2">
      <c r="C43">
        <f t="shared" si="1"/>
        <v>0</v>
      </c>
      <c r="D43" s="129"/>
    </row>
    <row r="44" spans="1:4" ht="32" x14ac:dyDescent="0.2">
      <c r="A44" s="131" t="s">
        <v>314</v>
      </c>
      <c r="B44" s="132"/>
      <c r="C44">
        <f t="shared" si="1"/>
        <v>0</v>
      </c>
      <c r="D44" s="129"/>
    </row>
    <row r="45" spans="1:4" x14ac:dyDescent="0.2">
      <c r="A45" s="126" t="s">
        <v>252</v>
      </c>
      <c r="B45" s="132">
        <v>2</v>
      </c>
      <c r="C45">
        <f t="shared" si="1"/>
        <v>2</v>
      </c>
      <c r="D45" s="129">
        <f t="shared" si="0"/>
        <v>4</v>
      </c>
    </row>
    <row r="46" spans="1:4" x14ac:dyDescent="0.2">
      <c r="A46" s="126" t="s">
        <v>23</v>
      </c>
      <c r="B46">
        <v>6</v>
      </c>
      <c r="C46">
        <f t="shared" si="1"/>
        <v>6</v>
      </c>
      <c r="D46" s="129">
        <f t="shared" si="0"/>
        <v>12</v>
      </c>
    </row>
    <row r="47" spans="1:4" x14ac:dyDescent="0.2">
      <c r="A47" s="126" t="s">
        <v>297</v>
      </c>
      <c r="B47">
        <v>12</v>
      </c>
      <c r="C47">
        <f t="shared" si="1"/>
        <v>12</v>
      </c>
      <c r="D47" s="129">
        <f t="shared" si="0"/>
        <v>24</v>
      </c>
    </row>
    <row r="49" spans="1:2" x14ac:dyDescent="0.2">
      <c r="A49" s="126" t="s">
        <v>315</v>
      </c>
      <c r="B49" s="53">
        <v>0.4</v>
      </c>
    </row>
    <row r="50" spans="1:2" x14ac:dyDescent="0.2">
      <c r="A50" s="131" t="s">
        <v>271</v>
      </c>
      <c r="B50" s="53"/>
    </row>
    <row r="51" spans="1:2" x14ac:dyDescent="0.2">
      <c r="A51" t="s">
        <v>265</v>
      </c>
      <c r="B51" s="53">
        <v>0.05</v>
      </c>
    </row>
    <row r="52" spans="1:2" x14ac:dyDescent="0.2">
      <c r="A52" t="s">
        <v>316</v>
      </c>
      <c r="B52" s="53">
        <v>0.15</v>
      </c>
    </row>
    <row r="53" spans="1:2" x14ac:dyDescent="0.2">
      <c r="A53" t="s">
        <v>317</v>
      </c>
      <c r="B53" s="53">
        <v>0.2</v>
      </c>
    </row>
    <row r="54" spans="1:2" x14ac:dyDescent="0.2">
      <c r="A54" t="s">
        <v>139</v>
      </c>
      <c r="B54" s="53">
        <f>SUM(B51:B53)</f>
        <v>0.4</v>
      </c>
    </row>
    <row r="55" spans="1:2" x14ac:dyDescent="0.2">
      <c r="B55" s="53"/>
    </row>
    <row r="56" spans="1:2" x14ac:dyDescent="0.2">
      <c r="A56" s="131" t="s">
        <v>318</v>
      </c>
    </row>
    <row r="57" spans="1:2" x14ac:dyDescent="0.2">
      <c r="A57" t="s">
        <v>319</v>
      </c>
      <c r="B57">
        <v>160</v>
      </c>
    </row>
    <row r="58" spans="1:2" x14ac:dyDescent="0.2">
      <c r="A58" t="s">
        <v>320</v>
      </c>
      <c r="B58">
        <v>40</v>
      </c>
    </row>
    <row r="60" spans="1:2" x14ac:dyDescent="0.2">
      <c r="A60" s="131" t="s">
        <v>321</v>
      </c>
    </row>
    <row r="61" spans="1:2" x14ac:dyDescent="0.2">
      <c r="A61" t="s">
        <v>206</v>
      </c>
      <c r="B61" s="53">
        <v>0.2</v>
      </c>
    </row>
    <row r="62" spans="1:2" x14ac:dyDescent="0.2">
      <c r="A62" t="s">
        <v>207</v>
      </c>
      <c r="B62" s="53">
        <v>0.8</v>
      </c>
    </row>
    <row r="63" spans="1:2" x14ac:dyDescent="0.2">
      <c r="A63" s="131" t="s">
        <v>266</v>
      </c>
    </row>
    <row r="64" spans="1:2" x14ac:dyDescent="0.2">
      <c r="A64" t="s">
        <v>267</v>
      </c>
      <c r="B64" s="53">
        <v>0.1</v>
      </c>
    </row>
    <row r="65" spans="1:5" x14ac:dyDescent="0.2">
      <c r="A65" t="s">
        <v>79</v>
      </c>
      <c r="B65" s="53">
        <v>0.15</v>
      </c>
    </row>
    <row r="66" spans="1:5" x14ac:dyDescent="0.2">
      <c r="A66" t="s">
        <v>268</v>
      </c>
      <c r="B66" s="53">
        <v>0.05</v>
      </c>
    </row>
    <row r="67" spans="1:5" x14ac:dyDescent="0.2">
      <c r="A67" t="s">
        <v>269</v>
      </c>
      <c r="B67" s="53">
        <v>0.05</v>
      </c>
    </row>
    <row r="68" spans="1:5" x14ac:dyDescent="0.2">
      <c r="A68" t="s">
        <v>270</v>
      </c>
      <c r="B68" s="53">
        <v>0.1</v>
      </c>
    </row>
    <row r="71" spans="1:5" x14ac:dyDescent="0.2">
      <c r="A71" s="159" t="s">
        <v>322</v>
      </c>
      <c r="B71" s="133">
        <v>0</v>
      </c>
    </row>
    <row r="72" spans="1:5" x14ac:dyDescent="0.2">
      <c r="A72" s="159"/>
      <c r="B72" s="133">
        <v>1</v>
      </c>
    </row>
    <row r="73" spans="1:5" x14ac:dyDescent="0.2">
      <c r="A73" s="159" t="s">
        <v>323</v>
      </c>
      <c r="B73" s="133">
        <v>1</v>
      </c>
    </row>
    <row r="74" spans="1:5" x14ac:dyDescent="0.2">
      <c r="A74" s="159"/>
      <c r="B74" s="133">
        <v>2</v>
      </c>
    </row>
    <row r="75" spans="1:5" x14ac:dyDescent="0.2">
      <c r="A75" s="159"/>
      <c r="B75" s="133">
        <v>3</v>
      </c>
    </row>
    <row r="76" spans="1:5" x14ac:dyDescent="0.2">
      <c r="A76" s="159"/>
      <c r="B76" s="133">
        <v>4</v>
      </c>
    </row>
    <row r="77" spans="1:5" x14ac:dyDescent="0.2">
      <c r="C77" s="52" t="s">
        <v>144</v>
      </c>
      <c r="D77" s="52" t="s">
        <v>145</v>
      </c>
      <c r="E77" s="52" t="s">
        <v>146</v>
      </c>
    </row>
    <row r="78" spans="1:5" x14ac:dyDescent="0.2">
      <c r="A78" s="158" t="s">
        <v>324</v>
      </c>
    </row>
    <row r="79" spans="1:5" x14ac:dyDescent="0.2">
      <c r="A79" s="158"/>
      <c r="B79" t="s">
        <v>147</v>
      </c>
      <c r="C79" s="53">
        <v>0.33</v>
      </c>
      <c r="D79" s="54">
        <v>40</v>
      </c>
      <c r="E79">
        <f>D79*C79</f>
        <v>13.200000000000001</v>
      </c>
    </row>
    <row r="80" spans="1:5" x14ac:dyDescent="0.2">
      <c r="A80" s="158"/>
      <c r="B80" t="s">
        <v>148</v>
      </c>
      <c r="C80" s="53">
        <v>0.4</v>
      </c>
      <c r="D80" s="55">
        <v>16</v>
      </c>
      <c r="E80">
        <f t="shared" ref="E80:E98" si="2">D80*C80</f>
        <v>6.4</v>
      </c>
    </row>
    <row r="81" spans="1:5" x14ac:dyDescent="0.2">
      <c r="A81" s="158"/>
      <c r="B81" t="s">
        <v>149</v>
      </c>
      <c r="C81" s="53">
        <v>0.6</v>
      </c>
      <c r="D81" s="55">
        <v>12</v>
      </c>
      <c r="E81">
        <f t="shared" si="2"/>
        <v>7.1999999999999993</v>
      </c>
    </row>
    <row r="82" spans="1:5" x14ac:dyDescent="0.2">
      <c r="A82" s="158"/>
      <c r="B82" t="s">
        <v>150</v>
      </c>
      <c r="C82" s="53">
        <v>0.4</v>
      </c>
      <c r="D82" s="55">
        <v>80</v>
      </c>
      <c r="E82">
        <f t="shared" si="2"/>
        <v>32</v>
      </c>
    </row>
    <row r="83" spans="1:5" x14ac:dyDescent="0.2">
      <c r="A83" s="158"/>
      <c r="B83" t="s">
        <v>151</v>
      </c>
      <c r="C83" s="53">
        <v>0.5</v>
      </c>
      <c r="D83" s="55">
        <v>24</v>
      </c>
      <c r="E83">
        <f t="shared" si="2"/>
        <v>12</v>
      </c>
    </row>
    <row r="84" spans="1:5" x14ac:dyDescent="0.2">
      <c r="A84" s="158"/>
      <c r="B84" t="s">
        <v>152</v>
      </c>
      <c r="C84" s="53">
        <v>0.5</v>
      </c>
      <c r="D84" s="55">
        <v>16</v>
      </c>
      <c r="E84">
        <f t="shared" si="2"/>
        <v>8</v>
      </c>
    </row>
    <row r="85" spans="1:5" x14ac:dyDescent="0.2">
      <c r="A85" s="158"/>
      <c r="B85" t="s">
        <v>153</v>
      </c>
      <c r="C85" s="53">
        <v>0.4</v>
      </c>
      <c r="D85" s="55">
        <v>24</v>
      </c>
      <c r="E85">
        <f t="shared" si="2"/>
        <v>9.6000000000000014</v>
      </c>
    </row>
    <row r="86" spans="1:5" x14ac:dyDescent="0.2">
      <c r="A86" s="158"/>
      <c r="B86" t="s">
        <v>154</v>
      </c>
      <c r="C86" s="53">
        <v>0.7</v>
      </c>
      <c r="D86" s="55">
        <v>24</v>
      </c>
      <c r="E86">
        <f t="shared" si="2"/>
        <v>16.799999999999997</v>
      </c>
    </row>
    <row r="87" spans="1:5" x14ac:dyDescent="0.2">
      <c r="A87" s="158"/>
      <c r="B87" t="s">
        <v>155</v>
      </c>
      <c r="C87" s="53">
        <v>0.2</v>
      </c>
      <c r="D87" s="55">
        <v>20</v>
      </c>
      <c r="E87">
        <f t="shared" si="2"/>
        <v>4</v>
      </c>
    </row>
    <row r="88" spans="1:5" x14ac:dyDescent="0.2">
      <c r="A88" s="158"/>
      <c r="B88" t="s">
        <v>156</v>
      </c>
      <c r="C88" s="53">
        <v>0.2</v>
      </c>
      <c r="D88" s="55">
        <v>20</v>
      </c>
      <c r="E88">
        <f t="shared" si="2"/>
        <v>4</v>
      </c>
    </row>
    <row r="89" spans="1:5" x14ac:dyDescent="0.2">
      <c r="A89" s="158"/>
      <c r="B89" t="s">
        <v>157</v>
      </c>
      <c r="C89" s="53">
        <v>0.2</v>
      </c>
      <c r="D89" s="55">
        <v>28</v>
      </c>
      <c r="E89">
        <f t="shared" si="2"/>
        <v>5.6000000000000005</v>
      </c>
    </row>
    <row r="90" spans="1:5" x14ac:dyDescent="0.2">
      <c r="A90" s="158"/>
      <c r="B90" t="s">
        <v>158</v>
      </c>
      <c r="C90" s="53">
        <v>0.5</v>
      </c>
      <c r="D90" s="55">
        <v>24</v>
      </c>
      <c r="E90">
        <f t="shared" si="2"/>
        <v>12</v>
      </c>
    </row>
    <row r="91" spans="1:5" x14ac:dyDescent="0.2">
      <c r="A91" s="158"/>
      <c r="B91" t="s">
        <v>159</v>
      </c>
      <c r="C91" s="53">
        <v>0.6</v>
      </c>
      <c r="D91" s="55">
        <v>30</v>
      </c>
      <c r="E91">
        <f t="shared" si="2"/>
        <v>18</v>
      </c>
    </row>
    <row r="92" spans="1:5" x14ac:dyDescent="0.2">
      <c r="A92" s="158"/>
      <c r="B92" t="s">
        <v>160</v>
      </c>
      <c r="C92" s="53">
        <v>0.6</v>
      </c>
      <c r="D92" s="55">
        <v>16</v>
      </c>
      <c r="E92">
        <f t="shared" si="2"/>
        <v>9.6</v>
      </c>
    </row>
    <row r="93" spans="1:5" x14ac:dyDescent="0.2">
      <c r="A93" s="158"/>
      <c r="B93" t="s">
        <v>161</v>
      </c>
      <c r="C93" s="53">
        <v>0.1</v>
      </c>
      <c r="D93" s="55">
        <v>12</v>
      </c>
      <c r="E93">
        <f t="shared" si="2"/>
        <v>1.2000000000000002</v>
      </c>
    </row>
    <row r="94" spans="1:5" x14ac:dyDescent="0.2">
      <c r="A94" s="158"/>
      <c r="B94" t="s">
        <v>162</v>
      </c>
      <c r="C94" s="53">
        <v>0.1</v>
      </c>
      <c r="D94" s="55">
        <v>12</v>
      </c>
      <c r="E94">
        <f t="shared" si="2"/>
        <v>1.2000000000000002</v>
      </c>
    </row>
    <row r="95" spans="1:5" x14ac:dyDescent="0.2">
      <c r="A95" s="158"/>
      <c r="B95" t="s">
        <v>163</v>
      </c>
      <c r="C95" s="53">
        <v>0.6</v>
      </c>
      <c r="D95" s="55">
        <v>24</v>
      </c>
      <c r="E95">
        <f t="shared" si="2"/>
        <v>14.399999999999999</v>
      </c>
    </row>
    <row r="96" spans="1:5" x14ac:dyDescent="0.2">
      <c r="A96" s="158"/>
      <c r="B96" t="s">
        <v>164</v>
      </c>
      <c r="C96" s="53">
        <v>0.8</v>
      </c>
      <c r="D96" s="55">
        <v>12</v>
      </c>
      <c r="E96">
        <f t="shared" si="2"/>
        <v>9.6000000000000014</v>
      </c>
    </row>
    <row r="97" spans="1:5" x14ac:dyDescent="0.2">
      <c r="A97" s="158"/>
      <c r="B97" t="s">
        <v>165</v>
      </c>
      <c r="C97" s="53">
        <v>0.8</v>
      </c>
      <c r="D97" s="55">
        <v>16</v>
      </c>
      <c r="E97">
        <f t="shared" si="2"/>
        <v>12.8</v>
      </c>
    </row>
    <row r="98" spans="1:5" x14ac:dyDescent="0.2">
      <c r="A98" s="158"/>
      <c r="B98" t="s">
        <v>166</v>
      </c>
      <c r="C98" s="53">
        <v>0.3</v>
      </c>
      <c r="D98" s="55">
        <v>20</v>
      </c>
      <c r="E98">
        <f t="shared" si="2"/>
        <v>6</v>
      </c>
    </row>
  </sheetData>
  <mergeCells count="4">
    <mergeCell ref="A23:A24"/>
    <mergeCell ref="A71:A72"/>
    <mergeCell ref="A73:A76"/>
    <mergeCell ref="A78:A9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Estimator</vt:lpstr>
      <vt:lpstr>Effort Estimates</vt:lpstr>
      <vt:lpstr>Sprint Calculator</vt:lpstr>
      <vt:lpstr>Resource Plan</vt:lpstr>
      <vt:lpstr>Cost Estimates</vt:lpstr>
      <vt:lpstr>Plan</vt:lpstr>
      <vt:lpstr>Lookup</vt:lpstr>
      <vt:lpstr>Guidelines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Schwartz</dc:creator>
  <cp:lastModifiedBy>Microsoft Office User</cp:lastModifiedBy>
  <dcterms:created xsi:type="dcterms:W3CDTF">2015-07-28T19:53:34Z</dcterms:created>
  <dcterms:modified xsi:type="dcterms:W3CDTF">2017-03-14T14:27:43Z</dcterms:modified>
</cp:coreProperties>
</file>