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ramasubramanig/Documents/Projects/UI_UX/"/>
    </mc:Choice>
  </mc:AlternateContent>
  <bookViews>
    <workbookView xWindow="0" yWindow="460" windowWidth="25600" windowHeight="14240" tabRatio="500" activeTab="1"/>
  </bookViews>
  <sheets>
    <sheet name="Summary" sheetId="13" r:id="rId1"/>
    <sheet name="Project Parameters" sheetId="2" r:id="rId2"/>
    <sheet name="Requirements" sheetId="1" r:id="rId3"/>
    <sheet name="Effort Estimates" sheetId="10" r:id="rId4"/>
    <sheet name="Sprint Calculator" sheetId="5" state="hidden" r:id="rId5"/>
    <sheet name="Resource Plan" sheetId="7" state="hidden" r:id="rId6"/>
    <sheet name="Cost Estimates" sheetId="11" r:id="rId7"/>
    <sheet name="Plan" sheetId="8" r:id="rId8"/>
    <sheet name="Data" sheetId="3" r:id="rId9"/>
  </sheets>
  <externalReferences>
    <externalReference r:id="rId10"/>
  </externalReferences>
  <definedNames>
    <definedName name="COMPLEXITIES">'[1]Portal Dev'!$D$32:$D$36</definedName>
    <definedName name="DEV_CODING_EFFORT">'[1]Team Estimates'!$B$29</definedName>
    <definedName name="PHASES">'Resource Plan'!$F$15:$J$15</definedName>
    <definedName name="ROLES">'[1]Team Estimates'!$A$33:$A$57</definedName>
    <definedName name="TOTAL_CODING_EFFORT">'[1]Team Estimates'!$D$29</definedName>
    <definedName name="UI_CODING_EFFORT">'[1]Team Estimates'!$C$29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2" l="1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H18" i="2"/>
  <c r="F2" i="1"/>
  <c r="E2" i="1"/>
  <c r="F3" i="1"/>
  <c r="E3" i="1"/>
  <c r="F4" i="1"/>
  <c r="E4" i="1"/>
  <c r="F5" i="1"/>
  <c r="E5" i="1"/>
  <c r="F6" i="1"/>
  <c r="E6" i="1"/>
  <c r="F7" i="1"/>
  <c r="E7" i="1"/>
  <c r="F8" i="1"/>
  <c r="E8" i="1"/>
  <c r="F9" i="1"/>
  <c r="E9" i="1"/>
  <c r="F10" i="1"/>
  <c r="E10" i="1"/>
  <c r="F11" i="1"/>
  <c r="E11" i="1"/>
  <c r="F12" i="1"/>
  <c r="E12" i="1"/>
  <c r="F13" i="1"/>
  <c r="E13" i="1"/>
  <c r="F14" i="1"/>
  <c r="E14" i="1"/>
  <c r="F15" i="1"/>
  <c r="E15" i="1"/>
  <c r="F16" i="1"/>
  <c r="E16" i="1"/>
  <c r="F17" i="1"/>
  <c r="E17" i="1"/>
  <c r="J1" i="1"/>
  <c r="H19" i="2"/>
  <c r="F5" i="2"/>
  <c r="H20" i="2"/>
  <c r="F4" i="2"/>
  <c r="H21" i="2"/>
  <c r="C5" i="10"/>
  <c r="B2" i="2"/>
  <c r="B1" i="2"/>
  <c r="C2" i="10"/>
  <c r="C3" i="10"/>
  <c r="C25" i="8"/>
  <c r="D25" i="8"/>
  <c r="E25" i="8"/>
  <c r="F25" i="8"/>
  <c r="G25" i="8"/>
  <c r="H25" i="8"/>
  <c r="C26" i="8"/>
  <c r="D26" i="8"/>
  <c r="E26" i="8"/>
  <c r="F26" i="8"/>
  <c r="G26" i="8"/>
  <c r="H26" i="8"/>
  <c r="I25" i="8"/>
  <c r="I26" i="8"/>
  <c r="J25" i="8"/>
  <c r="J26" i="8"/>
  <c r="K25" i="8"/>
  <c r="K26" i="8"/>
  <c r="L25" i="8"/>
  <c r="L26" i="8"/>
  <c r="M25" i="8"/>
  <c r="M26" i="8"/>
  <c r="N25" i="8"/>
  <c r="N26" i="8"/>
  <c r="O25" i="8"/>
  <c r="O26" i="8"/>
  <c r="P25" i="8"/>
  <c r="P26" i="8"/>
  <c r="Q25" i="8"/>
  <c r="Q26" i="8"/>
  <c r="R25" i="8"/>
  <c r="R26" i="8"/>
  <c r="S25" i="8"/>
  <c r="S26" i="8"/>
  <c r="T25" i="8"/>
  <c r="T26" i="8"/>
  <c r="U25" i="8"/>
  <c r="U26" i="8"/>
  <c r="V25" i="8"/>
  <c r="V26" i="8"/>
  <c r="W25" i="8"/>
  <c r="W26" i="8"/>
  <c r="X25" i="8"/>
  <c r="X26" i="8"/>
  <c r="Y25" i="8"/>
  <c r="Y26" i="8"/>
  <c r="Z25" i="8"/>
  <c r="Z26" i="8"/>
  <c r="AA25" i="8"/>
  <c r="AA26" i="8"/>
  <c r="AB25" i="8"/>
  <c r="AB26" i="8"/>
  <c r="AC25" i="8"/>
  <c r="AC26" i="8"/>
  <c r="AD25" i="8"/>
  <c r="AD26" i="8"/>
  <c r="AE25" i="8"/>
  <c r="AE26" i="8"/>
  <c r="AF25" i="8"/>
  <c r="AF26" i="8"/>
  <c r="AG25" i="8"/>
  <c r="AG26" i="8"/>
  <c r="AH25" i="8"/>
  <c r="AH26" i="8"/>
  <c r="B10" i="8"/>
  <c r="B11" i="8"/>
  <c r="C11" i="10"/>
  <c r="B14" i="8"/>
  <c r="C6" i="10"/>
  <c r="B12" i="8"/>
  <c r="C8" i="10"/>
  <c r="B13" i="8"/>
  <c r="B16" i="8"/>
  <c r="B15" i="8"/>
  <c r="B20" i="8"/>
  <c r="C27" i="8"/>
  <c r="B3" i="11"/>
  <c r="C3" i="11"/>
  <c r="F3" i="11"/>
  <c r="E3" i="11"/>
  <c r="G3" i="11"/>
  <c r="C4" i="10"/>
  <c r="B4" i="11"/>
  <c r="C4" i="11"/>
  <c r="F4" i="11"/>
  <c r="E4" i="11"/>
  <c r="G4" i="11"/>
  <c r="B5" i="11"/>
  <c r="C5" i="11"/>
  <c r="F5" i="11"/>
  <c r="E5" i="11"/>
  <c r="G5" i="11"/>
  <c r="B6" i="11"/>
  <c r="C6" i="11"/>
  <c r="F6" i="11"/>
  <c r="E6" i="11"/>
  <c r="G6" i="11"/>
  <c r="C7" i="10"/>
  <c r="B7" i="11"/>
  <c r="C7" i="11"/>
  <c r="F7" i="11"/>
  <c r="E7" i="11"/>
  <c r="G7" i="11"/>
  <c r="C9" i="10"/>
  <c r="B8" i="11"/>
  <c r="C8" i="11"/>
  <c r="F8" i="11"/>
  <c r="E8" i="11"/>
  <c r="G8" i="11"/>
  <c r="C10" i="10"/>
  <c r="B9" i="11"/>
  <c r="C9" i="11"/>
  <c r="F9" i="11"/>
  <c r="E9" i="11"/>
  <c r="G9" i="11"/>
  <c r="B10" i="11"/>
  <c r="C10" i="11"/>
  <c r="F10" i="11"/>
  <c r="E10" i="11"/>
  <c r="G10" i="11"/>
  <c r="B2" i="11"/>
  <c r="C2" i="11"/>
  <c r="F2" i="11"/>
  <c r="F11" i="11"/>
  <c r="E2" i="11"/>
  <c r="E11" i="11"/>
  <c r="G11" i="11"/>
  <c r="G2" i="11"/>
  <c r="D14" i="11"/>
  <c r="G11" i="13"/>
  <c r="C12" i="10"/>
  <c r="B3" i="8"/>
  <c r="G13" i="13"/>
  <c r="G12" i="13"/>
  <c r="D2" i="11"/>
  <c r="D3" i="11"/>
  <c r="D4" i="11"/>
  <c r="D5" i="11"/>
  <c r="D6" i="11"/>
  <c r="D7" i="11"/>
  <c r="D8" i="11"/>
  <c r="D9" i="11"/>
  <c r="D10" i="11"/>
  <c r="D11" i="11"/>
  <c r="D13" i="11"/>
  <c r="G10" i="13"/>
  <c r="J2" i="1"/>
  <c r="C13" i="10"/>
  <c r="G9" i="13"/>
  <c r="G8" i="13"/>
  <c r="C11" i="11"/>
  <c r="B11" i="11"/>
  <c r="A9" i="11"/>
  <c r="A8" i="11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B1" i="5"/>
  <c r="E4" i="5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E50" i="7"/>
  <c r="I50" i="7"/>
  <c r="E48" i="7"/>
  <c r="C48" i="7"/>
  <c r="D48" i="7"/>
  <c r="K48" i="7"/>
  <c r="C50" i="7"/>
  <c r="D50" i="7"/>
  <c r="K50" i="7"/>
  <c r="E52" i="7"/>
  <c r="C52" i="7"/>
  <c r="D52" i="7"/>
  <c r="K52" i="7"/>
  <c r="E58" i="7"/>
  <c r="C58" i="7"/>
  <c r="D58" i="7"/>
  <c r="K58" i="7"/>
  <c r="D15" i="7"/>
  <c r="E15" i="7"/>
  <c r="F16" i="7"/>
  <c r="G16" i="7"/>
  <c r="H16" i="7"/>
  <c r="I16" i="7"/>
  <c r="J16" i="7"/>
  <c r="K16" i="7"/>
  <c r="F17" i="7"/>
  <c r="G17" i="7"/>
  <c r="H17" i="7"/>
  <c r="I17" i="7"/>
  <c r="J17" i="7"/>
  <c r="K17" i="7"/>
  <c r="F18" i="7"/>
  <c r="G18" i="7"/>
  <c r="H18" i="7"/>
  <c r="I18" i="7"/>
  <c r="J18" i="7"/>
  <c r="K18" i="7"/>
  <c r="F19" i="7"/>
  <c r="G19" i="7"/>
  <c r="H19" i="7"/>
  <c r="I19" i="7"/>
  <c r="J19" i="7"/>
  <c r="K19" i="7"/>
  <c r="F20" i="7"/>
  <c r="G20" i="7"/>
  <c r="H20" i="7"/>
  <c r="I20" i="7"/>
  <c r="J20" i="7"/>
  <c r="K20" i="7"/>
  <c r="F21" i="7"/>
  <c r="G21" i="7"/>
  <c r="H21" i="7"/>
  <c r="I21" i="7"/>
  <c r="J21" i="7"/>
  <c r="K21" i="7"/>
  <c r="F22" i="7"/>
  <c r="G22" i="7"/>
  <c r="H22" i="7"/>
  <c r="I22" i="7"/>
  <c r="J22" i="7"/>
  <c r="K22" i="7"/>
  <c r="F23" i="7"/>
  <c r="G23" i="7"/>
  <c r="H23" i="7"/>
  <c r="I23" i="7"/>
  <c r="J23" i="7"/>
  <c r="K23" i="7"/>
  <c r="F24" i="7"/>
  <c r="G24" i="7"/>
  <c r="H24" i="7"/>
  <c r="I24" i="7"/>
  <c r="J24" i="7"/>
  <c r="K24" i="7"/>
  <c r="F25" i="7"/>
  <c r="G25" i="7"/>
  <c r="H25" i="7"/>
  <c r="I25" i="7"/>
  <c r="J25" i="7"/>
  <c r="K25" i="7"/>
  <c r="F26" i="7"/>
  <c r="G26" i="7"/>
  <c r="H26" i="7"/>
  <c r="I26" i="7"/>
  <c r="J26" i="7"/>
  <c r="K26" i="7"/>
  <c r="F27" i="7"/>
  <c r="G27" i="7"/>
  <c r="H27" i="7"/>
  <c r="I27" i="7"/>
  <c r="J27" i="7"/>
  <c r="K27" i="7"/>
  <c r="F28" i="7"/>
  <c r="G28" i="7"/>
  <c r="H28" i="7"/>
  <c r="I28" i="7"/>
  <c r="J28" i="7"/>
  <c r="K28" i="7"/>
  <c r="F29" i="7"/>
  <c r="G29" i="7"/>
  <c r="H29" i="7"/>
  <c r="I29" i="7"/>
  <c r="J29" i="7"/>
  <c r="K29" i="7"/>
  <c r="F30" i="7"/>
  <c r="G30" i="7"/>
  <c r="H30" i="7"/>
  <c r="I30" i="7"/>
  <c r="J30" i="7"/>
  <c r="K30" i="7"/>
  <c r="F31" i="7"/>
  <c r="G31" i="7"/>
  <c r="H31" i="7"/>
  <c r="I31" i="7"/>
  <c r="J31" i="7"/>
  <c r="K31" i="7"/>
  <c r="F32" i="7"/>
  <c r="G32" i="7"/>
  <c r="H32" i="7"/>
  <c r="I32" i="7"/>
  <c r="J32" i="7"/>
  <c r="K32" i="7"/>
  <c r="F33" i="7"/>
  <c r="G33" i="7"/>
  <c r="H33" i="7"/>
  <c r="I33" i="7"/>
  <c r="J33" i="7"/>
  <c r="K33" i="7"/>
  <c r="F34" i="7"/>
  <c r="G34" i="7"/>
  <c r="H34" i="7"/>
  <c r="I34" i="7"/>
  <c r="J34" i="7"/>
  <c r="K34" i="7"/>
  <c r="F35" i="7"/>
  <c r="G35" i="7"/>
  <c r="H35" i="7"/>
  <c r="I35" i="7"/>
  <c r="J35" i="7"/>
  <c r="K35" i="7"/>
  <c r="F36" i="7"/>
  <c r="G36" i="7"/>
  <c r="H36" i="7"/>
  <c r="I36" i="7"/>
  <c r="J36" i="7"/>
  <c r="K36" i="7"/>
  <c r="F37" i="7"/>
  <c r="G37" i="7"/>
  <c r="H37" i="7"/>
  <c r="I37" i="7"/>
  <c r="J37" i="7"/>
  <c r="K37" i="7"/>
  <c r="F38" i="7"/>
  <c r="G38" i="7"/>
  <c r="H38" i="7"/>
  <c r="I38" i="7"/>
  <c r="J38" i="7"/>
  <c r="K38" i="7"/>
  <c r="F39" i="7"/>
  <c r="G39" i="7"/>
  <c r="H39" i="7"/>
  <c r="I39" i="7"/>
  <c r="J39" i="7"/>
  <c r="K39" i="7"/>
  <c r="F40" i="7"/>
  <c r="G40" i="7"/>
  <c r="H40" i="7"/>
  <c r="I40" i="7"/>
  <c r="J40" i="7"/>
  <c r="K40" i="7"/>
  <c r="C41" i="7"/>
  <c r="D41" i="7"/>
  <c r="E41" i="7"/>
  <c r="F41" i="7"/>
  <c r="H41" i="7"/>
  <c r="I41" i="7"/>
  <c r="J41" i="7"/>
  <c r="K41" i="7"/>
  <c r="C45" i="7"/>
  <c r="D45" i="7"/>
  <c r="E45" i="7"/>
  <c r="F45" i="7"/>
  <c r="G45" i="7"/>
  <c r="H45" i="7"/>
  <c r="I45" i="7"/>
  <c r="J45" i="7"/>
  <c r="K45" i="7"/>
  <c r="C46" i="7"/>
  <c r="D46" i="7"/>
  <c r="E46" i="7"/>
  <c r="F46" i="7"/>
  <c r="G46" i="7"/>
  <c r="H46" i="7"/>
  <c r="I46" i="7"/>
  <c r="J46" i="7"/>
  <c r="K46" i="7"/>
  <c r="C47" i="7"/>
  <c r="D47" i="7"/>
  <c r="E47" i="7"/>
  <c r="F47" i="7"/>
  <c r="G47" i="7"/>
  <c r="H47" i="7"/>
  <c r="I47" i="7"/>
  <c r="J47" i="7"/>
  <c r="K47" i="7"/>
  <c r="F48" i="7"/>
  <c r="G48" i="7"/>
  <c r="H48" i="7"/>
  <c r="I48" i="7"/>
  <c r="J48" i="7"/>
  <c r="C49" i="7"/>
  <c r="D49" i="7"/>
  <c r="E49" i="7"/>
  <c r="F49" i="7"/>
  <c r="G49" i="7"/>
  <c r="H49" i="7"/>
  <c r="I49" i="7"/>
  <c r="J49" i="7"/>
  <c r="K49" i="7"/>
  <c r="F50" i="7"/>
  <c r="G50" i="7"/>
  <c r="H50" i="7"/>
  <c r="J50" i="7"/>
  <c r="C51" i="7"/>
  <c r="D51" i="7"/>
  <c r="E51" i="7"/>
  <c r="F51" i="7"/>
  <c r="G51" i="7"/>
  <c r="H51" i="7"/>
  <c r="I51" i="7"/>
  <c r="J51" i="7"/>
  <c r="K51" i="7"/>
  <c r="F52" i="7"/>
  <c r="G52" i="7"/>
  <c r="H52" i="7"/>
  <c r="I52" i="7"/>
  <c r="J52" i="7"/>
  <c r="C53" i="7"/>
  <c r="D53" i="7"/>
  <c r="E53" i="7"/>
  <c r="F53" i="7"/>
  <c r="G53" i="7"/>
  <c r="H53" i="7"/>
  <c r="I53" i="7"/>
  <c r="J53" i="7"/>
  <c r="K53" i="7"/>
  <c r="C54" i="7"/>
  <c r="D54" i="7"/>
  <c r="E54" i="7"/>
  <c r="F54" i="7"/>
  <c r="G54" i="7"/>
  <c r="H54" i="7"/>
  <c r="I54" i="7"/>
  <c r="J54" i="7"/>
  <c r="K54" i="7"/>
  <c r="C55" i="7"/>
  <c r="D55" i="7"/>
  <c r="E55" i="7"/>
  <c r="F55" i="7"/>
  <c r="G55" i="7"/>
  <c r="H55" i="7"/>
  <c r="I55" i="7"/>
  <c r="J55" i="7"/>
  <c r="K55" i="7"/>
  <c r="C56" i="7"/>
  <c r="D56" i="7"/>
  <c r="E56" i="7"/>
  <c r="F56" i="7"/>
  <c r="G56" i="7"/>
  <c r="H56" i="7"/>
  <c r="I56" i="7"/>
  <c r="J56" i="7"/>
  <c r="K56" i="7"/>
  <c r="C57" i="7"/>
  <c r="D57" i="7"/>
  <c r="E57" i="7"/>
  <c r="F57" i="7"/>
  <c r="G57" i="7"/>
  <c r="H57" i="7"/>
  <c r="I57" i="7"/>
  <c r="J57" i="7"/>
  <c r="K57" i="7"/>
  <c r="F58" i="7"/>
  <c r="G58" i="7"/>
  <c r="H58" i="7"/>
  <c r="I58" i="7"/>
  <c r="J58" i="7"/>
  <c r="C59" i="7"/>
  <c r="D59" i="7"/>
  <c r="E59" i="7"/>
  <c r="F59" i="7"/>
  <c r="G59" i="7"/>
  <c r="H59" i="7"/>
  <c r="I59" i="7"/>
  <c r="J59" i="7"/>
  <c r="K59" i="7"/>
  <c r="C60" i="7"/>
  <c r="D60" i="7"/>
  <c r="E60" i="7"/>
  <c r="F60" i="7"/>
  <c r="G60" i="7"/>
  <c r="H60" i="7"/>
  <c r="I60" i="7"/>
  <c r="J60" i="7"/>
  <c r="K60" i="7"/>
  <c r="C61" i="7"/>
  <c r="D61" i="7"/>
  <c r="E61" i="7"/>
  <c r="F61" i="7"/>
  <c r="G61" i="7"/>
  <c r="H61" i="7"/>
  <c r="I61" i="7"/>
  <c r="J61" i="7"/>
  <c r="K61" i="7"/>
  <c r="C62" i="7"/>
  <c r="D62" i="7"/>
  <c r="E62" i="7"/>
  <c r="F62" i="7"/>
  <c r="G62" i="7"/>
  <c r="H62" i="7"/>
  <c r="I62" i="7"/>
  <c r="J62" i="7"/>
  <c r="K62" i="7"/>
  <c r="C63" i="7"/>
  <c r="D63" i="7"/>
  <c r="E63" i="7"/>
  <c r="F63" i="7"/>
  <c r="G63" i="7"/>
  <c r="H63" i="7"/>
  <c r="I63" i="7"/>
  <c r="J63" i="7"/>
  <c r="K63" i="7"/>
  <c r="C64" i="7"/>
  <c r="D64" i="7"/>
  <c r="E64" i="7"/>
  <c r="F64" i="7"/>
  <c r="G64" i="7"/>
  <c r="H64" i="7"/>
  <c r="I64" i="7"/>
  <c r="J64" i="7"/>
  <c r="K64" i="7"/>
  <c r="C65" i="7"/>
  <c r="D65" i="7"/>
  <c r="E65" i="7"/>
  <c r="F65" i="7"/>
  <c r="G65" i="7"/>
  <c r="H65" i="7"/>
  <c r="I65" i="7"/>
  <c r="J65" i="7"/>
  <c r="K65" i="7"/>
  <c r="C66" i="7"/>
  <c r="D66" i="7"/>
  <c r="E66" i="7"/>
  <c r="F66" i="7"/>
  <c r="G66" i="7"/>
  <c r="H66" i="7"/>
  <c r="I66" i="7"/>
  <c r="J66" i="7"/>
  <c r="K66" i="7"/>
  <c r="C67" i="7"/>
  <c r="D67" i="7"/>
  <c r="E67" i="7"/>
  <c r="F67" i="7"/>
  <c r="G67" i="7"/>
  <c r="H67" i="7"/>
  <c r="I67" i="7"/>
  <c r="J67" i="7"/>
  <c r="K67" i="7"/>
  <c r="C68" i="7"/>
  <c r="D68" i="7"/>
  <c r="E68" i="7"/>
  <c r="F68" i="7"/>
  <c r="G68" i="7"/>
  <c r="H68" i="7"/>
  <c r="I68" i="7"/>
  <c r="J68" i="7"/>
  <c r="K68" i="7"/>
  <c r="C69" i="7"/>
  <c r="D69" i="7"/>
  <c r="E69" i="7"/>
  <c r="F69" i="7"/>
  <c r="G69" i="7"/>
  <c r="H69" i="7"/>
  <c r="I69" i="7"/>
  <c r="J69" i="7"/>
  <c r="K69" i="7"/>
  <c r="C70" i="7"/>
  <c r="D70" i="7"/>
  <c r="E70" i="7"/>
  <c r="F70" i="7"/>
  <c r="G70" i="7"/>
  <c r="H70" i="7"/>
  <c r="I70" i="7"/>
  <c r="J70" i="7"/>
  <c r="K70" i="7"/>
  <c r="B5" i="5"/>
  <c r="B8" i="5"/>
  <c r="B12" i="5"/>
  <c r="B15" i="5"/>
</calcChain>
</file>

<file path=xl/comments1.xml><?xml version="1.0" encoding="utf-8"?>
<comments xmlns="http://schemas.openxmlformats.org/spreadsheetml/2006/main">
  <authors>
    <author>Mark</author>
  </authors>
  <commentList>
    <comment ref="C15" authorId="0">
      <text>
        <r>
          <rPr>
            <sz val="9"/>
            <color indexed="81"/>
            <rFont val="Tahoma"/>
            <family val="2"/>
          </rPr>
          <t>Enter project start date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Does'nt include UAT since UAT will be done by Clients</t>
        </r>
      </text>
    </comment>
  </commentList>
</comments>
</file>

<file path=xl/sharedStrings.xml><?xml version="1.0" encoding="utf-8"?>
<sst xmlns="http://schemas.openxmlformats.org/spreadsheetml/2006/main" count="379" uniqueCount="263">
  <si>
    <t>Requirement</t>
  </si>
  <si>
    <t>Requirement Type</t>
  </si>
  <si>
    <t>New</t>
  </si>
  <si>
    <t>Project Type</t>
  </si>
  <si>
    <t>App Type</t>
  </si>
  <si>
    <t>Hybrid</t>
  </si>
  <si>
    <t>Native</t>
  </si>
  <si>
    <t>App Framework</t>
  </si>
  <si>
    <t>AngularJS</t>
  </si>
  <si>
    <t>UI Framework</t>
  </si>
  <si>
    <t>Ionic</t>
  </si>
  <si>
    <t>Choc Chip</t>
  </si>
  <si>
    <t>Zurb</t>
  </si>
  <si>
    <t>Jquery</t>
  </si>
  <si>
    <t>Dojo</t>
  </si>
  <si>
    <t>Other</t>
  </si>
  <si>
    <t>Components</t>
  </si>
  <si>
    <t>Plugin Development</t>
  </si>
  <si>
    <t>Plugin Integration</t>
  </si>
  <si>
    <t>TouchID</t>
  </si>
  <si>
    <t>On-Device Storage</t>
  </si>
  <si>
    <t>Security Integration</t>
  </si>
  <si>
    <t>Complexity</t>
  </si>
  <si>
    <t>Very Low</t>
  </si>
  <si>
    <t>Low</t>
  </si>
  <si>
    <t>Medium</t>
  </si>
  <si>
    <t>High</t>
  </si>
  <si>
    <t>Very High</t>
  </si>
  <si>
    <t>UI - Static</t>
  </si>
  <si>
    <t>UI - Dynamic</t>
  </si>
  <si>
    <t>UI - Input</t>
  </si>
  <si>
    <t>App Logic</t>
  </si>
  <si>
    <t>Service Consumer</t>
  </si>
  <si>
    <t>Service Development</t>
  </si>
  <si>
    <t>Backend Technology</t>
  </si>
  <si>
    <t>MobileFirst</t>
  </si>
  <si>
    <t>SAP</t>
  </si>
  <si>
    <t>Parse</t>
  </si>
  <si>
    <t>Custom</t>
  </si>
  <si>
    <t>Enhancement</t>
  </si>
  <si>
    <t>Security</t>
  </si>
  <si>
    <t>Containerization</t>
  </si>
  <si>
    <t>None</t>
  </si>
  <si>
    <t>Good</t>
  </si>
  <si>
    <t>AirWatch</t>
  </si>
  <si>
    <t>BlueMix</t>
  </si>
  <si>
    <t>Two-factor</t>
  </si>
  <si>
    <t>Analytics</t>
  </si>
  <si>
    <t>Google Analytics</t>
  </si>
  <si>
    <t>TeaLeaf</t>
  </si>
  <si>
    <t>CA</t>
  </si>
  <si>
    <t>Push Notification</t>
  </si>
  <si>
    <t>APN</t>
  </si>
  <si>
    <t>Google Cloud Messenger</t>
  </si>
  <si>
    <t>Menu</t>
  </si>
  <si>
    <t>GeoFencing</t>
  </si>
  <si>
    <t>GeoLocation/Maps</t>
  </si>
  <si>
    <t>Gesture Input</t>
  </si>
  <si>
    <t>Animation</t>
  </si>
  <si>
    <t>NFC</t>
  </si>
  <si>
    <t>Team Competency</t>
  </si>
  <si>
    <t>Team Compency</t>
  </si>
  <si>
    <t>All Experts</t>
  </si>
  <si>
    <t>Mostly Experts</t>
  </si>
  <si>
    <t>Mostly New</t>
  </si>
  <si>
    <t>No Experience</t>
  </si>
  <si>
    <t>Team Composition</t>
  </si>
  <si>
    <t>All onshore</t>
  </si>
  <si>
    <t>All offshore</t>
  </si>
  <si>
    <t>Most onshore</t>
  </si>
  <si>
    <t>Most offshore</t>
  </si>
  <si>
    <t>Notes</t>
  </si>
  <si>
    <t>Push Notifications</t>
  </si>
  <si>
    <t>Google and Apple</t>
  </si>
  <si>
    <t>Xtify</t>
  </si>
  <si>
    <t>Baseline Effort</t>
  </si>
  <si>
    <t>Modified Effort</t>
  </si>
  <si>
    <t>Platform Port</t>
  </si>
  <si>
    <t>Rewrite</t>
  </si>
  <si>
    <t>Aspect Modifier</t>
  </si>
  <si>
    <t>Team Modifier</t>
  </si>
  <si>
    <t xml:space="preserve"> Complexity</t>
  </si>
  <si>
    <t>SAML</t>
  </si>
  <si>
    <t>Direct Authentication</t>
  </si>
  <si>
    <t>Development Effort</t>
  </si>
  <si>
    <t>Total Development Effort:</t>
  </si>
  <si>
    <t>Development Effort from Requirements</t>
  </si>
  <si>
    <t>Effort (with Team Composition Overhead)</t>
  </si>
  <si>
    <t>Development Effort - based on Project Type</t>
  </si>
  <si>
    <t>Testing %</t>
  </si>
  <si>
    <t>PM %</t>
  </si>
  <si>
    <t>Testing Effort</t>
  </si>
  <si>
    <t>PM Effort</t>
  </si>
  <si>
    <t>Architecture Effort</t>
  </si>
  <si>
    <t>Architecture %</t>
  </si>
  <si>
    <t>Total Estimate</t>
  </si>
  <si>
    <t>Design %</t>
  </si>
  <si>
    <t>Design Effort</t>
  </si>
  <si>
    <t>Dev Resource Roles</t>
  </si>
  <si>
    <t>Developer (onshore)</t>
  </si>
  <si>
    <t>Developer (offshore)</t>
  </si>
  <si>
    <t>Senior Developer (onshore)</t>
  </si>
  <si>
    <t>Senior Developer (offshore)</t>
  </si>
  <si>
    <t>PM Resources</t>
  </si>
  <si>
    <t>Architect Resources</t>
  </si>
  <si>
    <t>Testing Resources</t>
  </si>
  <si>
    <t>Creative Resources</t>
  </si>
  <si>
    <t>Category</t>
  </si>
  <si>
    <t>Detail</t>
  </si>
  <si>
    <t>Sprint Durations (in weeks)</t>
  </si>
  <si>
    <t>Number of Sprints</t>
  </si>
  <si>
    <t>Number of Developers</t>
  </si>
  <si>
    <t>Gantt Chart</t>
  </si>
  <si>
    <t>Inception</t>
  </si>
  <si>
    <t>Elaboration</t>
  </si>
  <si>
    <t>Construction</t>
  </si>
  <si>
    <t>Transition</t>
  </si>
  <si>
    <t>Production</t>
  </si>
  <si>
    <t>Iteration 1</t>
  </si>
  <si>
    <t>Iteration 3</t>
  </si>
  <si>
    <t>Iteration 4</t>
  </si>
  <si>
    <t>Iteration 5</t>
  </si>
  <si>
    <t>Iteration 6</t>
  </si>
  <si>
    <t>Resource Plan</t>
  </si>
  <si>
    <t>Resource Role</t>
  </si>
  <si>
    <t>BA-CR-UX1</t>
  </si>
  <si>
    <t>DA1</t>
  </si>
  <si>
    <t>Domain Architect</t>
  </si>
  <si>
    <t>PM1</t>
  </si>
  <si>
    <t>Project Manager</t>
  </si>
  <si>
    <t>DCDV1</t>
  </si>
  <si>
    <r>
      <t>Developer - Delivery Cent</t>
    </r>
    <r>
      <rPr>
        <sz val="12"/>
        <color theme="1"/>
        <rFont val="Calibri"/>
        <family val="2"/>
        <scheme val="minor"/>
      </rPr>
      <t>re</t>
    </r>
  </si>
  <si>
    <t>DCDV2</t>
  </si>
  <si>
    <t>Developer - Offshore</t>
  </si>
  <si>
    <t>DCUI1</t>
  </si>
  <si>
    <t>UI Developer - Onshore - Delivery Centre</t>
  </si>
  <si>
    <t>QAL1</t>
  </si>
  <si>
    <t>QA Lead</t>
  </si>
  <si>
    <t>OSQA1</t>
  </si>
  <si>
    <t>Functional Tester - Offshore</t>
  </si>
  <si>
    <t>INFS1</t>
  </si>
  <si>
    <t>Dev Lead - Offshore</t>
  </si>
  <si>
    <t>DD1</t>
  </si>
  <si>
    <t>Delivery Executive</t>
  </si>
  <si>
    <t>DCCR1</t>
  </si>
  <si>
    <r>
      <t>Delivery Cent</t>
    </r>
    <r>
      <rPr>
        <sz val="12"/>
        <color theme="1"/>
        <rFont val="Calibri"/>
        <family val="2"/>
        <scheme val="minor"/>
      </rPr>
      <t>re</t>
    </r>
    <r>
      <rPr>
        <sz val="12"/>
        <color theme="1"/>
        <rFont val="Calibri"/>
        <family val="2"/>
        <scheme val="minor"/>
      </rPr>
      <t xml:space="preserve"> - Coordinator </t>
    </r>
  </si>
  <si>
    <t>OSQAL1</t>
  </si>
  <si>
    <t>QA Lead - Offshore</t>
  </si>
  <si>
    <t>UX Architect</t>
  </si>
  <si>
    <t>User Experience Architect</t>
  </si>
  <si>
    <t>Creative</t>
  </si>
  <si>
    <t>Creative Designer</t>
  </si>
  <si>
    <t>Infrastructure Specialist</t>
  </si>
  <si>
    <t>TOTAL HOURS</t>
  </si>
  <si>
    <t>Total</t>
  </si>
  <si>
    <t>Comparison to Estimates</t>
  </si>
  <si>
    <t>Totals from Resource Plan</t>
  </si>
  <si>
    <t>Totals</t>
  </si>
  <si>
    <t>Business Analyst</t>
  </si>
  <si>
    <t>Login</t>
  </si>
  <si>
    <t>Get Data</t>
  </si>
  <si>
    <t>% Savings</t>
  </si>
  <si>
    <t>Total No of Hours</t>
  </si>
  <si>
    <t>Hours Saved</t>
  </si>
  <si>
    <t>Login Module</t>
  </si>
  <si>
    <t>BlueMix Services integration</t>
  </si>
  <si>
    <t>Push Notification Service</t>
  </si>
  <si>
    <t>IBM Connections App</t>
  </si>
  <si>
    <t>QR Code Scanner</t>
  </si>
  <si>
    <t>Basic Hybrid App Functions - Swipe to delete, Pull to refresh</t>
  </si>
  <si>
    <t>Comments &amp; Ratings</t>
  </si>
  <si>
    <t>File / Photo Upload</t>
  </si>
  <si>
    <t>Payment Gateway integrations</t>
  </si>
  <si>
    <t>Mobile Analytics - Google, AWS, BlueMix</t>
  </si>
  <si>
    <t>Build Scripts &amp; Publish</t>
  </si>
  <si>
    <t>Location based services</t>
  </si>
  <si>
    <t>Chat module</t>
  </si>
  <si>
    <t>Help text component</t>
  </si>
  <si>
    <t>Tying two ionic components (Tab and Side menu)</t>
  </si>
  <si>
    <t>Key Press Events</t>
  </si>
  <si>
    <t>Menu Gallery</t>
  </si>
  <si>
    <t>Date Picker Gallery</t>
  </si>
  <si>
    <t>Tablet Split View</t>
  </si>
  <si>
    <t>Project Creation plugin</t>
  </si>
  <si>
    <t>Resuable assets</t>
  </si>
  <si>
    <t>Reusable Assets</t>
  </si>
  <si>
    <t>Effort Saved</t>
  </si>
  <si>
    <t>Total Effort Saved</t>
  </si>
  <si>
    <t>Total Effort</t>
  </si>
  <si>
    <t>Sprint Duration</t>
  </si>
  <si>
    <t>No of developers</t>
  </si>
  <si>
    <t>No of testers</t>
  </si>
  <si>
    <t>UAT Support - Developers</t>
  </si>
  <si>
    <t>UAT Support - Testers</t>
  </si>
  <si>
    <t>UAT Sprint</t>
  </si>
  <si>
    <t>weeks</t>
  </si>
  <si>
    <t>Total no of sprints</t>
  </si>
  <si>
    <t>Architecture &amp; Design Sprint</t>
  </si>
  <si>
    <t>Construction Sprint</t>
  </si>
  <si>
    <t>QA Testing Sprint</t>
  </si>
  <si>
    <t>QA Support Sprint</t>
  </si>
  <si>
    <t>UAT Testing</t>
  </si>
  <si>
    <t>No of UAT Testers</t>
  </si>
  <si>
    <t>sprints</t>
  </si>
  <si>
    <t>Production &amp; Post Production Support</t>
  </si>
  <si>
    <t>SPRINT PLAN</t>
  </si>
  <si>
    <t>RESOURCE PLAN</t>
  </si>
  <si>
    <t>Production &amp; Post Production Support %</t>
  </si>
  <si>
    <t>Testing Support - Developers</t>
  </si>
  <si>
    <t>Production &amp; Post Production Sprint</t>
  </si>
  <si>
    <t>resources</t>
  </si>
  <si>
    <t>Production  &amp; Post Production Support</t>
  </si>
  <si>
    <t>QA Testing Support - Developers</t>
  </si>
  <si>
    <t>Week No</t>
  </si>
  <si>
    <t>Estimated Start Date</t>
  </si>
  <si>
    <t>Estimated End Date</t>
  </si>
  <si>
    <t>Testing Schedule</t>
  </si>
  <si>
    <t>UAT Schedule</t>
  </si>
  <si>
    <t>Development Schedule</t>
  </si>
  <si>
    <t>Production Schedule</t>
  </si>
  <si>
    <t>Total Schedule</t>
  </si>
  <si>
    <t>Design Schedule</t>
  </si>
  <si>
    <t>SCHEDULE PLAN</t>
  </si>
  <si>
    <t>EFFORT PLAN</t>
  </si>
  <si>
    <t>hours</t>
  </si>
  <si>
    <t>Total Effort Saved in development</t>
  </si>
  <si>
    <t>Architect</t>
  </si>
  <si>
    <t>Onsite</t>
  </si>
  <si>
    <t>Offshore</t>
  </si>
  <si>
    <t>UX Designer</t>
  </si>
  <si>
    <t>UI Developer</t>
  </si>
  <si>
    <t>QA Tester</t>
  </si>
  <si>
    <t>Designation</t>
  </si>
  <si>
    <t>Location</t>
  </si>
  <si>
    <t>Rate Card</t>
  </si>
  <si>
    <t>Task</t>
  </si>
  <si>
    <t>Effort(Hrs)</t>
  </si>
  <si>
    <t>Onsite Effort</t>
  </si>
  <si>
    <t>Architects</t>
  </si>
  <si>
    <t>Designers</t>
  </si>
  <si>
    <t>Project Managers</t>
  </si>
  <si>
    <t>QA testers</t>
  </si>
  <si>
    <t>Developers</t>
  </si>
  <si>
    <t>QA Support - Developers</t>
  </si>
  <si>
    <t>Resources</t>
  </si>
  <si>
    <t>Onsite Effort(hrs)</t>
  </si>
  <si>
    <t>Offshore Effort(hrs)</t>
  </si>
  <si>
    <t>Onsite Cost($)</t>
  </si>
  <si>
    <t>Offshore Cost($)</t>
  </si>
  <si>
    <t>Cost Saved due to Offshoring</t>
  </si>
  <si>
    <t>Cost if developed at Onsite</t>
  </si>
  <si>
    <t>Client Name</t>
  </si>
  <si>
    <t>Project Name</t>
  </si>
  <si>
    <t>Total Estimated Effort (hrs)</t>
  </si>
  <si>
    <t>Effort saved due to Sirius Assets</t>
  </si>
  <si>
    <t>Total Costs</t>
  </si>
  <si>
    <t>Cost Saved due to Sirius Offshore</t>
  </si>
  <si>
    <t>Total Costs($)</t>
  </si>
  <si>
    <t>Cost saved due to Sirius Offshore</t>
  </si>
  <si>
    <t>PROPOSAL SUMMARY</t>
  </si>
  <si>
    <t>Week Starting on</t>
  </si>
  <si>
    <t>Mattel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</si>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</sst>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m/d/yy;@"/>
    <numFmt numFmtId="168" formatCode="0;\-0;;@"/>
    <numFmt numFmtId="169" formatCode="_(* #,##0_);_(* \(#,##0\);_(* &quot;&quot;??_);_(@_)"/>
    <numFmt numFmtId="170" formatCode="0.0%"/>
    <numFmt numFmtId="171" formatCode="0.0"/>
    <numFmt numFmtId="172" formatCode="[$-409]d\-mmm;@"/>
    <numFmt numFmtId="173" formatCode="[$-409]d\-mmm\-yy;@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b/>
      <sz val="1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i/>
      <sz val="10"/>
      <name val="Arial"/>
      <family val="2"/>
    </font>
    <font>
      <sz val="11"/>
      <name val="Arial"/>
      <family val="2"/>
    </font>
    <font>
      <sz val="9"/>
      <color indexed="81"/>
      <name val="Tahoma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0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9" tint="0.39997558519241921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0"/>
      </top>
      <bottom style="thin">
        <color theme="9" tint="0.39997558519241921"/>
      </bottom>
      <diagonal/>
    </border>
    <border>
      <left style="thin">
        <color theme="0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0"/>
      </left>
      <right style="thin">
        <color theme="9" tint="0.39997558519241921"/>
      </right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ck">
        <color theme="0"/>
      </bottom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9" fillId="0" borderId="0">
      <alignment vertical="center"/>
    </xf>
    <xf numFmtId="38" fontId="16" fillId="0" borderId="0" applyProtection="0"/>
    <xf numFmtId="0" fontId="15" fillId="0" borderId="0"/>
    <xf numFmtId="0" fontId="15" fillId="0" borderId="0"/>
    <xf numFmtId="0" fontId="9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0" xfId="0" applyFont="1" applyFill="1"/>
    <xf numFmtId="0" fontId="0" fillId="8" borderId="0" xfId="0" applyFill="1"/>
    <xf numFmtId="0" fontId="5" fillId="9" borderId="0" xfId="0" applyFont="1" applyFill="1"/>
    <xf numFmtId="0" fontId="0" fillId="9" borderId="0" xfId="0" applyFill="1"/>
    <xf numFmtId="0" fontId="0" fillId="10" borderId="0" xfId="0" applyFill="1"/>
    <xf numFmtId="0" fontId="4" fillId="11" borderId="0" xfId="0" applyFont="1" applyFill="1"/>
    <xf numFmtId="0" fontId="4" fillId="12" borderId="0" xfId="0" applyFont="1" applyFill="1"/>
    <xf numFmtId="0" fontId="9" fillId="0" borderId="0" xfId="99" applyProtection="1"/>
    <xf numFmtId="3" fontId="8" fillId="15" borderId="1" xfId="99" applyNumberFormat="1" applyFont="1" applyFill="1" applyBorder="1" applyProtection="1"/>
    <xf numFmtId="0" fontId="8" fillId="15" borderId="1" xfId="99" applyFont="1" applyFill="1" applyBorder="1" applyAlignment="1" applyProtection="1">
      <alignment horizontal="right"/>
    </xf>
    <xf numFmtId="3" fontId="9" fillId="0" borderId="1" xfId="99" applyNumberFormat="1" applyFont="1" applyFill="1" applyBorder="1" applyProtection="1"/>
    <xf numFmtId="3" fontId="9" fillId="0" borderId="1" xfId="99" applyNumberFormat="1" applyFont="1" applyBorder="1" applyProtection="1"/>
    <xf numFmtId="169" fontId="9" fillId="0" borderId="1" xfId="99" applyNumberFormat="1" applyFont="1" applyFill="1" applyBorder="1" applyProtection="1"/>
    <xf numFmtId="168" fontId="9" fillId="0" borderId="1" xfId="99" applyNumberFormat="1" applyFont="1" applyBorder="1" applyProtection="1"/>
    <xf numFmtId="167" fontId="14" fillId="9" borderId="1" xfId="99" applyNumberFormat="1" applyFont="1" applyFill="1" applyBorder="1" applyAlignment="1" applyProtection="1">
      <alignment horizontal="center" textRotation="90"/>
    </xf>
    <xf numFmtId="0" fontId="8" fillId="0" borderId="0" xfId="99" applyFont="1" applyAlignment="1" applyProtection="1">
      <alignment vertical="top"/>
    </xf>
    <xf numFmtId="3" fontId="8" fillId="0" borderId="0" xfId="99" applyNumberFormat="1" applyFont="1" applyFill="1" applyBorder="1" applyProtection="1"/>
    <xf numFmtId="3" fontId="9" fillId="0" borderId="0" xfId="99" applyNumberFormat="1" applyFont="1" applyFill="1" applyBorder="1" applyProtection="1"/>
    <xf numFmtId="3" fontId="9" fillId="0" borderId="0" xfId="99" applyNumberFormat="1" applyFill="1" applyBorder="1" applyProtection="1"/>
    <xf numFmtId="3" fontId="9" fillId="13" borderId="1" xfId="99" applyNumberFormat="1" applyFont="1" applyFill="1" applyBorder="1" applyProtection="1">
      <protection locked="0"/>
    </xf>
    <xf numFmtId="0" fontId="9" fillId="0" borderId="1" xfId="99" applyBorder="1" applyProtection="1"/>
    <xf numFmtId="0" fontId="9" fillId="0" borderId="1" xfId="99" applyFont="1" applyBorder="1" applyProtection="1"/>
    <xf numFmtId="0" fontId="12" fillId="0" borderId="0" xfId="99" applyFont="1" applyProtection="1"/>
    <xf numFmtId="0" fontId="6" fillId="9" borderId="1" xfId="99" applyFont="1" applyFill="1" applyBorder="1" applyAlignment="1" applyProtection="1">
      <alignment horizontal="left"/>
    </xf>
    <xf numFmtId="167" fontId="12" fillId="9" borderId="1" xfId="99" applyNumberFormat="1" applyFont="1" applyFill="1" applyBorder="1" applyAlignment="1" applyProtection="1">
      <alignment horizontal="center" textRotation="90"/>
    </xf>
    <xf numFmtId="167" fontId="12" fillId="9" borderId="2" xfId="99" applyNumberFormat="1" applyFont="1" applyFill="1" applyBorder="1" applyAlignment="1" applyProtection="1">
      <alignment horizontal="center" textRotation="90"/>
    </xf>
    <xf numFmtId="167" fontId="12" fillId="13" borderId="2" xfId="99" applyNumberFormat="1" applyFont="1" applyFill="1" applyBorder="1" applyAlignment="1" applyProtection="1">
      <alignment horizontal="center" textRotation="90"/>
      <protection locked="0"/>
    </xf>
    <xf numFmtId="0" fontId="6" fillId="9" borderId="2" xfId="99" applyFont="1" applyFill="1" applyBorder="1" applyAlignment="1" applyProtection="1"/>
    <xf numFmtId="0" fontId="6" fillId="9" borderId="1" xfId="99" applyFont="1" applyFill="1" applyBorder="1" applyAlignment="1" applyProtection="1"/>
    <xf numFmtId="0" fontId="11" fillId="0" borderId="0" xfId="99" applyFont="1" applyFill="1" applyBorder="1" applyAlignment="1" applyProtection="1">
      <alignment horizontal="center"/>
    </xf>
    <xf numFmtId="0" fontId="8" fillId="9" borderId="2" xfId="99" applyFont="1" applyFill="1" applyBorder="1" applyAlignment="1" applyProtection="1"/>
    <xf numFmtId="0" fontId="11" fillId="0" borderId="2" xfId="99" applyFont="1" applyFill="1" applyBorder="1" applyAlignment="1" applyProtection="1">
      <alignment horizontal="center"/>
    </xf>
    <xf numFmtId="0" fontId="11" fillId="0" borderId="1" xfId="99" applyFont="1" applyFill="1" applyBorder="1" applyAlignment="1" applyProtection="1">
      <alignment horizontal="center"/>
    </xf>
    <xf numFmtId="0" fontId="10" fillId="0" borderId="0" xfId="99" applyFont="1" applyFill="1" applyBorder="1" applyAlignment="1" applyProtection="1">
      <alignment horizontal="center"/>
    </xf>
    <xf numFmtId="0" fontId="6" fillId="0" borderId="0" xfId="99" applyFont="1" applyFill="1" applyBorder="1" applyAlignment="1" applyProtection="1">
      <alignment horizontal="left"/>
    </xf>
    <xf numFmtId="3" fontId="9" fillId="0" borderId="0" xfId="99" applyNumberFormat="1" applyFont="1" applyFill="1" applyBorder="1" applyAlignment="1" applyProtection="1">
      <alignment horizontal="center"/>
    </xf>
    <xf numFmtId="0" fontId="9" fillId="0" borderId="0" xfId="99" applyFont="1" applyFill="1" applyBorder="1" applyAlignment="1" applyProtection="1">
      <alignment horizontal="right"/>
    </xf>
    <xf numFmtId="0" fontId="9" fillId="0" borderId="0" xfId="99" applyFont="1" applyFill="1" applyBorder="1" applyAlignment="1" applyProtection="1">
      <alignment horizontal="left"/>
      <protection locked="0"/>
    </xf>
    <xf numFmtId="0" fontId="8" fillId="0" borderId="0" xfId="99" applyFont="1" applyFill="1" applyBorder="1" applyAlignment="1" applyProtection="1">
      <alignment horizontal="right"/>
    </xf>
    <xf numFmtId="0" fontId="9" fillId="14" borderId="0" xfId="99" applyFont="1" applyFill="1" applyBorder="1" applyAlignment="1" applyProtection="1">
      <alignment horizontal="left"/>
      <protection locked="0"/>
    </xf>
    <xf numFmtId="0" fontId="7" fillId="13" borderId="0" xfId="99" applyFont="1" applyFill="1" applyBorder="1" applyAlignment="1" applyProtection="1">
      <alignment horizontal="left" textRotation="90"/>
      <protection locked="0"/>
    </xf>
    <xf numFmtId="0" fontId="8" fillId="9" borderId="2" xfId="99" applyFont="1" applyFill="1" applyBorder="1" applyAlignment="1" applyProtection="1">
      <alignment horizontal="left"/>
    </xf>
    <xf numFmtId="3" fontId="9" fillId="0" borderId="2" xfId="99" applyNumberFormat="1" applyFont="1" applyFill="1" applyBorder="1" applyProtection="1"/>
    <xf numFmtId="3" fontId="8" fillId="15" borderId="2" xfId="99" applyNumberFormat="1" applyFont="1" applyFill="1" applyBorder="1" applyProtection="1"/>
    <xf numFmtId="0" fontId="9" fillId="0" borderId="0" xfId="99" applyFill="1" applyBorder="1" applyProtection="1"/>
    <xf numFmtId="167" fontId="14" fillId="0" borderId="0" xfId="99" applyNumberFormat="1" applyFont="1" applyFill="1" applyBorder="1" applyAlignment="1" applyProtection="1">
      <alignment horizontal="center" textRotation="90"/>
    </xf>
    <xf numFmtId="0" fontId="8" fillId="0" borderId="0" xfId="99" applyFont="1" applyFill="1" applyBorder="1" applyAlignment="1" applyProtection="1">
      <alignment horizontal="left"/>
    </xf>
    <xf numFmtId="0" fontId="17" fillId="0" borderId="0" xfId="0" applyFont="1"/>
    <xf numFmtId="9" fontId="0" fillId="0" borderId="0" xfId="0" applyNumberFormat="1"/>
    <xf numFmtId="0" fontId="9" fillId="0" borderId="0" xfId="0" applyFont="1" applyAlignment="1">
      <alignment wrapText="1"/>
    </xf>
    <xf numFmtId="0" fontId="9" fillId="0" borderId="0" xfId="0" applyFont="1" applyAlignment="1"/>
    <xf numFmtId="170" fontId="0" fillId="0" borderId="0" xfId="150" applyNumberFormat="1" applyFont="1"/>
    <xf numFmtId="10" fontId="0" fillId="0" borderId="0" xfId="150" applyNumberFormat="1" applyFont="1"/>
    <xf numFmtId="171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172" fontId="0" fillId="0" borderId="0" xfId="0" applyNumberFormat="1"/>
    <xf numFmtId="172" fontId="17" fillId="9" borderId="0" xfId="0" applyNumberFormat="1" applyFont="1" applyFill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1" fontId="4" fillId="7" borderId="0" xfId="0" applyNumberFormat="1" applyFont="1" applyFill="1"/>
    <xf numFmtId="171" fontId="0" fillId="6" borderId="0" xfId="0" applyNumberFormat="1" applyFill="1"/>
    <xf numFmtId="171" fontId="0" fillId="3" borderId="0" xfId="0" applyNumberFormat="1" applyFill="1"/>
    <xf numFmtId="171" fontId="0" fillId="8" borderId="0" xfId="0" applyNumberFormat="1" applyFill="1"/>
    <xf numFmtId="171" fontId="17" fillId="17" borderId="0" xfId="0" applyNumberFormat="1" applyFont="1" applyFill="1"/>
    <xf numFmtId="171" fontId="18" fillId="12" borderId="0" xfId="0" applyNumberFormat="1" applyFont="1" applyFill="1"/>
    <xf numFmtId="173" fontId="0" fillId="0" borderId="0" xfId="0" applyNumberFormat="1"/>
    <xf numFmtId="9" fontId="18" fillId="12" borderId="0" xfId="150" applyNumberFormat="1" applyFont="1" applyFill="1"/>
    <xf numFmtId="0" fontId="17" fillId="0" borderId="0" xfId="0" applyFont="1" applyAlignment="1">
      <alignment horizontal="center"/>
    </xf>
    <xf numFmtId="171" fontId="17" fillId="0" borderId="0" xfId="0" applyNumberFormat="1" applyFont="1"/>
    <xf numFmtId="173" fontId="0" fillId="8" borderId="0" xfId="0" applyNumberFormat="1" applyFill="1"/>
    <xf numFmtId="0" fontId="18" fillId="12" borderId="0" xfId="0" applyFont="1" applyFill="1" applyAlignment="1">
      <alignment horizontal="center" vertical="center"/>
    </xf>
    <xf numFmtId="0" fontId="17" fillId="0" borderId="4" xfId="0" applyFont="1" applyBorder="1"/>
    <xf numFmtId="0" fontId="0" fillId="19" borderId="5" xfId="0" applyFont="1" applyFill="1" applyBorder="1"/>
    <xf numFmtId="0" fontId="0" fillId="0" borderId="5" xfId="0" applyFont="1" applyBorder="1"/>
    <xf numFmtId="0" fontId="0" fillId="19" borderId="6" xfId="0" applyFont="1" applyFill="1" applyBorder="1"/>
    <xf numFmtId="171" fontId="0" fillId="19" borderId="6" xfId="0" applyNumberFormat="1" applyFont="1" applyFill="1" applyBorder="1"/>
    <xf numFmtId="1" fontId="0" fillId="19" borderId="6" xfId="0" applyNumberFormat="1" applyFont="1" applyFill="1" applyBorder="1"/>
    <xf numFmtId="0" fontId="17" fillId="0" borderId="10" xfId="0" applyFont="1" applyBorder="1"/>
    <xf numFmtId="171" fontId="17" fillId="0" borderId="10" xfId="0" applyNumberFormat="1" applyFont="1" applyBorder="1"/>
    <xf numFmtId="1" fontId="17" fillId="0" borderId="10" xfId="0" applyNumberFormat="1" applyFont="1" applyBorder="1"/>
    <xf numFmtId="0" fontId="0" fillId="0" borderId="6" xfId="0" applyFont="1" applyBorder="1"/>
    <xf numFmtId="171" fontId="0" fillId="0" borderId="6" xfId="0" applyNumberFormat="1" applyFont="1" applyBorder="1"/>
    <xf numFmtId="1" fontId="0" fillId="0" borderId="6" xfId="0" applyNumberFormat="1" applyFont="1" applyBorder="1"/>
    <xf numFmtId="0" fontId="0" fillId="0" borderId="0" xfId="0" applyAlignment="1">
      <alignment wrapText="1"/>
    </xf>
    <xf numFmtId="10" fontId="0" fillId="19" borderId="13" xfId="150" applyNumberFormat="1" applyFont="1" applyFill="1" applyBorder="1" applyAlignment="1">
      <alignment wrapText="1"/>
    </xf>
    <xf numFmtId="171" fontId="0" fillId="19" borderId="7" xfId="0" applyNumberFormat="1" applyFont="1" applyFill="1" applyBorder="1" applyAlignment="1">
      <alignment wrapText="1"/>
    </xf>
    <xf numFmtId="171" fontId="0" fillId="0" borderId="9" xfId="0" applyNumberFormat="1" applyFont="1" applyBorder="1" applyAlignment="1">
      <alignment wrapText="1"/>
    </xf>
    <xf numFmtId="171" fontId="0" fillId="19" borderId="9" xfId="0" applyNumberFormat="1" applyFont="1" applyFill="1" applyBorder="1" applyAlignment="1">
      <alignment wrapText="1"/>
    </xf>
    <xf numFmtId="171" fontId="17" fillId="0" borderId="11" xfId="0" applyNumberFormat="1" applyFont="1" applyBorder="1" applyAlignment="1">
      <alignment wrapText="1"/>
    </xf>
    <xf numFmtId="0" fontId="18" fillId="18" borderId="5" xfId="0" applyFont="1" applyFill="1" applyBorder="1" applyAlignment="1">
      <alignment horizontal="center" vertical="center"/>
    </xf>
    <xf numFmtId="0" fontId="18" fillId="18" borderId="6" xfId="0" applyFont="1" applyFill="1" applyBorder="1" applyAlignment="1">
      <alignment horizontal="center" vertical="center"/>
    </xf>
    <xf numFmtId="0" fontId="18" fillId="18" borderId="5" xfId="0" applyFont="1" applyFill="1" applyBorder="1" applyAlignment="1">
      <alignment horizontal="center" vertical="center" wrapText="1"/>
    </xf>
    <xf numFmtId="0" fontId="18" fillId="18" borderId="12" xfId="0" applyFont="1" applyFill="1" applyBorder="1" applyAlignment="1">
      <alignment horizontal="center" vertical="center" wrapText="1"/>
    </xf>
    <xf numFmtId="10" fontId="17" fillId="0" borderId="0" xfId="0" applyNumberFormat="1" applyFont="1"/>
    <xf numFmtId="0" fontId="20" fillId="20" borderId="14" xfId="0" applyFont="1" applyFill="1" applyBorder="1"/>
    <xf numFmtId="0" fontId="20" fillId="20" borderId="8" xfId="0" applyFont="1" applyFill="1" applyBorder="1"/>
    <xf numFmtId="0" fontId="20" fillId="21" borderId="15" xfId="0" applyFont="1" applyFill="1" applyBorder="1"/>
    <xf numFmtId="0" fontId="20" fillId="21" borderId="3" xfId="0" applyFont="1" applyFill="1" applyBorder="1"/>
    <xf numFmtId="0" fontId="20" fillId="20" borderId="15" xfId="0" applyFont="1" applyFill="1" applyBorder="1"/>
    <xf numFmtId="0" fontId="20" fillId="20" borderId="3" xfId="0" applyFont="1" applyFill="1" applyBorder="1" applyAlignment="1">
      <alignment horizontal="left"/>
    </xf>
    <xf numFmtId="9" fontId="20" fillId="21" borderId="3" xfId="0" applyNumberFormat="1" applyFont="1" applyFill="1" applyBorder="1" applyAlignment="1">
      <alignment horizontal="left"/>
    </xf>
    <xf numFmtId="1" fontId="20" fillId="20" borderId="3" xfId="0" applyNumberFormat="1" applyFont="1" applyFill="1" applyBorder="1" applyAlignment="1">
      <alignment horizontal="left"/>
    </xf>
    <xf numFmtId="10" fontId="20" fillId="21" borderId="3" xfId="0" applyNumberFormat="1" applyFont="1" applyFill="1" applyBorder="1" applyAlignment="1">
      <alignment horizontal="left"/>
    </xf>
    <xf numFmtId="173" fontId="20" fillId="20" borderId="3" xfId="0" applyNumberFormat="1" applyFont="1" applyFill="1" applyBorder="1" applyAlignment="1">
      <alignment horizontal="left"/>
    </xf>
    <xf numFmtId="173" fontId="20" fillId="21" borderId="3" xfId="0" applyNumberFormat="1" applyFont="1" applyFill="1" applyBorder="1" applyAlignment="1">
      <alignment horizontal="left"/>
    </xf>
    <xf numFmtId="0" fontId="17" fillId="0" borderId="0" xfId="0" applyFont="1" applyAlignment="1">
      <alignment vertical="center"/>
    </xf>
    <xf numFmtId="0" fontId="21" fillId="22" borderId="0" xfId="0" applyFont="1" applyFill="1" applyAlignment="1">
      <alignment horizontal="center" vertical="center"/>
    </xf>
    <xf numFmtId="0" fontId="21" fillId="22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right"/>
    </xf>
    <xf numFmtId="0" fontId="0" fillId="6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18" fillId="12" borderId="0" xfId="0" applyFont="1" applyFill="1" applyAlignment="1">
      <alignment horizontal="center" vertical="center"/>
    </xf>
    <xf numFmtId="0" fontId="0" fillId="17" borderId="0" xfId="0" applyFill="1" applyAlignment="1">
      <alignment horizontal="left"/>
    </xf>
    <xf numFmtId="0" fontId="18" fillId="12" borderId="0" xfId="0" applyFont="1" applyFill="1" applyAlignment="1">
      <alignment horizontal="left"/>
    </xf>
    <xf numFmtId="0" fontId="8" fillId="9" borderId="1" xfId="99" applyFont="1" applyFill="1" applyBorder="1" applyAlignment="1" applyProtection="1">
      <alignment horizontal="center"/>
    </xf>
    <xf numFmtId="0" fontId="8" fillId="0" borderId="0" xfId="99" applyFont="1" applyFill="1" applyBorder="1" applyAlignment="1" applyProtection="1">
      <alignment horizontal="center"/>
    </xf>
    <xf numFmtId="0" fontId="8" fillId="9" borderId="2" xfId="99" applyFont="1" applyFill="1" applyBorder="1" applyAlignment="1" applyProtection="1">
      <alignment horizontal="center"/>
    </xf>
    <xf numFmtId="0" fontId="19" fillId="16" borderId="0" xfId="0" applyFont="1" applyFill="1" applyAlignment="1">
      <alignment horizontal="left"/>
    </xf>
  </cellXfs>
  <cellStyles count="153">
    <cellStyle name="Comma 2" xfId="100"/>
    <cellStyle name="Currency 2" xfId="101"/>
    <cellStyle name="Currency 2 2" xfId="10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1" builtinId="8" hidden="1"/>
    <cellStyle name="Normal" xfId="0" builtinId="0"/>
    <cellStyle name="Normal 2" xfId="99"/>
    <cellStyle name="Normal 2 2" xfId="103"/>
    <cellStyle name="Normal 3" xfId="104"/>
    <cellStyle name="Normal 4" xfId="105"/>
    <cellStyle name="Normal 4 2" xfId="106"/>
    <cellStyle name="Normal 5" xfId="107"/>
    <cellStyle name="Percent" xfId="150" builtinId="5"/>
  </cellStyles>
  <dxfs count="1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6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6" tint="-0.499984740745262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yanricigliano/Downloads/Avnet%20Est%20Model%20-%20%20Hitach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structure"/>
      <sheetName val="Inventory"/>
      <sheetName val="Portal Dev"/>
      <sheetName val="Other Dev"/>
      <sheetName val="Project Parameters"/>
      <sheetName val="Team Estimates"/>
      <sheetName val="Summary"/>
    </sheetNames>
    <sheetDataSet>
      <sheetData sheetId="0">
        <row r="1">
          <cell r="A1" t="str">
            <v>Template version: Beta 12.5</v>
          </cell>
        </row>
      </sheetData>
      <sheetData sheetId="1"/>
      <sheetData sheetId="2">
        <row r="32">
          <cell r="D32" t="str">
            <v>Very Low</v>
          </cell>
        </row>
        <row r="33">
          <cell r="D33" t="str">
            <v>Low</v>
          </cell>
        </row>
        <row r="34">
          <cell r="D34" t="str">
            <v>Medium</v>
          </cell>
        </row>
        <row r="35">
          <cell r="D35" t="str">
            <v>High</v>
          </cell>
        </row>
        <row r="36">
          <cell r="D36" t="str">
            <v>Very High</v>
          </cell>
        </row>
      </sheetData>
      <sheetData sheetId="3"/>
      <sheetData sheetId="4"/>
      <sheetData sheetId="5">
        <row r="29">
          <cell r="B29">
            <v>1226.6100000000001</v>
          </cell>
          <cell r="C29">
            <v>160.64999999999998</v>
          </cell>
          <cell r="D29">
            <v>1387.2600000000002</v>
          </cell>
        </row>
        <row r="33">
          <cell r="A33" t="str">
            <v>Business Analyst</v>
          </cell>
        </row>
        <row r="34">
          <cell r="A34" t="str">
            <v>Business Architect</v>
          </cell>
        </row>
        <row r="35">
          <cell r="A35" t="str">
            <v>User Experience Architect</v>
          </cell>
        </row>
        <row r="36">
          <cell r="A36" t="str">
            <v>Creative Designer</v>
          </cell>
        </row>
        <row r="37">
          <cell r="A37" t="str">
            <v>Solution Architect</v>
          </cell>
        </row>
        <row r="38">
          <cell r="A38" t="str">
            <v>Domain Architect</v>
          </cell>
        </row>
        <row r="39">
          <cell r="A39" t="str">
            <v>Developer - Onshore</v>
          </cell>
        </row>
        <row r="40">
          <cell r="A40" t="str">
            <v>Developer - Offshore</v>
          </cell>
        </row>
        <row r="41">
          <cell r="A41" t="str">
            <v>Dev Lead - Offshore</v>
          </cell>
        </row>
        <row r="42">
          <cell r="A42" t="str">
            <v>UI Developer - Onshore</v>
          </cell>
        </row>
        <row r="43">
          <cell r="A43" t="str">
            <v>UI Developer - Offshore</v>
          </cell>
        </row>
        <row r="44">
          <cell r="A44" t="str">
            <v>QA Lead</v>
          </cell>
        </row>
        <row r="45">
          <cell r="A45" t="str">
            <v>Functional Tester - Onshore</v>
          </cell>
        </row>
        <row r="46">
          <cell r="A46" t="str">
            <v>Functional Tester - Offshore</v>
          </cell>
        </row>
        <row r="47">
          <cell r="A47" t="str">
            <v>QA Lead - Offshore</v>
          </cell>
        </row>
        <row r="48">
          <cell r="A48" t="str">
            <v>Performance Tester</v>
          </cell>
        </row>
        <row r="49">
          <cell r="A49" t="str">
            <v>Configuration Manager</v>
          </cell>
        </row>
        <row r="50">
          <cell r="A50" t="str">
            <v>Infrastructure Specialist</v>
          </cell>
        </row>
        <row r="51">
          <cell r="A51" t="str">
            <v xml:space="preserve">Delivery Center - Coordinator </v>
          </cell>
        </row>
        <row r="52">
          <cell r="A52" t="str">
            <v>UI Developer - Delivery Centre</v>
          </cell>
        </row>
        <row r="53">
          <cell r="A53" t="str">
            <v>QA Lead - Delovery Centre</v>
          </cell>
        </row>
        <row r="54">
          <cell r="A54" t="str">
            <v>Developer - Delivery Centre</v>
          </cell>
        </row>
        <row r="56">
          <cell r="A56" t="str">
            <v>Project Manager</v>
          </cell>
        </row>
        <row r="57">
          <cell r="A57" t="str">
            <v>Delivery Executive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G13"/>
  <sheetViews>
    <sheetView workbookViewId="0">
      <selection activeCell="G8" sqref="G8"/>
    </sheetView>
  </sheetViews>
  <sheetFormatPr baseColWidth="10" defaultRowHeight="16" x14ac:dyDescent="0.2"/>
  <cols>
    <col min="6" max="6" width="50.83203125" customWidth="1"/>
    <col min="7" max="7" width="26.33203125" customWidth="1"/>
  </cols>
  <sheetData>
    <row r="4" spans="6:7" x14ac:dyDescent="0.2">
      <c r="F4" s="114" t="s">
        <v>259</v>
      </c>
      <c r="G4" s="114"/>
    </row>
    <row r="5" spans="6:7" ht="17" thickBot="1" x14ac:dyDescent="0.25">
      <c r="F5" s="115"/>
      <c r="G5" s="115"/>
    </row>
    <row r="6" spans="6:7" ht="27" thickTop="1" x14ac:dyDescent="0.3">
      <c r="F6" s="102" t="s">
        <v>251</v>
      </c>
      <c r="G6" s="103" t="s">
        <v>261</v>
      </c>
    </row>
    <row r="7" spans="6:7" ht="26" x14ac:dyDescent="0.3">
      <c r="F7" s="104" t="s">
        <v>252</v>
      </c>
      <c r="G7" s="105" t="s">
        <v>262</v>
      </c>
    </row>
    <row r="8" spans="6:7" ht="26" x14ac:dyDescent="0.3">
      <c r="F8" s="106" t="s">
        <v>253</v>
      </c>
      <c r="G8" s="107">
        <f>'Effort Estimates'!C12</f>
        <v>261</v>
      </c>
    </row>
    <row r="9" spans="6:7" ht="26" x14ac:dyDescent="0.3">
      <c r="F9" s="104" t="s">
        <v>254</v>
      </c>
      <c r="G9" s="108">
        <f>'Effort Estimates'!C13</f>
        <v>0.36976744186046512</v>
      </c>
    </row>
    <row r="10" spans="6:7" ht="26" x14ac:dyDescent="0.3">
      <c r="F10" s="106" t="s">
        <v>257</v>
      </c>
      <c r="G10" s="109">
        <f>'Cost Estimates'!D13</f>
        <v>14379.036671999998</v>
      </c>
    </row>
    <row r="11" spans="6:7" ht="26" x14ac:dyDescent="0.3">
      <c r="F11" s="104" t="s">
        <v>258</v>
      </c>
      <c r="G11" s="110">
        <f>'Cost Estimates'!D14</f>
        <v>0.73759318423855169</v>
      </c>
    </row>
    <row r="12" spans="6:7" ht="26" x14ac:dyDescent="0.3">
      <c r="F12" s="106" t="s">
        <v>214</v>
      </c>
      <c r="G12" s="111">
        <f>Plan!B19</f>
        <v>42767</v>
      </c>
    </row>
    <row r="13" spans="6:7" ht="26" x14ac:dyDescent="0.3">
      <c r="F13" s="104" t="s">
        <v>215</v>
      </c>
      <c r="G13" s="112">
        <f>Plan!B20</f>
        <v>42830</v>
      </c>
    </row>
  </sheetData>
  <mergeCells count="1">
    <mergeCell ref="F4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2" sqref="B12"/>
    </sheetView>
  </sheetViews>
  <sheetFormatPr baseColWidth="10" defaultRowHeight="16" x14ac:dyDescent="0.2"/>
  <cols>
    <col min="1" max="1" width="39.83203125" bestFit="1" customWidth="1"/>
    <col min="2" max="2" width="21.5" bestFit="1" customWidth="1"/>
    <col min="3" max="3" width="16.5" bestFit="1" customWidth="1"/>
    <col min="4" max="4" width="11.5" customWidth="1"/>
    <col min="5" max="5" width="13.1640625" bestFit="1" customWidth="1"/>
    <col min="6" max="6" width="17.5" customWidth="1"/>
    <col min="7" max="7" width="19.83203125" customWidth="1"/>
    <col min="8" max="8" width="13.6640625" bestFit="1" customWidth="1"/>
  </cols>
  <sheetData>
    <row r="1" spans="1:8" x14ac:dyDescent="0.2">
      <c r="A1" s="54" t="s">
        <v>251</v>
      </c>
      <c r="B1" t="str">
        <f>Summary!G6</f>
        <v>Mattel</v>
      </c>
    </row>
    <row r="2" spans="1:8" x14ac:dyDescent="0.2">
      <c r="A2" s="54" t="s">
        <v>252</v>
      </c>
      <c r="B2" t="str">
        <f>Summary!G7</f>
        <v>AG</v>
      </c>
    </row>
    <row r="3" spans="1:8" s="7" customFormat="1" x14ac:dyDescent="0.2">
      <c r="A3" s="7" t="s">
        <v>107</v>
      </c>
      <c r="B3" s="7" t="s">
        <v>108</v>
      </c>
      <c r="C3" s="7" t="s">
        <v>60</v>
      </c>
      <c r="D3" s="7" t="s">
        <v>71</v>
      </c>
      <c r="E3" s="7" t="s">
        <v>75</v>
      </c>
      <c r="F3" s="7" t="s">
        <v>79</v>
      </c>
      <c r="G3" s="7" t="s">
        <v>80</v>
      </c>
      <c r="H3" s="7" t="s">
        <v>76</v>
      </c>
    </row>
    <row r="4" spans="1:8" s="5" customFormat="1" x14ac:dyDescent="0.2">
      <c r="A4" s="5" t="s">
        <v>3</v>
      </c>
      <c r="B4" s="5" t="s">
        <v>2</v>
      </c>
      <c r="F4" s="5">
        <f>VLOOKUP(B4,Data!$AB$2:$AC$5,2,0)</f>
        <v>1</v>
      </c>
    </row>
    <row r="5" spans="1:8" s="4" customFormat="1" x14ac:dyDescent="0.2">
      <c r="A5" s="4" t="s">
        <v>66</v>
      </c>
      <c r="B5" s="4" t="s">
        <v>70</v>
      </c>
      <c r="F5" s="4">
        <f>IF(B5="All offshore",1.3,IF(B5="Most onshore",1.1,IF(B5="Most offshore",1.2,1)))</f>
        <v>1.2</v>
      </c>
    </row>
    <row r="6" spans="1:8" x14ac:dyDescent="0.2">
      <c r="A6" t="s">
        <v>4</v>
      </c>
      <c r="B6" t="s">
        <v>5</v>
      </c>
      <c r="C6" t="s">
        <v>63</v>
      </c>
      <c r="E6">
        <v>8</v>
      </c>
      <c r="F6">
        <f>IF(B6="Native",1.2,1)</f>
        <v>1</v>
      </c>
      <c r="G6">
        <f t="shared" ref="G6:G13" si="0">IF(C6="All Experts",0.95,IF(C6="Mostly New",1.2,IF(C6="No Experience",1.5,1)))</f>
        <v>1</v>
      </c>
      <c r="H6">
        <f t="shared" ref="H6:H13" si="1">E6*F6*G6</f>
        <v>8</v>
      </c>
    </row>
    <row r="7" spans="1:8" x14ac:dyDescent="0.2">
      <c r="A7" t="s">
        <v>7</v>
      </c>
      <c r="B7" t="s">
        <v>14</v>
      </c>
      <c r="C7" t="s">
        <v>63</v>
      </c>
      <c r="E7">
        <v>8</v>
      </c>
      <c r="F7">
        <f>IF(B7="AngularJS",1.2,IF(B7="Dojo",0.95,IF(B7="JQuery",0.93,1)))</f>
        <v>0.95</v>
      </c>
      <c r="G7">
        <f t="shared" si="0"/>
        <v>1</v>
      </c>
      <c r="H7">
        <f t="shared" si="1"/>
        <v>7.6</v>
      </c>
    </row>
    <row r="8" spans="1:8" x14ac:dyDescent="0.2">
      <c r="A8" t="s">
        <v>9</v>
      </c>
      <c r="B8" t="s">
        <v>10</v>
      </c>
      <c r="C8" t="s">
        <v>62</v>
      </c>
      <c r="E8">
        <v>8</v>
      </c>
      <c r="F8">
        <f>IF(B8="Ionic",1.2,IF(B8="Choc Chip",0.95,IF(B8="Zurb",0.93,1)))</f>
        <v>1.2</v>
      </c>
      <c r="G8">
        <f t="shared" si="0"/>
        <v>0.95</v>
      </c>
      <c r="H8">
        <f t="shared" si="1"/>
        <v>9.1199999999999992</v>
      </c>
    </row>
    <row r="9" spans="1:8" x14ac:dyDescent="0.2">
      <c r="A9" t="s">
        <v>34</v>
      </c>
      <c r="B9" t="s">
        <v>37</v>
      </c>
      <c r="C9" t="s">
        <v>63</v>
      </c>
      <c r="E9">
        <v>8</v>
      </c>
      <c r="F9">
        <f>IF(B9="MobileFirst",1.2,IF(B9="SAP",1.3,IF(B9="BlueMix",1.15,IF(B9="Parse",1.1,IF(B9="None",0,1)))))</f>
        <v>1.1000000000000001</v>
      </c>
      <c r="G9">
        <f t="shared" si="0"/>
        <v>1</v>
      </c>
      <c r="H9">
        <f t="shared" si="1"/>
        <v>8.8000000000000007</v>
      </c>
    </row>
    <row r="10" spans="1:8" x14ac:dyDescent="0.2">
      <c r="A10" t="s">
        <v>40</v>
      </c>
      <c r="B10" t="s">
        <v>82</v>
      </c>
      <c r="C10" t="s">
        <v>64</v>
      </c>
      <c r="E10">
        <v>8</v>
      </c>
      <c r="F10">
        <f>IF(B10="Two-factor",1.3,IF(B10="TouchID",1.1,IF(B10="SAML",1.2,IF(B10="None",0,1))))</f>
        <v>1.2</v>
      </c>
      <c r="G10">
        <f t="shared" si="0"/>
        <v>1.2</v>
      </c>
      <c r="H10">
        <f t="shared" si="1"/>
        <v>11.52</v>
      </c>
    </row>
    <row r="11" spans="1:8" x14ac:dyDescent="0.2">
      <c r="A11" t="s">
        <v>41</v>
      </c>
      <c r="E11">
        <v>8</v>
      </c>
      <c r="F11">
        <f>IF(B11="Good",1.3,IF(B11="AirWatch",1.2,IF(B11="None",0,1)))</f>
        <v>1</v>
      </c>
      <c r="G11">
        <f t="shared" si="0"/>
        <v>1</v>
      </c>
      <c r="H11">
        <f t="shared" si="1"/>
        <v>8</v>
      </c>
    </row>
    <row r="12" spans="1:8" x14ac:dyDescent="0.2">
      <c r="A12" t="s">
        <v>47</v>
      </c>
      <c r="E12">
        <v>8</v>
      </c>
      <c r="F12">
        <f>IF(B12="Tealeaf",1.3,IF(B12="CA",1.2,IF(B12="None",0,IF(B12="Google Analytics",1.1,1))))</f>
        <v>1</v>
      </c>
      <c r="G12">
        <f t="shared" si="0"/>
        <v>1</v>
      </c>
      <c r="H12">
        <f t="shared" si="1"/>
        <v>8</v>
      </c>
    </row>
    <row r="13" spans="1:8" x14ac:dyDescent="0.2">
      <c r="A13" t="s">
        <v>72</v>
      </c>
      <c r="E13">
        <v>8</v>
      </c>
      <c r="F13">
        <f>IF(B13="APN",1.2,IF(B13="Google and Apple",1.3,IF(B13="None",0,IF(B13="Xtify", 1.1,1))))</f>
        <v>1</v>
      </c>
      <c r="G13">
        <f t="shared" si="0"/>
        <v>1</v>
      </c>
      <c r="H13">
        <f t="shared" si="1"/>
        <v>8</v>
      </c>
    </row>
    <row r="18" spans="6:8" s="7" customFormat="1" x14ac:dyDescent="0.2">
      <c r="F18" s="116" t="s">
        <v>75</v>
      </c>
      <c r="G18" s="116"/>
      <c r="H18" s="67">
        <f>SUM(H6:H17)</f>
        <v>69.039999999999992</v>
      </c>
    </row>
    <row r="19" spans="6:8" x14ac:dyDescent="0.2">
      <c r="F19" s="117" t="s">
        <v>86</v>
      </c>
      <c r="G19" s="117"/>
      <c r="H19" s="68">
        <f>Requirements!J1</f>
        <v>17.2</v>
      </c>
    </row>
    <row r="20" spans="6:8" x14ac:dyDescent="0.2">
      <c r="F20" s="118" t="s">
        <v>87</v>
      </c>
      <c r="G20" s="118"/>
      <c r="H20" s="69">
        <f>(H18+H19)*F5</f>
        <v>103.48799999999999</v>
      </c>
    </row>
    <row r="21" spans="6:8" x14ac:dyDescent="0.2">
      <c r="F21" s="119" t="s">
        <v>88</v>
      </c>
      <c r="G21" s="119"/>
      <c r="H21" s="70">
        <f>H20*F4</f>
        <v>103.48799999999999</v>
      </c>
    </row>
  </sheetData>
  <mergeCells count="4">
    <mergeCell ref="F18:G18"/>
    <mergeCell ref="F19:G19"/>
    <mergeCell ref="F20:G20"/>
    <mergeCell ref="F21:G21"/>
  </mergeCell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Data!$B$2:$B$3</xm:f>
          </x14:formula1>
          <xm:sqref>B6</xm:sqref>
        </x14:dataValidation>
        <x14:dataValidation type="list" allowBlank="1" showInputMessage="1" showErrorMessage="1">
          <x14:formula1>
            <xm:f>Data!$C$2:$C$5</xm:f>
          </x14:formula1>
          <xm:sqref>B7</xm:sqref>
        </x14:dataValidation>
        <x14:dataValidation type="list" allowBlank="1" showInputMessage="1" showErrorMessage="1">
          <x14:formula1>
            <xm:f>Data!$D$2:$D$5</xm:f>
          </x14:formula1>
          <xm:sqref>B8</xm:sqref>
        </x14:dataValidation>
        <x14:dataValidation type="list" allowBlank="1" showInputMessage="1" showErrorMessage="1">
          <x14:formula1>
            <xm:f>Data!$L$2:$L$5</xm:f>
          </x14:formula1>
          <xm:sqref>C5:C16</xm:sqref>
        </x14:dataValidation>
        <x14:dataValidation type="list" allowBlank="1" showInputMessage="1" showErrorMessage="1">
          <x14:formula1>
            <xm:f>Data!$M$2:$M$5</xm:f>
          </x14:formula1>
          <xm:sqref>B5</xm:sqref>
        </x14:dataValidation>
        <x14:dataValidation type="list" allowBlank="1" showInputMessage="1" showErrorMessage="1">
          <x14:formula1>
            <xm:f>Data!$G$2:$G$7</xm:f>
          </x14:formula1>
          <xm:sqref>B9</xm:sqref>
        </x14:dataValidation>
        <x14:dataValidation type="list" allowBlank="1" showInputMessage="1" showErrorMessage="1">
          <x14:formula1>
            <xm:f>Data!$H$2:$H$6</xm:f>
          </x14:formula1>
          <xm:sqref>B10</xm:sqref>
        </x14:dataValidation>
        <x14:dataValidation type="list" allowBlank="1" showInputMessage="1" showErrorMessage="1">
          <x14:formula1>
            <xm:f>Data!$I$2:$I$5</xm:f>
          </x14:formula1>
          <xm:sqref>B11</xm:sqref>
        </x14:dataValidation>
        <x14:dataValidation type="list" allowBlank="1" showInputMessage="1" showErrorMessage="1">
          <x14:formula1>
            <xm:f>Data!$J$2:$J$6</xm:f>
          </x14:formula1>
          <xm:sqref>B12</xm:sqref>
        </x14:dataValidation>
        <x14:dataValidation type="list" allowBlank="1" showInputMessage="1" showErrorMessage="1">
          <x14:formula1>
            <xm:f>Data!$K$2:$K$7</xm:f>
          </x14:formula1>
          <xm:sqref>B13:B16</xm:sqref>
        </x14:dataValidation>
        <x14:dataValidation type="list" allowBlank="1" showInputMessage="1" showErrorMessage="1">
          <x14:formula1>
            <xm:f>Data!$A$2:$A$5</xm:f>
          </x14:formula1>
          <xm:sqref>B31:B1048576 B17:B18 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I2" sqref="I2"/>
    </sheetView>
  </sheetViews>
  <sheetFormatPr baseColWidth="10" defaultRowHeight="16" x14ac:dyDescent="0.2"/>
  <cols>
    <col min="1" max="1" width="25.5" customWidth="1"/>
    <col min="2" max="2" width="22.33203125" customWidth="1"/>
    <col min="3" max="3" width="17.33203125" bestFit="1" customWidth="1"/>
    <col min="4" max="4" width="21.83203125" customWidth="1"/>
    <col min="5" max="5" width="24.5" bestFit="1" customWidth="1"/>
    <col min="6" max="7" width="13" customWidth="1"/>
    <col min="9" max="9" width="22.33203125" bestFit="1" customWidth="1"/>
  </cols>
  <sheetData>
    <row r="1" spans="1:10" s="7" customFormat="1" x14ac:dyDescent="0.2">
      <c r="A1" s="7" t="s">
        <v>0</v>
      </c>
      <c r="B1" s="7" t="s">
        <v>1</v>
      </c>
      <c r="C1" s="7" t="s">
        <v>81</v>
      </c>
      <c r="D1" s="7" t="s">
        <v>185</v>
      </c>
      <c r="E1" s="7" t="s">
        <v>84</v>
      </c>
      <c r="F1" s="7" t="s">
        <v>186</v>
      </c>
      <c r="I1" s="13" t="s">
        <v>85</v>
      </c>
      <c r="J1" s="13">
        <f>SUM(E2:E17)</f>
        <v>17.2</v>
      </c>
    </row>
    <row r="2" spans="1:10" x14ac:dyDescent="0.2">
      <c r="A2" t="s">
        <v>159</v>
      </c>
      <c r="B2" t="s">
        <v>17</v>
      </c>
      <c r="C2" t="s">
        <v>24</v>
      </c>
      <c r="D2" t="s">
        <v>168</v>
      </c>
      <c r="E2">
        <f>IF(C2="Medium",INDEX(Data!$U$1:$Z$17,MATCH(B2,Data!$U$1:$U$17,0),4),IF(C2="Low",INDEX(Data!$U$1:$Z$17,MATCH(B2,Data!$U$1:$U$17,0),3),IF(C2="Very Low",INDEX(Data!$U$1:$Z$17,MATCH(B2,Data!$U$1:$U$17,0),2),IF(C2="High",INDEX(Data!$U$1:$Z$17,MATCH(B2,Data!$U$1:$U$17,0),5),IF(C2="Very High",INDEX(Data!$U$1:$Z$17,MATCH(B2,Data!$U$1:$U$17,0),6),0)))))*(100%-F2)</f>
        <v>4</v>
      </c>
      <c r="F2" s="58">
        <f>IF(D2="",0%,VLOOKUP(D2,Data!$P$2:$Q$22,2,0))</f>
        <v>0.5</v>
      </c>
      <c r="G2" s="58"/>
      <c r="I2" t="s">
        <v>187</v>
      </c>
      <c r="J2" s="59">
        <f>SUMPRODUCT(E2:E17,F2:F17)/SUMPRODUCT(E2:E17)</f>
        <v>0.36976744186046512</v>
      </c>
    </row>
    <row r="3" spans="1:10" s="3" customFormat="1" x14ac:dyDescent="0.2">
      <c r="A3" s="3" t="s">
        <v>160</v>
      </c>
      <c r="B3" s="3" t="s">
        <v>31</v>
      </c>
      <c r="C3" s="3" t="s">
        <v>23</v>
      </c>
      <c r="D3" t="s">
        <v>169</v>
      </c>
      <c r="E3">
        <f>IF(C3="Medium",INDEX(Data!$U$1:$Z$17,MATCH(B3,Data!$U$1:$U$17,0),4),IF(C3="Low",INDEX(Data!$U$1:$Z$17,MATCH(B3,Data!$U$1:$U$17,0),3),IF(C3="Very Low",INDEX(Data!$U$1:$Z$17,MATCH(B3,Data!$U$1:$U$17,0),2),IF(C3="High",INDEX(Data!$U$1:$Z$17,MATCH(B3,Data!$U$1:$U$17,0),5),IF(C3="Very High",INDEX(Data!$U$1:$Z$17,MATCH(B3,Data!$U$1:$U$17,0),6),0)))))*(100%-F3)</f>
        <v>2</v>
      </c>
      <c r="F3" s="58">
        <f>IF(D3="",0%,VLOOKUP(D3,Data!$P$2:$Q$22,2,0))</f>
        <v>0.5</v>
      </c>
      <c r="G3" s="58"/>
    </row>
    <row r="4" spans="1:10" x14ac:dyDescent="0.2">
      <c r="B4" t="s">
        <v>21</v>
      </c>
      <c r="C4" t="s">
        <v>25</v>
      </c>
      <c r="D4" t="s">
        <v>183</v>
      </c>
      <c r="E4">
        <f>IF(C4="Medium",INDEX(Data!$U$1:$Z$17,MATCH(B4,Data!$U$1:$U$17,0),4),IF(C4="Low",INDEX(Data!$U$1:$Z$17,MATCH(B4,Data!$U$1:$U$17,0),3),IF(C4="Very Low",INDEX(Data!$U$1:$Z$17,MATCH(B4,Data!$U$1:$U$17,0),2),IF(C4="High",INDEX(Data!$U$1:$Z$17,MATCH(B4,Data!$U$1:$U$17,0),5),IF(C4="Very High",INDEX(Data!$U$1:$Z$17,MATCH(B4,Data!$U$1:$U$17,0),6),0)))))*(100%-F4)</f>
        <v>11.2</v>
      </c>
      <c r="F4" s="58">
        <f>IF(D4="",0%,VLOOKUP(D4,Data!$P$2:$Q$22,2,0))</f>
        <v>0.3</v>
      </c>
      <c r="G4" s="58"/>
    </row>
    <row r="5" spans="1:10" s="3" customFormat="1" x14ac:dyDescent="0.2">
      <c r="D5"/>
      <c r="E5">
        <f>IF(C5="Medium",INDEX(Data!$U$1:$Z$17,MATCH(B5,Data!$U$1:$U$17,0),4),IF(C5="Low",INDEX(Data!$U$1:$Z$17,MATCH(B5,Data!$U$1:$U$17,0),3),IF(C5="Very Low",INDEX(Data!$U$1:$Z$17,MATCH(B5,Data!$U$1:$U$17,0),2),IF(C5="High",INDEX(Data!$U$1:$Z$17,MATCH(B5,Data!$U$1:$U$17,0),5),IF(C5="Very High",INDEX(Data!$U$1:$Z$17,MATCH(B5,Data!$U$1:$U$17,0),6),0)))))*(100%-F5)</f>
        <v>0</v>
      </c>
      <c r="F5" s="58">
        <f>IF(D5="",0%,VLOOKUP(D5,Data!$P$2:$Q$22,2,0))</f>
        <v>0</v>
      </c>
      <c r="G5" s="58"/>
    </row>
    <row r="6" spans="1:10" x14ac:dyDescent="0.2">
      <c r="E6">
        <f>IF(C6="Medium",INDEX(Data!$U$1:$Z$17,MATCH(B6,Data!$U$1:$U$17,0),4),IF(C6="Low",INDEX(Data!$U$1:$Z$17,MATCH(B6,Data!$U$1:$U$17,0),3),IF(C6="Very Low",INDEX(Data!$U$1:$Z$17,MATCH(B6,Data!$U$1:$U$17,0),2),IF(C6="High",INDEX(Data!$U$1:$Z$17,MATCH(B6,Data!$U$1:$U$17,0),5),IF(C6="Very High",INDEX(Data!$U$1:$Z$17,MATCH(B6,Data!$U$1:$U$17,0),6),0)))))*(100%-F6)</f>
        <v>0</v>
      </c>
      <c r="F6" s="58">
        <f>IF(D6="",0%,VLOOKUP(D6,Data!$P$2:$Q$22,2,0))</f>
        <v>0</v>
      </c>
      <c r="G6" s="58"/>
    </row>
    <row r="7" spans="1:10" s="3" customFormat="1" x14ac:dyDescent="0.2">
      <c r="D7"/>
      <c r="E7">
        <f>IF(C7="Medium",INDEX(Data!$U$1:$Z$17,MATCH(B7,Data!$U$1:$U$17,0),4),IF(C7="Low",INDEX(Data!$U$1:$Z$17,MATCH(B7,Data!$U$1:$U$17,0),3),IF(C7="Very Low",INDEX(Data!$U$1:$Z$17,MATCH(B7,Data!$U$1:$U$17,0),2),IF(C7="High",INDEX(Data!$U$1:$Z$17,MATCH(B7,Data!$U$1:$U$17,0),5),IF(C7="Very High",INDEX(Data!$U$1:$Z$17,MATCH(B7,Data!$U$1:$U$17,0),6),0)))))*(100%-F7)</f>
        <v>0</v>
      </c>
      <c r="F7" s="58">
        <f>IF(D7="",0%,VLOOKUP(D7,Data!$P$2:$Q$22,2,0))</f>
        <v>0</v>
      </c>
      <c r="G7" s="58"/>
    </row>
    <row r="8" spans="1:10" x14ac:dyDescent="0.2">
      <c r="E8">
        <f>IF(C8="Medium",INDEX(Data!$U$1:$Z$17,MATCH(B8,Data!$U$1:$U$17,0),4),IF(C8="Low",INDEX(Data!$U$1:$Z$17,MATCH(B8,Data!$U$1:$U$17,0),3),IF(C8="Very Low",INDEX(Data!$U$1:$Z$17,MATCH(B8,Data!$U$1:$U$17,0),2),IF(C8="High",INDEX(Data!$U$1:$Z$17,MATCH(B8,Data!$U$1:$U$17,0),5),IF(C8="Very High",INDEX(Data!$U$1:$Z$17,MATCH(B8,Data!$U$1:$U$17,0),6),0)))))*(100%-F8)</f>
        <v>0</v>
      </c>
      <c r="F8" s="58">
        <f>IF(D8="",0%,VLOOKUP(D8,Data!$P$2:$Q$22,2,0))</f>
        <v>0</v>
      </c>
      <c r="G8" s="58"/>
    </row>
    <row r="9" spans="1:10" s="3" customFormat="1" x14ac:dyDescent="0.2">
      <c r="D9"/>
      <c r="E9">
        <f>IF(C9="Medium",INDEX(Data!$U$1:$Z$17,MATCH(B9,Data!$U$1:$U$17,0),4),IF(C9="Low",INDEX(Data!$U$1:$Z$17,MATCH(B9,Data!$U$1:$U$17,0),3),IF(C9="Very Low",INDEX(Data!$U$1:$Z$17,MATCH(B9,Data!$U$1:$U$17,0),2),IF(C9="High",INDEX(Data!$U$1:$Z$17,MATCH(B9,Data!$U$1:$U$17,0),5),IF(C9="Very High",INDEX(Data!$U$1:$Z$17,MATCH(B9,Data!$U$1:$U$17,0),6),0)))))*(100%-F9)</f>
        <v>0</v>
      </c>
      <c r="F9" s="58">
        <f>IF(D9="",0%,VLOOKUP(D9,Data!$P$2:$Q$22,2,0))</f>
        <v>0</v>
      </c>
      <c r="G9" s="58"/>
    </row>
    <row r="10" spans="1:10" x14ac:dyDescent="0.2">
      <c r="E10">
        <f>IF(C10="Medium",INDEX(Data!$U$1:$Z$17,MATCH(B10,Data!$U$1:$U$17,0),4),IF(C10="Low",INDEX(Data!$U$1:$Z$17,MATCH(B10,Data!$U$1:$U$17,0),3),IF(C10="Very Low",INDEX(Data!$U$1:$Z$17,MATCH(B10,Data!$U$1:$U$17,0),2),IF(C10="High",INDEX(Data!$U$1:$Z$17,MATCH(B10,Data!$U$1:$U$17,0),5),IF(C10="Very High",INDEX(Data!$U$1:$Z$17,MATCH(B10,Data!$U$1:$U$17,0),6),0)))))*(100%-F10)</f>
        <v>0</v>
      </c>
      <c r="F10" s="58">
        <f>IF(D10="",0%,VLOOKUP(D10,Data!$P$2:$Q$22,2,0))</f>
        <v>0</v>
      </c>
      <c r="G10" s="58"/>
    </row>
    <row r="11" spans="1:10" s="3" customFormat="1" x14ac:dyDescent="0.2">
      <c r="D11"/>
      <c r="E11">
        <f>IF(C11="Medium",INDEX(Data!$U$1:$Z$17,MATCH(B11,Data!$U$1:$U$17,0),4),IF(C11="Low",INDEX(Data!$U$1:$Z$17,MATCH(B11,Data!$U$1:$U$17,0),3),IF(C11="Very Low",INDEX(Data!$U$1:$Z$17,MATCH(B11,Data!$U$1:$U$17,0),2),IF(C11="High",INDEX(Data!$U$1:$Z$17,MATCH(B11,Data!$U$1:$U$17,0),5),IF(C11="Very High",INDEX(Data!$U$1:$Z$17,MATCH(B11,Data!$U$1:$U$17,0),6),0)))))*(100%-F11)</f>
        <v>0</v>
      </c>
      <c r="F11" s="58">
        <f>IF(D11="",0%,VLOOKUP(D11,Data!$P$2:$Q$22,2,0))</f>
        <v>0</v>
      </c>
      <c r="G11" s="58"/>
    </row>
    <row r="12" spans="1:10" x14ac:dyDescent="0.2">
      <c r="E12">
        <f>IF(C12="Medium",INDEX(Data!$U$1:$Z$17,MATCH(B12,Data!$U$1:$U$17,0),4),IF(C12="Low",INDEX(Data!$U$1:$Z$17,MATCH(B12,Data!$U$1:$U$17,0),3),IF(C12="Very Low",INDEX(Data!$U$1:$Z$17,MATCH(B12,Data!$U$1:$U$17,0),2),IF(C12="High",INDEX(Data!$U$1:$Z$17,MATCH(B12,Data!$U$1:$U$17,0),5),IF(C12="Very High",INDEX(Data!$U$1:$Z$17,MATCH(B12,Data!$U$1:$U$17,0),6),0)))))*(100%-F12)</f>
        <v>0</v>
      </c>
      <c r="F12" s="58">
        <f>IF(D12="",0%,VLOOKUP(D12,Data!$P$2:$Q$22,2,0))</f>
        <v>0</v>
      </c>
      <c r="G12" s="58"/>
    </row>
    <row r="13" spans="1:10" s="3" customFormat="1" x14ac:dyDescent="0.2">
      <c r="D13"/>
      <c r="E13">
        <f>IF(C13="Medium",INDEX(Data!$U$1:$Z$17,MATCH(B13,Data!$U$1:$U$17,0),4),IF(C13="Low",INDEX(Data!$U$1:$Z$17,MATCH(B13,Data!$U$1:$U$17,0),3),IF(C13="Very Low",INDEX(Data!$U$1:$Z$17,MATCH(B13,Data!$U$1:$U$17,0),2),IF(C13="High",INDEX(Data!$U$1:$Z$17,MATCH(B13,Data!$U$1:$U$17,0),5),IF(C13="Very High",INDEX(Data!$U$1:$Z$17,MATCH(B13,Data!$U$1:$U$17,0),6),0)))))*(100%-F13)</f>
        <v>0</v>
      </c>
      <c r="F13" s="58">
        <f>IF(D13="",0%,VLOOKUP(D13,Data!$P$2:$Q$22,2,0))</f>
        <v>0</v>
      </c>
      <c r="G13" s="58"/>
    </row>
    <row r="14" spans="1:10" x14ac:dyDescent="0.2">
      <c r="E14">
        <f>IF(C14="Medium",INDEX(Data!$U$1:$Z$17,MATCH(B14,Data!$U$1:$U$17,0),4),IF(C14="Low",INDEX(Data!$U$1:$Z$17,MATCH(B14,Data!$U$1:$U$17,0),3),IF(C14="Very Low",INDEX(Data!$U$1:$Z$17,MATCH(B14,Data!$U$1:$U$17,0),2),IF(C14="High",INDEX(Data!$U$1:$Z$17,MATCH(B14,Data!$U$1:$U$17,0),5),IF(C14="Very High",INDEX(Data!$U$1:$Z$17,MATCH(B14,Data!$U$1:$U$17,0),6),0)))))*(100%-F14)</f>
        <v>0</v>
      </c>
      <c r="F14" s="58">
        <f>IF(D14="",0%,VLOOKUP(D14,Data!$P$2:$Q$22,2,0))</f>
        <v>0</v>
      </c>
      <c r="G14" s="58"/>
    </row>
    <row r="15" spans="1:10" x14ac:dyDescent="0.2">
      <c r="E15">
        <f>IF(C15="Medium",INDEX(Data!$U$1:$Z$17,MATCH(B15,Data!$U$1:$U$17,0),4),IF(C15="Low",INDEX(Data!$U$1:$Z$17,MATCH(B15,Data!$U$1:$U$17,0),3),IF(C15="Very Low",INDEX(Data!$U$1:$Z$17,MATCH(B15,Data!$U$1:$U$17,0),2),IF(C15="High",INDEX(Data!$U$1:$Z$17,MATCH(B15,Data!$U$1:$U$17,0),5),IF(C15="Very High",INDEX(Data!$U$1:$Z$17,MATCH(B15,Data!$U$1:$U$17,0),6),0)))))*(100%-F15)</f>
        <v>0</v>
      </c>
      <c r="F15" s="58">
        <f>IF(D15="",0%,VLOOKUP(D15,Data!$P$2:$Q$22,2,0))</f>
        <v>0</v>
      </c>
      <c r="G15" s="58"/>
    </row>
    <row r="16" spans="1:10" x14ac:dyDescent="0.2">
      <c r="E16">
        <f>IF(C16="Medium",INDEX(Data!$U$1:$Z$17,MATCH(B16,Data!$U$1:$U$17,0),4),IF(C16="Low",INDEX(Data!$U$1:$Z$17,MATCH(B16,Data!$U$1:$U$17,0),3),IF(C16="Very Low",INDEX(Data!$U$1:$Z$17,MATCH(B16,Data!$U$1:$U$17,0),2),IF(C16="High",INDEX(Data!$U$1:$Z$17,MATCH(B16,Data!$U$1:$U$17,0),5),IF(C16="Very High",INDEX(Data!$U$1:$Z$17,MATCH(B16,Data!$U$1:$U$17,0),6),0)))))*(100%-F16)</f>
        <v>0</v>
      </c>
      <c r="F16" s="58">
        <f>IF(D16="",0%,VLOOKUP(D16,Data!$P$2:$Q$22,2,0))</f>
        <v>0</v>
      </c>
      <c r="G16" s="58"/>
    </row>
    <row r="17" spans="5:7" x14ac:dyDescent="0.2">
      <c r="E17">
        <f>IF(C17="Medium",INDEX(Data!$U$1:$Z$17,MATCH(B17,Data!$U$1:$U$17,0),4),IF(C17="Low",INDEX(Data!$U$1:$Z$17,MATCH(B17,Data!$U$1:$U$17,0),3),IF(C17="Very Low",INDEX(Data!$U$1:$Z$17,MATCH(B17,Data!$U$1:$U$17,0),2),IF(C17="High",INDEX(Data!$U$1:$Z$17,MATCH(B17,Data!$U$1:$U$17,0),5),IF(C17="Very High",INDEX(Data!$U$1:$Z$17,MATCH(B17,Data!$U$1:$U$17,0),6),0)))))*(100%-F17)</f>
        <v>0</v>
      </c>
      <c r="F17" s="58">
        <f>IF(D17="",0%,VLOOKUP(D17,Data!$P$2:$Q$22,2,0))</f>
        <v>0</v>
      </c>
      <c r="G17" s="58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Data!$E$2:$E$17</xm:f>
          </x14:formula1>
          <xm:sqref>B2:B17</xm:sqref>
        </x14:dataValidation>
        <x14:dataValidation type="list" allowBlank="1" showInputMessage="1" showErrorMessage="1">
          <x14:formula1>
            <xm:f>Data!$F$2:$F$6</xm:f>
          </x14:formula1>
          <xm:sqref>C2:C17</xm:sqref>
        </x14:dataValidation>
        <x14:dataValidation type="list" allowBlank="1" showInputMessage="1" showErrorMessage="1">
          <x14:formula1>
            <xm:f>Data!$P$2:$P$22</xm:f>
          </x14:formula1>
          <xm:sqref>D2:D17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9" sqref="E9"/>
    </sheetView>
  </sheetViews>
  <sheetFormatPr baseColWidth="10" defaultRowHeight="16" x14ac:dyDescent="0.2"/>
  <cols>
    <col min="1" max="1" width="22.83203125" customWidth="1"/>
    <col min="2" max="2" width="31.33203125" customWidth="1"/>
    <col min="3" max="3" width="16" customWidth="1"/>
    <col min="4" max="4" width="30" customWidth="1"/>
  </cols>
  <sheetData>
    <row r="1" spans="1:4" x14ac:dyDescent="0.2">
      <c r="A1" s="120" t="s">
        <v>235</v>
      </c>
      <c r="B1" s="120"/>
      <c r="C1" s="78" t="s">
        <v>236</v>
      </c>
    </row>
    <row r="2" spans="1:4" x14ac:dyDescent="0.2">
      <c r="A2" s="121" t="s">
        <v>93</v>
      </c>
      <c r="B2" s="121"/>
      <c r="C2" s="71">
        <f>'Project Parameters'!H21*Data!AF4/100*'Project Parameters'!F5</f>
        <v>24.837119999999995</v>
      </c>
    </row>
    <row r="3" spans="1:4" x14ac:dyDescent="0.2">
      <c r="A3" s="121" t="s">
        <v>97</v>
      </c>
      <c r="B3" s="121"/>
      <c r="C3" s="71">
        <f>'Project Parameters'!H21*(Data!AF5/100)*'Project Parameters'!F5</f>
        <v>24.837119999999995</v>
      </c>
    </row>
    <row r="4" spans="1:4" x14ac:dyDescent="0.2">
      <c r="A4" s="121" t="s">
        <v>92</v>
      </c>
      <c r="B4" s="121"/>
      <c r="C4" s="71">
        <f>'Project Parameters'!H21*(Data!AF3/100)*'Project Parameters'!F5</f>
        <v>24.837119999999995</v>
      </c>
    </row>
    <row r="5" spans="1:4" x14ac:dyDescent="0.2">
      <c r="A5" s="121" t="s">
        <v>88</v>
      </c>
      <c r="B5" s="121"/>
      <c r="C5" s="71">
        <f>'Project Parameters'!H21</f>
        <v>103.48799999999999</v>
      </c>
    </row>
    <row r="6" spans="1:4" x14ac:dyDescent="0.2">
      <c r="A6" s="121" t="s">
        <v>91</v>
      </c>
      <c r="B6" s="121"/>
      <c r="C6" s="71">
        <f>'Project Parameters'!H21*(Data!AF2/100)*'Project Parameters'!F5</f>
        <v>49.67423999999999</v>
      </c>
    </row>
    <row r="7" spans="1:4" x14ac:dyDescent="0.2">
      <c r="A7" s="121" t="s">
        <v>212</v>
      </c>
      <c r="B7" s="121"/>
      <c r="C7" s="71">
        <f>'Project Parameters'!$H$21*(Data!AF7/100)*'Project Parameters'!F5</f>
        <v>12.418559999999998</v>
      </c>
    </row>
    <row r="8" spans="1:4" x14ac:dyDescent="0.2">
      <c r="A8" s="121" t="s">
        <v>201</v>
      </c>
      <c r="B8" s="121"/>
      <c r="C8" s="71">
        <f>'Project Parameters'!$H$21*(Data!AF10/100)</f>
        <v>5.1743999999999994</v>
      </c>
    </row>
    <row r="9" spans="1:4" x14ac:dyDescent="0.2">
      <c r="A9" s="121" t="s">
        <v>192</v>
      </c>
      <c r="B9" s="121"/>
      <c r="C9" s="71">
        <f>'Project Parameters'!$H$21*(Data!AF8/100)*'Project Parameters'!F5</f>
        <v>6.2092799999999988</v>
      </c>
    </row>
    <row r="10" spans="1:4" x14ac:dyDescent="0.2">
      <c r="A10" s="121" t="s">
        <v>193</v>
      </c>
      <c r="B10" s="121"/>
      <c r="C10" s="71">
        <f>'Project Parameters'!$H$21*(Data!AF9/100)*'Project Parameters'!F5</f>
        <v>6.2092799999999988</v>
      </c>
    </row>
    <row r="11" spans="1:4" x14ac:dyDescent="0.2">
      <c r="A11" s="121" t="s">
        <v>211</v>
      </c>
      <c r="B11" s="121"/>
      <c r="C11" s="71">
        <f>'Project Parameters'!$H$21*(Data!AF6/100)*'Project Parameters'!F5</f>
        <v>2.4837119999999993</v>
      </c>
    </row>
    <row r="12" spans="1:4" x14ac:dyDescent="0.2">
      <c r="A12" s="122" t="s">
        <v>95</v>
      </c>
      <c r="B12" s="122"/>
      <c r="C12" s="72">
        <f>ROUNDUP(SUM(C2:C11),0)</f>
        <v>261</v>
      </c>
    </row>
    <row r="13" spans="1:4" x14ac:dyDescent="0.2">
      <c r="A13" s="122" t="s">
        <v>225</v>
      </c>
      <c r="B13" s="122"/>
      <c r="C13" s="74">
        <f>Requirements!J2</f>
        <v>0.36976744186046512</v>
      </c>
    </row>
    <row r="15" spans="1:4" x14ac:dyDescent="0.2">
      <c r="D15" s="60"/>
    </row>
    <row r="16" spans="1:4" x14ac:dyDescent="0.2">
      <c r="D16" s="60"/>
    </row>
  </sheetData>
  <mergeCells count="13">
    <mergeCell ref="A13:B13"/>
    <mergeCell ref="A12:B12"/>
    <mergeCell ref="A11:B11"/>
    <mergeCell ref="A1:B1"/>
    <mergeCell ref="A10:B10"/>
    <mergeCell ref="A8:B8"/>
    <mergeCell ref="A9:B9"/>
    <mergeCell ref="A2:B2"/>
    <mergeCell ref="A3:B3"/>
    <mergeCell ref="A7:B7"/>
    <mergeCell ref="A4:B4"/>
    <mergeCell ref="A6:B6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50" zoomScaleNormal="150" zoomScalePageLayoutView="150" workbookViewId="0">
      <selection activeCell="E4" sqref="E4"/>
    </sheetView>
  </sheetViews>
  <sheetFormatPr baseColWidth="10" defaultRowHeight="16" x14ac:dyDescent="0.2"/>
  <cols>
    <col min="1" max="1" width="22.83203125" bestFit="1" customWidth="1"/>
    <col min="4" max="4" width="23.1640625" bestFit="1" customWidth="1"/>
  </cols>
  <sheetData>
    <row r="1" spans="1:6" x14ac:dyDescent="0.2">
      <c r="A1" s="7" t="s">
        <v>188</v>
      </c>
      <c r="B1" s="7">
        <f>'Effort Estimates'!C12</f>
        <v>261</v>
      </c>
      <c r="D1" s="7" t="s">
        <v>109</v>
      </c>
      <c r="E1" s="7">
        <v>2</v>
      </c>
    </row>
    <row r="2" spans="1:6" x14ac:dyDescent="0.2">
      <c r="D2" s="6" t="s">
        <v>111</v>
      </c>
      <c r="E2" s="6">
        <v>1</v>
      </c>
    </row>
    <row r="3" spans="1:6" x14ac:dyDescent="0.2">
      <c r="D3" s="1"/>
    </row>
    <row r="4" spans="1:6" x14ac:dyDescent="0.2">
      <c r="D4" s="13" t="s">
        <v>110</v>
      </c>
      <c r="E4" s="13">
        <f>(B1/(E2*40))/E1</f>
        <v>3.2625000000000002</v>
      </c>
    </row>
    <row r="5" spans="1:6" x14ac:dyDescent="0.2">
      <c r="A5" t="s">
        <v>103</v>
      </c>
      <c r="B5">
        <f>'Effort Estimates'!C4</f>
        <v>24.837119999999995</v>
      </c>
      <c r="C5" s="1"/>
      <c r="D5" s="2"/>
    </row>
    <row r="7" spans="1:6" x14ac:dyDescent="0.2">
      <c r="F7" s="61"/>
    </row>
    <row r="8" spans="1:6" x14ac:dyDescent="0.2">
      <c r="A8" t="s">
        <v>104</v>
      </c>
      <c r="B8">
        <f>'Effort Estimates'!C2</f>
        <v>24.837119999999995</v>
      </c>
      <c r="C8" s="1"/>
      <c r="D8" s="2"/>
    </row>
    <row r="12" spans="1:6" x14ac:dyDescent="0.2">
      <c r="A12" t="s">
        <v>105</v>
      </c>
      <c r="B12">
        <f>'Effort Estimates'!C6</f>
        <v>49.67423999999999</v>
      </c>
      <c r="C12" s="1"/>
      <c r="D12" s="2"/>
    </row>
    <row r="15" spans="1:6" x14ac:dyDescent="0.2">
      <c r="A15" t="s">
        <v>106</v>
      </c>
      <c r="B15">
        <f>'Effort Estimates'!C3</f>
        <v>24.837119999999995</v>
      </c>
      <c r="C15" s="1"/>
      <c r="D15" s="2"/>
    </row>
    <row r="17" spans="4:4" x14ac:dyDescent="0.2">
      <c r="D17" s="2"/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1"/>
  <sheetViews>
    <sheetView zoomScale="110" zoomScaleNormal="110" zoomScalePageLayoutView="110" workbookViewId="0">
      <pane xSplit="1" ySplit="15" topLeftCell="B17" activePane="bottomRight" state="frozen"/>
      <selection pane="topRight" activeCell="B1" sqref="B1"/>
      <selection pane="bottomLeft" activeCell="A17" sqref="A17"/>
      <selection pane="bottomRight" activeCell="E17" sqref="E17"/>
    </sheetView>
  </sheetViews>
  <sheetFormatPr baseColWidth="10" defaultColWidth="8.83203125" defaultRowHeight="13" x14ac:dyDescent="0.15"/>
  <cols>
    <col min="1" max="1" width="24.5" style="14" customWidth="1"/>
    <col min="2" max="2" width="33" style="14" customWidth="1"/>
    <col min="3" max="5" width="4.33203125" style="14" customWidth="1"/>
    <col min="6" max="10" width="5.83203125" style="14" customWidth="1"/>
    <col min="11" max="11" width="6.83203125" style="14" customWidth="1"/>
    <col min="12" max="12" width="2.33203125" style="14" customWidth="1"/>
    <col min="13" max="14" width="6.5" style="14" customWidth="1"/>
    <col min="15" max="15" width="7" style="14" customWidth="1"/>
    <col min="16" max="16" width="8.5" style="14" customWidth="1"/>
    <col min="17" max="17" width="8.83203125" style="14" customWidth="1"/>
    <col min="18" max="18" width="8" style="14" customWidth="1"/>
    <col min="19" max="19" width="8.6640625" style="14" customWidth="1"/>
    <col min="20" max="32" width="5.5" style="14" customWidth="1"/>
    <col min="33" max="16384" width="8.83203125" style="14"/>
  </cols>
  <sheetData>
    <row r="1" spans="1:18" ht="61.5" customHeight="1" x14ac:dyDescent="0.15">
      <c r="A1" s="41" t="s">
        <v>112</v>
      </c>
      <c r="B1" s="41"/>
      <c r="C1" s="47" t="s">
        <v>114</v>
      </c>
      <c r="D1" s="47" t="s">
        <v>115</v>
      </c>
      <c r="E1" s="47" t="s">
        <v>116</v>
      </c>
      <c r="F1" s="43"/>
      <c r="G1" s="43"/>
      <c r="H1" s="43"/>
      <c r="I1" s="43"/>
      <c r="J1" s="43"/>
      <c r="K1" s="42"/>
    </row>
    <row r="2" spans="1:18" x14ac:dyDescent="0.15">
      <c r="B2" s="45" t="s">
        <v>113</v>
      </c>
      <c r="C2" s="44"/>
      <c r="D2" s="44"/>
      <c r="E2" s="44"/>
      <c r="F2" s="43"/>
      <c r="G2" s="43"/>
      <c r="H2" s="43"/>
      <c r="I2" s="43"/>
      <c r="J2" s="43"/>
      <c r="K2" s="42"/>
    </row>
    <row r="3" spans="1:18" x14ac:dyDescent="0.15">
      <c r="B3" s="45" t="s">
        <v>114</v>
      </c>
      <c r="C3" s="44"/>
      <c r="D3" s="44"/>
      <c r="E3" s="44"/>
      <c r="F3" s="43"/>
      <c r="G3" s="43"/>
      <c r="H3" s="43"/>
      <c r="I3" s="43"/>
      <c r="J3" s="43"/>
      <c r="K3" s="42"/>
    </row>
    <row r="4" spans="1:18" x14ac:dyDescent="0.15">
      <c r="B4" s="45" t="s">
        <v>115</v>
      </c>
      <c r="C4" s="44"/>
      <c r="D4" s="44"/>
      <c r="E4" s="44"/>
      <c r="F4" s="43"/>
      <c r="G4" s="43"/>
      <c r="H4" s="43"/>
      <c r="I4" s="43"/>
      <c r="J4" s="43"/>
      <c r="K4" s="42"/>
    </row>
    <row r="5" spans="1:18" x14ac:dyDescent="0.15">
      <c r="B5" s="43" t="s">
        <v>118</v>
      </c>
      <c r="C5" s="46"/>
      <c r="D5" s="46"/>
      <c r="E5" s="46"/>
      <c r="F5" s="43"/>
      <c r="G5" s="43"/>
      <c r="H5" s="43"/>
      <c r="I5" s="43"/>
      <c r="J5" s="43"/>
      <c r="K5" s="42"/>
    </row>
    <row r="6" spans="1:18" hidden="1" x14ac:dyDescent="0.15">
      <c r="B6" s="43" t="s">
        <v>119</v>
      </c>
      <c r="C6" s="44"/>
      <c r="D6" s="44"/>
      <c r="E6" s="44"/>
      <c r="F6" s="43"/>
      <c r="G6" s="43"/>
      <c r="H6" s="43"/>
      <c r="I6" s="43"/>
      <c r="J6" s="43"/>
      <c r="K6" s="42"/>
    </row>
    <row r="7" spans="1:18" hidden="1" x14ac:dyDescent="0.15">
      <c r="B7" s="43" t="s">
        <v>120</v>
      </c>
      <c r="C7" s="44"/>
      <c r="D7" s="44"/>
      <c r="E7" s="44"/>
      <c r="F7" s="43"/>
      <c r="G7" s="43"/>
      <c r="H7" s="43"/>
      <c r="I7" s="43"/>
      <c r="J7" s="43"/>
      <c r="K7" s="42"/>
    </row>
    <row r="8" spans="1:18" hidden="1" x14ac:dyDescent="0.15">
      <c r="B8" s="43" t="s">
        <v>121</v>
      </c>
      <c r="C8" s="44"/>
      <c r="D8" s="44"/>
      <c r="E8" s="44"/>
      <c r="F8" s="43"/>
      <c r="G8" s="43"/>
      <c r="H8" s="43"/>
      <c r="I8" s="43"/>
      <c r="J8" s="43"/>
      <c r="K8" s="42"/>
    </row>
    <row r="9" spans="1:18" hidden="1" x14ac:dyDescent="0.15">
      <c r="B9" s="43" t="s">
        <v>122</v>
      </c>
      <c r="C9" s="44"/>
      <c r="D9" s="44"/>
      <c r="E9" s="44"/>
      <c r="F9" s="43"/>
      <c r="G9" s="43"/>
      <c r="H9" s="43"/>
      <c r="I9" s="43"/>
      <c r="J9" s="43"/>
      <c r="K9" s="42"/>
    </row>
    <row r="10" spans="1:18" x14ac:dyDescent="0.15">
      <c r="B10" s="45" t="s">
        <v>116</v>
      </c>
      <c r="C10" s="44"/>
      <c r="D10" s="44"/>
      <c r="E10" s="44"/>
      <c r="F10" s="43"/>
      <c r="G10" s="43"/>
      <c r="H10" s="43"/>
      <c r="I10" s="43"/>
      <c r="J10" s="43"/>
      <c r="K10" s="42"/>
    </row>
    <row r="11" spans="1:18" x14ac:dyDescent="0.15">
      <c r="B11" s="45" t="s">
        <v>117</v>
      </c>
      <c r="C11" s="44"/>
      <c r="D11" s="44"/>
      <c r="E11" s="44"/>
      <c r="F11" s="43"/>
      <c r="G11" s="43"/>
      <c r="H11" s="43"/>
      <c r="I11" s="43"/>
      <c r="J11" s="43"/>
      <c r="K11" s="42"/>
    </row>
    <row r="12" spans="1:18" x14ac:dyDescent="0.15">
      <c r="A12" s="43"/>
      <c r="B12" s="43"/>
      <c r="C12" s="40"/>
      <c r="D12" s="40"/>
      <c r="E12" s="40"/>
      <c r="F12" s="43"/>
      <c r="G12" s="43"/>
      <c r="H12" s="43"/>
      <c r="I12" s="43"/>
      <c r="J12" s="43"/>
      <c r="K12" s="42"/>
    </row>
    <row r="13" spans="1:18" ht="14" x14ac:dyDescent="0.15">
      <c r="A13" s="41" t="s">
        <v>123</v>
      </c>
      <c r="B13" s="41"/>
      <c r="C13" s="40"/>
      <c r="D13" s="40"/>
      <c r="E13" s="40"/>
      <c r="F13" s="123" t="s">
        <v>157</v>
      </c>
      <c r="G13" s="123"/>
      <c r="H13" s="123"/>
      <c r="I13" s="123"/>
      <c r="J13" s="123"/>
      <c r="K13" s="123"/>
    </row>
    <row r="14" spans="1:18" ht="14.25" hidden="1" customHeight="1" x14ac:dyDescent="0.15">
      <c r="A14" s="39"/>
      <c r="B14" s="38"/>
      <c r="C14" s="37" t="s">
        <v>113</v>
      </c>
      <c r="D14" s="37" t="s">
        <v>113</v>
      </c>
      <c r="E14" s="37" t="s">
        <v>113</v>
      </c>
      <c r="F14" s="36"/>
      <c r="G14" s="36"/>
      <c r="H14" s="36"/>
      <c r="I14" s="36"/>
      <c r="J14" s="36"/>
      <c r="K14" s="36"/>
    </row>
    <row r="15" spans="1:18" s="29" customFormat="1" ht="50.25" customHeight="1" x14ac:dyDescent="0.15">
      <c r="A15" s="35" t="s">
        <v>124</v>
      </c>
      <c r="B15" s="34"/>
      <c r="C15" s="33">
        <v>42401</v>
      </c>
      <c r="D15" s="32">
        <f t="shared" ref="D15:E15" si="0">C15+7</f>
        <v>42408</v>
      </c>
      <c r="E15" s="32">
        <f t="shared" si="0"/>
        <v>42415</v>
      </c>
      <c r="F15" s="31" t="s">
        <v>113</v>
      </c>
      <c r="G15" s="31" t="s">
        <v>114</v>
      </c>
      <c r="H15" s="31" t="s">
        <v>115</v>
      </c>
      <c r="I15" s="31" t="s">
        <v>116</v>
      </c>
      <c r="J15" s="31" t="s">
        <v>117</v>
      </c>
      <c r="K15" s="30" t="s">
        <v>154</v>
      </c>
    </row>
    <row r="16" spans="1:18" x14ac:dyDescent="0.15">
      <c r="A16" s="28" t="s">
        <v>125</v>
      </c>
      <c r="B16" s="20" t="s">
        <v>158</v>
      </c>
      <c r="C16" s="26"/>
      <c r="D16" s="26"/>
      <c r="E16" s="26"/>
      <c r="F16" s="18">
        <f t="shared" ref="F16:J25" si="1">SUMIF($C$1:$E$1, F$15, $C16:$E16)</f>
        <v>0</v>
      </c>
      <c r="G16" s="18">
        <f t="shared" si="1"/>
        <v>0</v>
      </c>
      <c r="H16" s="18">
        <f t="shared" si="1"/>
        <v>0</v>
      </c>
      <c r="I16" s="18">
        <f t="shared" si="1"/>
        <v>0</v>
      </c>
      <c r="J16" s="18">
        <f t="shared" si="1"/>
        <v>0</v>
      </c>
      <c r="K16" s="17">
        <f t="shared" ref="K16:K40" si="2">SUM(C16:E16)</f>
        <v>0</v>
      </c>
      <c r="M16" s="24"/>
      <c r="N16" s="24"/>
      <c r="O16" s="25"/>
      <c r="P16" s="25"/>
      <c r="Q16" s="25"/>
      <c r="R16" s="24"/>
    </row>
    <row r="17" spans="1:18" x14ac:dyDescent="0.15">
      <c r="A17" s="28" t="s">
        <v>126</v>
      </c>
      <c r="B17" s="20" t="s">
        <v>127</v>
      </c>
      <c r="C17" s="26"/>
      <c r="D17" s="26"/>
      <c r="E17" s="26"/>
      <c r="F17" s="18">
        <f t="shared" si="1"/>
        <v>0</v>
      </c>
      <c r="G17" s="18">
        <f t="shared" si="1"/>
        <v>0</v>
      </c>
      <c r="H17" s="18">
        <f t="shared" si="1"/>
        <v>0</v>
      </c>
      <c r="I17" s="18">
        <f t="shared" si="1"/>
        <v>0</v>
      </c>
      <c r="J17" s="18">
        <f t="shared" si="1"/>
        <v>0</v>
      </c>
      <c r="K17" s="17">
        <f t="shared" si="2"/>
        <v>0</v>
      </c>
      <c r="M17" s="24"/>
      <c r="N17" s="24"/>
      <c r="O17" s="25"/>
      <c r="P17" s="25"/>
      <c r="Q17" s="25"/>
      <c r="R17" s="24"/>
    </row>
    <row r="18" spans="1:18" x14ac:dyDescent="0.15">
      <c r="A18" s="28" t="s">
        <v>128</v>
      </c>
      <c r="B18" s="20" t="s">
        <v>129</v>
      </c>
      <c r="C18" s="26"/>
      <c r="D18" s="26"/>
      <c r="E18" s="26"/>
      <c r="F18" s="18">
        <f t="shared" si="1"/>
        <v>0</v>
      </c>
      <c r="G18" s="18">
        <f t="shared" si="1"/>
        <v>0</v>
      </c>
      <c r="H18" s="18">
        <f t="shared" si="1"/>
        <v>0</v>
      </c>
      <c r="I18" s="18">
        <f t="shared" si="1"/>
        <v>0</v>
      </c>
      <c r="J18" s="18">
        <f t="shared" si="1"/>
        <v>0</v>
      </c>
      <c r="K18" s="17">
        <f t="shared" si="2"/>
        <v>0</v>
      </c>
      <c r="M18" s="24"/>
      <c r="N18" s="24"/>
      <c r="O18" s="25"/>
      <c r="P18" s="25"/>
      <c r="Q18" s="25"/>
      <c r="R18" s="24"/>
    </row>
    <row r="19" spans="1:18" ht="16" x14ac:dyDescent="0.2">
      <c r="A19" s="28" t="s">
        <v>130</v>
      </c>
      <c r="B19" s="20" t="s">
        <v>131</v>
      </c>
      <c r="C19" s="26"/>
      <c r="D19" s="26"/>
      <c r="E19" s="26"/>
      <c r="F19" s="18">
        <f t="shared" si="1"/>
        <v>0</v>
      </c>
      <c r="G19" s="18">
        <f t="shared" si="1"/>
        <v>0</v>
      </c>
      <c r="H19" s="18">
        <f t="shared" si="1"/>
        <v>0</v>
      </c>
      <c r="I19" s="18">
        <f t="shared" si="1"/>
        <v>0</v>
      </c>
      <c r="J19" s="18">
        <f t="shared" si="1"/>
        <v>0</v>
      </c>
      <c r="K19" s="17">
        <f t="shared" si="2"/>
        <v>0</v>
      </c>
      <c r="M19" s="24"/>
      <c r="N19" s="24"/>
      <c r="O19" s="25"/>
      <c r="P19" s="25"/>
      <c r="Q19" s="25"/>
      <c r="R19" s="24"/>
    </row>
    <row r="20" spans="1:18" x14ac:dyDescent="0.15">
      <c r="A20" s="27" t="s">
        <v>132</v>
      </c>
      <c r="B20" s="20" t="s">
        <v>133</v>
      </c>
      <c r="C20" s="26"/>
      <c r="D20" s="26"/>
      <c r="E20" s="26"/>
      <c r="F20" s="18">
        <f t="shared" si="1"/>
        <v>0</v>
      </c>
      <c r="G20" s="18">
        <f t="shared" si="1"/>
        <v>0</v>
      </c>
      <c r="H20" s="18">
        <f t="shared" si="1"/>
        <v>0</v>
      </c>
      <c r="I20" s="18">
        <f t="shared" si="1"/>
        <v>0</v>
      </c>
      <c r="J20" s="18">
        <f t="shared" si="1"/>
        <v>0</v>
      </c>
      <c r="K20" s="17">
        <f t="shared" si="2"/>
        <v>0</v>
      </c>
      <c r="M20" s="24"/>
      <c r="N20" s="24"/>
      <c r="O20" s="25"/>
      <c r="P20" s="25"/>
      <c r="Q20" s="25"/>
      <c r="R20" s="24"/>
    </row>
    <row r="21" spans="1:18" x14ac:dyDescent="0.15">
      <c r="A21" s="27" t="s">
        <v>134</v>
      </c>
      <c r="B21" s="20" t="s">
        <v>135</v>
      </c>
      <c r="C21" s="26"/>
      <c r="D21" s="26"/>
      <c r="E21" s="26"/>
      <c r="F21" s="18">
        <f t="shared" si="1"/>
        <v>0</v>
      </c>
      <c r="G21" s="18">
        <f t="shared" si="1"/>
        <v>0</v>
      </c>
      <c r="H21" s="18">
        <f t="shared" si="1"/>
        <v>0</v>
      </c>
      <c r="I21" s="18">
        <f t="shared" si="1"/>
        <v>0</v>
      </c>
      <c r="J21" s="18">
        <f t="shared" si="1"/>
        <v>0</v>
      </c>
      <c r="K21" s="17">
        <f t="shared" si="2"/>
        <v>0</v>
      </c>
      <c r="M21" s="24"/>
      <c r="N21" s="24"/>
      <c r="O21" s="25"/>
      <c r="P21" s="25"/>
      <c r="Q21" s="25"/>
      <c r="R21" s="24"/>
    </row>
    <row r="22" spans="1:18" x14ac:dyDescent="0.15">
      <c r="A22" s="27" t="s">
        <v>136</v>
      </c>
      <c r="B22" s="20" t="s">
        <v>137</v>
      </c>
      <c r="C22" s="26"/>
      <c r="D22" s="26"/>
      <c r="E22" s="26"/>
      <c r="F22" s="18">
        <f t="shared" si="1"/>
        <v>0</v>
      </c>
      <c r="G22" s="18">
        <f t="shared" si="1"/>
        <v>0</v>
      </c>
      <c r="H22" s="18">
        <f t="shared" si="1"/>
        <v>0</v>
      </c>
      <c r="I22" s="18">
        <f t="shared" si="1"/>
        <v>0</v>
      </c>
      <c r="J22" s="18">
        <f t="shared" si="1"/>
        <v>0</v>
      </c>
      <c r="K22" s="17">
        <f t="shared" si="2"/>
        <v>0</v>
      </c>
      <c r="M22" s="24"/>
      <c r="N22" s="24"/>
      <c r="O22" s="25"/>
      <c r="P22" s="25"/>
      <c r="Q22" s="25"/>
      <c r="R22" s="24"/>
    </row>
    <row r="23" spans="1:18" x14ac:dyDescent="0.15">
      <c r="A23" s="27" t="s">
        <v>138</v>
      </c>
      <c r="B23" s="20" t="s">
        <v>139</v>
      </c>
      <c r="C23" s="26"/>
      <c r="D23" s="26"/>
      <c r="E23" s="26"/>
      <c r="F23" s="18">
        <f t="shared" si="1"/>
        <v>0</v>
      </c>
      <c r="G23" s="18">
        <f t="shared" si="1"/>
        <v>0</v>
      </c>
      <c r="H23" s="18">
        <f t="shared" si="1"/>
        <v>0</v>
      </c>
      <c r="I23" s="18">
        <f t="shared" si="1"/>
        <v>0</v>
      </c>
      <c r="J23" s="18">
        <f t="shared" si="1"/>
        <v>0</v>
      </c>
      <c r="K23" s="17">
        <f t="shared" si="2"/>
        <v>0</v>
      </c>
      <c r="M23" s="24"/>
      <c r="N23" s="24"/>
      <c r="O23" s="25"/>
      <c r="P23" s="25"/>
      <c r="Q23" s="25"/>
      <c r="R23" s="24"/>
    </row>
    <row r="24" spans="1:18" x14ac:dyDescent="0.15">
      <c r="A24" s="27" t="s">
        <v>140</v>
      </c>
      <c r="B24" s="20" t="s">
        <v>141</v>
      </c>
      <c r="C24" s="26"/>
      <c r="D24" s="26"/>
      <c r="E24" s="26"/>
      <c r="F24" s="18">
        <f t="shared" si="1"/>
        <v>0</v>
      </c>
      <c r="G24" s="18">
        <f t="shared" si="1"/>
        <v>0</v>
      </c>
      <c r="H24" s="18">
        <f t="shared" si="1"/>
        <v>0</v>
      </c>
      <c r="I24" s="18">
        <f t="shared" si="1"/>
        <v>0</v>
      </c>
      <c r="J24" s="18">
        <f t="shared" si="1"/>
        <v>0</v>
      </c>
      <c r="K24" s="17">
        <f t="shared" si="2"/>
        <v>0</v>
      </c>
      <c r="M24" s="24"/>
      <c r="N24" s="24"/>
      <c r="O24" s="25"/>
      <c r="P24" s="25"/>
      <c r="Q24" s="25"/>
      <c r="R24" s="24"/>
    </row>
    <row r="25" spans="1:18" x14ac:dyDescent="0.15">
      <c r="A25" s="27" t="s">
        <v>142</v>
      </c>
      <c r="B25" s="20" t="s">
        <v>143</v>
      </c>
      <c r="C25" s="26"/>
      <c r="D25" s="26"/>
      <c r="E25" s="26"/>
      <c r="F25" s="18">
        <f t="shared" si="1"/>
        <v>0</v>
      </c>
      <c r="G25" s="18">
        <f t="shared" si="1"/>
        <v>0</v>
      </c>
      <c r="H25" s="18">
        <f t="shared" si="1"/>
        <v>0</v>
      </c>
      <c r="I25" s="18">
        <f t="shared" si="1"/>
        <v>0</v>
      </c>
      <c r="J25" s="18">
        <f t="shared" si="1"/>
        <v>0</v>
      </c>
      <c r="K25" s="17">
        <f t="shared" si="2"/>
        <v>0</v>
      </c>
      <c r="M25" s="24"/>
      <c r="N25" s="24"/>
      <c r="O25" s="25"/>
      <c r="P25" s="25"/>
      <c r="Q25" s="25"/>
      <c r="R25" s="24"/>
    </row>
    <row r="26" spans="1:18" ht="16" x14ac:dyDescent="0.2">
      <c r="A26" s="27" t="s">
        <v>144</v>
      </c>
      <c r="B26" s="20" t="s">
        <v>145</v>
      </c>
      <c r="C26" s="26"/>
      <c r="D26" s="26"/>
      <c r="E26" s="26"/>
      <c r="F26" s="18">
        <f t="shared" ref="F26:J40" si="3">SUMIF($C$1:$E$1, F$15, $C26:$E26)</f>
        <v>0</v>
      </c>
      <c r="G26" s="18">
        <f t="shared" si="3"/>
        <v>0</v>
      </c>
      <c r="H26" s="18">
        <f t="shared" si="3"/>
        <v>0</v>
      </c>
      <c r="I26" s="18">
        <f t="shared" si="3"/>
        <v>0</v>
      </c>
      <c r="J26" s="18">
        <f t="shared" si="3"/>
        <v>0</v>
      </c>
      <c r="K26" s="17">
        <f t="shared" si="2"/>
        <v>0</v>
      </c>
      <c r="M26" s="24"/>
      <c r="N26" s="24"/>
      <c r="O26" s="25"/>
      <c r="P26" s="25"/>
      <c r="Q26" s="25"/>
      <c r="R26" s="24"/>
    </row>
    <row r="27" spans="1:18" x14ac:dyDescent="0.15">
      <c r="A27" s="27" t="s">
        <v>146</v>
      </c>
      <c r="B27" s="20" t="s">
        <v>147</v>
      </c>
      <c r="C27" s="26"/>
      <c r="D27" s="26"/>
      <c r="E27" s="26"/>
      <c r="F27" s="18">
        <f t="shared" si="3"/>
        <v>0</v>
      </c>
      <c r="G27" s="18">
        <f t="shared" si="3"/>
        <v>0</v>
      </c>
      <c r="H27" s="18">
        <f t="shared" si="3"/>
        <v>0</v>
      </c>
      <c r="I27" s="18">
        <f t="shared" si="3"/>
        <v>0</v>
      </c>
      <c r="J27" s="18">
        <f t="shared" si="3"/>
        <v>0</v>
      </c>
      <c r="K27" s="17">
        <f t="shared" si="2"/>
        <v>0</v>
      </c>
      <c r="M27" s="24"/>
      <c r="N27" s="24"/>
      <c r="O27" s="25"/>
      <c r="P27" s="25"/>
      <c r="Q27" s="25"/>
      <c r="R27" s="24"/>
    </row>
    <row r="28" spans="1:18" x14ac:dyDescent="0.15">
      <c r="A28" s="27" t="s">
        <v>148</v>
      </c>
      <c r="B28" s="20" t="s">
        <v>149</v>
      </c>
      <c r="C28" s="26"/>
      <c r="D28" s="26"/>
      <c r="E28" s="26"/>
      <c r="F28" s="18">
        <f t="shared" si="3"/>
        <v>0</v>
      </c>
      <c r="G28" s="18">
        <f t="shared" si="3"/>
        <v>0</v>
      </c>
      <c r="H28" s="18">
        <f t="shared" si="3"/>
        <v>0</v>
      </c>
      <c r="I28" s="18">
        <f t="shared" si="3"/>
        <v>0</v>
      </c>
      <c r="J28" s="18">
        <f t="shared" si="3"/>
        <v>0</v>
      </c>
      <c r="K28" s="17">
        <f t="shared" si="2"/>
        <v>0</v>
      </c>
      <c r="M28" s="24"/>
      <c r="N28" s="24"/>
      <c r="O28" s="25"/>
      <c r="P28" s="25"/>
      <c r="Q28" s="25"/>
      <c r="R28" s="24"/>
    </row>
    <row r="29" spans="1:18" x14ac:dyDescent="0.15">
      <c r="A29" s="27" t="s">
        <v>150</v>
      </c>
      <c r="B29" s="20" t="s">
        <v>151</v>
      </c>
      <c r="C29" s="26"/>
      <c r="D29" s="26"/>
      <c r="E29" s="26"/>
      <c r="F29" s="18">
        <f t="shared" si="3"/>
        <v>0</v>
      </c>
      <c r="G29" s="18">
        <f t="shared" si="3"/>
        <v>0</v>
      </c>
      <c r="H29" s="18">
        <f t="shared" si="3"/>
        <v>0</v>
      </c>
      <c r="I29" s="18">
        <f t="shared" si="3"/>
        <v>0</v>
      </c>
      <c r="J29" s="18">
        <f t="shared" si="3"/>
        <v>0</v>
      </c>
      <c r="K29" s="17">
        <f t="shared" si="2"/>
        <v>0</v>
      </c>
      <c r="M29" s="24"/>
      <c r="N29" s="24"/>
      <c r="O29" s="25"/>
      <c r="P29" s="25"/>
      <c r="Q29" s="25"/>
      <c r="R29" s="24"/>
    </row>
    <row r="30" spans="1:18" x14ac:dyDescent="0.15">
      <c r="A30" s="27"/>
      <c r="B30" s="20" t="s">
        <v>152</v>
      </c>
      <c r="C30" s="26"/>
      <c r="D30" s="26"/>
      <c r="E30" s="26"/>
      <c r="F30" s="18">
        <f t="shared" si="3"/>
        <v>0</v>
      </c>
      <c r="G30" s="18">
        <f t="shared" si="3"/>
        <v>0</v>
      </c>
      <c r="H30" s="18">
        <f t="shared" si="3"/>
        <v>0</v>
      </c>
      <c r="I30" s="18">
        <f t="shared" si="3"/>
        <v>0</v>
      </c>
      <c r="J30" s="18">
        <f t="shared" si="3"/>
        <v>0</v>
      </c>
      <c r="K30" s="17">
        <f t="shared" si="2"/>
        <v>0</v>
      </c>
      <c r="M30" s="24"/>
      <c r="N30" s="24"/>
      <c r="O30" s="25"/>
      <c r="P30" s="25"/>
      <c r="Q30" s="25"/>
      <c r="R30" s="24"/>
    </row>
    <row r="31" spans="1:18" x14ac:dyDescent="0.15">
      <c r="A31" s="27"/>
      <c r="B31" s="20"/>
      <c r="C31" s="26"/>
      <c r="D31" s="26"/>
      <c r="E31" s="26"/>
      <c r="F31" s="18">
        <f t="shared" si="3"/>
        <v>0</v>
      </c>
      <c r="G31" s="18">
        <f t="shared" si="3"/>
        <v>0</v>
      </c>
      <c r="H31" s="18">
        <f t="shared" si="3"/>
        <v>0</v>
      </c>
      <c r="I31" s="18">
        <f t="shared" si="3"/>
        <v>0</v>
      </c>
      <c r="J31" s="18">
        <f t="shared" si="3"/>
        <v>0</v>
      </c>
      <c r="K31" s="17">
        <f t="shared" si="2"/>
        <v>0</v>
      </c>
      <c r="M31" s="24"/>
      <c r="N31" s="24"/>
      <c r="O31" s="25"/>
      <c r="P31" s="25"/>
      <c r="Q31" s="25"/>
      <c r="R31" s="24"/>
    </row>
    <row r="32" spans="1:18" x14ac:dyDescent="0.15">
      <c r="A32" s="27"/>
      <c r="B32" s="20"/>
      <c r="C32" s="26"/>
      <c r="D32" s="26"/>
      <c r="E32" s="26"/>
      <c r="F32" s="18">
        <f t="shared" si="3"/>
        <v>0</v>
      </c>
      <c r="G32" s="18">
        <f t="shared" si="3"/>
        <v>0</v>
      </c>
      <c r="H32" s="18">
        <f t="shared" si="3"/>
        <v>0</v>
      </c>
      <c r="I32" s="18">
        <f t="shared" si="3"/>
        <v>0</v>
      </c>
      <c r="J32" s="18">
        <f t="shared" si="3"/>
        <v>0</v>
      </c>
      <c r="K32" s="17">
        <f t="shared" si="2"/>
        <v>0</v>
      </c>
      <c r="M32" s="24"/>
      <c r="N32" s="24"/>
      <c r="O32" s="25"/>
      <c r="P32" s="25"/>
      <c r="Q32" s="25"/>
      <c r="R32" s="24"/>
    </row>
    <row r="33" spans="1:21" x14ac:dyDescent="0.15">
      <c r="A33" s="27"/>
      <c r="B33" s="20"/>
      <c r="C33" s="26"/>
      <c r="D33" s="26"/>
      <c r="E33" s="26"/>
      <c r="F33" s="18">
        <f t="shared" si="3"/>
        <v>0</v>
      </c>
      <c r="G33" s="18">
        <f t="shared" si="3"/>
        <v>0</v>
      </c>
      <c r="H33" s="18">
        <f t="shared" si="3"/>
        <v>0</v>
      </c>
      <c r="I33" s="18">
        <f t="shared" si="3"/>
        <v>0</v>
      </c>
      <c r="J33" s="18">
        <f t="shared" si="3"/>
        <v>0</v>
      </c>
      <c r="K33" s="17">
        <f t="shared" si="2"/>
        <v>0</v>
      </c>
      <c r="M33" s="24"/>
      <c r="N33" s="24"/>
      <c r="O33" s="25"/>
      <c r="P33" s="25"/>
      <c r="Q33" s="25"/>
      <c r="R33" s="24"/>
    </row>
    <row r="34" spans="1:21" x14ac:dyDescent="0.15">
      <c r="A34" s="27"/>
      <c r="B34" s="20"/>
      <c r="C34" s="26"/>
      <c r="D34" s="26"/>
      <c r="E34" s="26"/>
      <c r="F34" s="18">
        <f t="shared" si="3"/>
        <v>0</v>
      </c>
      <c r="G34" s="18">
        <f t="shared" si="3"/>
        <v>0</v>
      </c>
      <c r="H34" s="18">
        <f t="shared" si="3"/>
        <v>0</v>
      </c>
      <c r="I34" s="18">
        <f t="shared" si="3"/>
        <v>0</v>
      </c>
      <c r="J34" s="18">
        <f t="shared" si="3"/>
        <v>0</v>
      </c>
      <c r="K34" s="17">
        <f t="shared" si="2"/>
        <v>0</v>
      </c>
      <c r="M34" s="24"/>
      <c r="N34" s="24"/>
      <c r="O34" s="25"/>
      <c r="P34" s="25"/>
      <c r="Q34" s="25"/>
      <c r="R34" s="24"/>
    </row>
    <row r="35" spans="1:21" x14ac:dyDescent="0.15">
      <c r="A35" s="27"/>
      <c r="B35" s="20"/>
      <c r="C35" s="26"/>
      <c r="D35" s="26"/>
      <c r="E35" s="26"/>
      <c r="F35" s="18">
        <f t="shared" si="3"/>
        <v>0</v>
      </c>
      <c r="G35" s="18">
        <f t="shared" si="3"/>
        <v>0</v>
      </c>
      <c r="H35" s="18">
        <f t="shared" si="3"/>
        <v>0</v>
      </c>
      <c r="I35" s="18">
        <f t="shared" si="3"/>
        <v>0</v>
      </c>
      <c r="J35" s="18">
        <f t="shared" si="3"/>
        <v>0</v>
      </c>
      <c r="K35" s="17">
        <f t="shared" si="2"/>
        <v>0</v>
      </c>
      <c r="M35" s="24"/>
      <c r="N35" s="24"/>
      <c r="O35" s="25"/>
      <c r="P35" s="25"/>
      <c r="Q35" s="25"/>
      <c r="R35" s="24"/>
    </row>
    <row r="36" spans="1:21" x14ac:dyDescent="0.15">
      <c r="A36" s="27"/>
      <c r="B36" s="20"/>
      <c r="C36" s="26"/>
      <c r="D36" s="26"/>
      <c r="E36" s="26"/>
      <c r="F36" s="18">
        <f t="shared" si="3"/>
        <v>0</v>
      </c>
      <c r="G36" s="18">
        <f t="shared" si="3"/>
        <v>0</v>
      </c>
      <c r="H36" s="18">
        <f t="shared" si="3"/>
        <v>0</v>
      </c>
      <c r="I36" s="18">
        <f t="shared" si="3"/>
        <v>0</v>
      </c>
      <c r="J36" s="18">
        <f t="shared" si="3"/>
        <v>0</v>
      </c>
      <c r="K36" s="17">
        <f t="shared" si="2"/>
        <v>0</v>
      </c>
      <c r="M36" s="24"/>
      <c r="N36" s="24"/>
      <c r="O36" s="25"/>
      <c r="P36" s="25"/>
      <c r="Q36" s="25"/>
      <c r="R36" s="24"/>
    </row>
    <row r="37" spans="1:21" x14ac:dyDescent="0.15">
      <c r="A37" s="27"/>
      <c r="B37" s="20"/>
      <c r="C37" s="26"/>
      <c r="D37" s="26"/>
      <c r="E37" s="26"/>
      <c r="F37" s="18">
        <f t="shared" si="3"/>
        <v>0</v>
      </c>
      <c r="G37" s="18">
        <f t="shared" si="3"/>
        <v>0</v>
      </c>
      <c r="H37" s="18">
        <f t="shared" si="3"/>
        <v>0</v>
      </c>
      <c r="I37" s="18">
        <f t="shared" si="3"/>
        <v>0</v>
      </c>
      <c r="J37" s="18">
        <f t="shared" si="3"/>
        <v>0</v>
      </c>
      <c r="K37" s="17">
        <f t="shared" si="2"/>
        <v>0</v>
      </c>
      <c r="M37" s="24"/>
      <c r="N37" s="24"/>
      <c r="O37" s="25"/>
      <c r="P37" s="25"/>
      <c r="Q37" s="25"/>
      <c r="R37" s="24"/>
    </row>
    <row r="38" spans="1:21" x14ac:dyDescent="0.15">
      <c r="A38" s="27"/>
      <c r="B38" s="20"/>
      <c r="C38" s="26"/>
      <c r="D38" s="26"/>
      <c r="E38" s="26"/>
      <c r="F38" s="18">
        <f t="shared" si="3"/>
        <v>0</v>
      </c>
      <c r="G38" s="18">
        <f t="shared" si="3"/>
        <v>0</v>
      </c>
      <c r="H38" s="18">
        <f t="shared" si="3"/>
        <v>0</v>
      </c>
      <c r="I38" s="18">
        <f t="shared" si="3"/>
        <v>0</v>
      </c>
      <c r="J38" s="18">
        <f t="shared" si="3"/>
        <v>0</v>
      </c>
      <c r="K38" s="17">
        <f t="shared" si="2"/>
        <v>0</v>
      </c>
      <c r="M38" s="24"/>
      <c r="N38" s="24"/>
      <c r="O38" s="25"/>
      <c r="P38" s="25"/>
      <c r="Q38" s="25"/>
      <c r="R38" s="24"/>
    </row>
    <row r="39" spans="1:21" x14ac:dyDescent="0.15">
      <c r="A39" s="27"/>
      <c r="B39" s="20"/>
      <c r="C39" s="26"/>
      <c r="D39" s="26"/>
      <c r="E39" s="26"/>
      <c r="F39" s="18">
        <f t="shared" si="3"/>
        <v>0</v>
      </c>
      <c r="G39" s="18">
        <f t="shared" si="3"/>
        <v>0</v>
      </c>
      <c r="H39" s="18">
        <f t="shared" si="3"/>
        <v>0</v>
      </c>
      <c r="I39" s="18">
        <f t="shared" si="3"/>
        <v>0</v>
      </c>
      <c r="J39" s="18">
        <f t="shared" si="3"/>
        <v>0</v>
      </c>
      <c r="K39" s="17">
        <f t="shared" si="2"/>
        <v>0</v>
      </c>
      <c r="M39" s="24"/>
      <c r="N39" s="24"/>
      <c r="O39" s="25"/>
      <c r="P39" s="25"/>
      <c r="Q39" s="25"/>
      <c r="R39" s="24"/>
    </row>
    <row r="40" spans="1:21" x14ac:dyDescent="0.15">
      <c r="A40" s="27"/>
      <c r="B40" s="20"/>
      <c r="C40" s="26"/>
      <c r="D40" s="26"/>
      <c r="E40" s="26"/>
      <c r="F40" s="18">
        <f t="shared" si="3"/>
        <v>0</v>
      </c>
      <c r="G40" s="18">
        <f t="shared" si="3"/>
        <v>0</v>
      </c>
      <c r="H40" s="18">
        <f t="shared" si="3"/>
        <v>0</v>
      </c>
      <c r="I40" s="18">
        <f t="shared" si="3"/>
        <v>0</v>
      </c>
      <c r="J40" s="18">
        <f t="shared" si="3"/>
        <v>0</v>
      </c>
      <c r="K40" s="17">
        <f t="shared" si="2"/>
        <v>0</v>
      </c>
      <c r="M40" s="24"/>
      <c r="N40" s="24"/>
      <c r="O40" s="25"/>
      <c r="P40" s="25"/>
      <c r="Q40" s="25"/>
      <c r="R40" s="24"/>
    </row>
    <row r="41" spans="1:21" x14ac:dyDescent="0.15">
      <c r="A41" s="16" t="s">
        <v>153</v>
      </c>
      <c r="B41" s="16"/>
      <c r="C41" s="15">
        <f t="shared" ref="C41:F41" si="4">SUM(C16:C40)</f>
        <v>0</v>
      </c>
      <c r="D41" s="15">
        <f t="shared" si="4"/>
        <v>0</v>
      </c>
      <c r="E41" s="15">
        <f t="shared" si="4"/>
        <v>0</v>
      </c>
      <c r="F41" s="15">
        <f t="shared" si="4"/>
        <v>0</v>
      </c>
      <c r="G41" s="15"/>
      <c r="H41" s="15">
        <f>SUM(H16:H40)</f>
        <v>0</v>
      </c>
      <c r="I41" s="15">
        <f>SUM(I16:I40)</f>
        <v>0</v>
      </c>
      <c r="J41" s="15">
        <f>SUM(J16:J40)</f>
        <v>0</v>
      </c>
      <c r="K41" s="15">
        <f>SUM(K16:K40)</f>
        <v>0</v>
      </c>
      <c r="M41" s="23"/>
      <c r="N41" s="23"/>
      <c r="O41" s="23"/>
      <c r="P41" s="23"/>
      <c r="Q41" s="23"/>
      <c r="R41" s="23"/>
    </row>
    <row r="42" spans="1:21" x14ac:dyDescent="0.15">
      <c r="L42" s="51"/>
      <c r="M42" s="51"/>
      <c r="N42" s="51"/>
      <c r="O42" s="51"/>
      <c r="P42" s="51"/>
      <c r="Q42" s="51"/>
      <c r="R42" s="51"/>
      <c r="S42" s="51"/>
      <c r="T42" s="51"/>
      <c r="U42" s="51"/>
    </row>
    <row r="43" spans="1:21" x14ac:dyDescent="0.15">
      <c r="F43" s="123" t="s">
        <v>156</v>
      </c>
      <c r="G43" s="123"/>
      <c r="H43" s="123"/>
      <c r="I43" s="123"/>
      <c r="J43" s="123"/>
      <c r="K43" s="125"/>
      <c r="L43" s="51"/>
      <c r="M43" s="124"/>
      <c r="N43" s="124"/>
      <c r="O43" s="124"/>
      <c r="P43" s="124"/>
      <c r="Q43" s="124"/>
      <c r="R43" s="124"/>
      <c r="S43" s="51"/>
      <c r="T43" s="51"/>
      <c r="U43" s="51"/>
    </row>
    <row r="44" spans="1:21" ht="50" x14ac:dyDescent="0.15">
      <c r="A44" s="22" t="s">
        <v>155</v>
      </c>
      <c r="F44" s="21" t="s">
        <v>113</v>
      </c>
      <c r="G44" s="21" t="s">
        <v>114</v>
      </c>
      <c r="H44" s="21" t="s">
        <v>115</v>
      </c>
      <c r="I44" s="21" t="s">
        <v>116</v>
      </c>
      <c r="J44" s="21" t="s">
        <v>117</v>
      </c>
      <c r="K44" s="48" t="s">
        <v>154</v>
      </c>
      <c r="L44" s="51"/>
      <c r="M44" s="52"/>
      <c r="N44" s="52"/>
      <c r="O44" s="52"/>
      <c r="P44" s="52"/>
      <c r="Q44" s="52"/>
      <c r="R44" s="53"/>
      <c r="S44" s="51"/>
      <c r="T44" s="51"/>
      <c r="U44" s="51"/>
    </row>
    <row r="45" spans="1:21" x14ac:dyDescent="0.15">
      <c r="A45" s="20"/>
      <c r="B45" s="20"/>
      <c r="C45" s="19">
        <f t="shared" ref="C45:E69" si="5">SUMIF($B:$B, $A45,C:C )</f>
        <v>0</v>
      </c>
      <c r="D45" s="19">
        <f t="shared" si="5"/>
        <v>0</v>
      </c>
      <c r="E45" s="19">
        <f t="shared" si="5"/>
        <v>0</v>
      </c>
      <c r="F45" s="18">
        <f t="shared" ref="F45:J54" si="6">SUMIF($C$1:$E$1, F$15, $C45:$E45)</f>
        <v>0</v>
      </c>
      <c r="G45" s="18">
        <f t="shared" si="6"/>
        <v>0</v>
      </c>
      <c r="H45" s="18">
        <f t="shared" si="6"/>
        <v>0</v>
      </c>
      <c r="I45" s="18">
        <f t="shared" si="6"/>
        <v>0</v>
      </c>
      <c r="J45" s="18">
        <f t="shared" si="6"/>
        <v>0</v>
      </c>
      <c r="K45" s="49">
        <f t="shared" ref="K45:K69" si="7">SUM(C45:E45)</f>
        <v>0</v>
      </c>
      <c r="L45" s="51"/>
      <c r="M45" s="24"/>
      <c r="N45" s="24"/>
      <c r="O45" s="25"/>
      <c r="P45" s="25"/>
      <c r="Q45" s="25"/>
      <c r="R45" s="24"/>
      <c r="S45" s="51"/>
      <c r="T45" s="51"/>
      <c r="U45" s="51"/>
    </row>
    <row r="46" spans="1:21" x14ac:dyDescent="0.15">
      <c r="A46" s="20"/>
      <c r="B46" s="20"/>
      <c r="C46" s="19">
        <f t="shared" si="5"/>
        <v>0</v>
      </c>
      <c r="D46" s="19">
        <f t="shared" si="5"/>
        <v>0</v>
      </c>
      <c r="E46" s="19">
        <f t="shared" si="5"/>
        <v>0</v>
      </c>
      <c r="F46" s="18">
        <f t="shared" si="6"/>
        <v>0</v>
      </c>
      <c r="G46" s="18">
        <f t="shared" si="6"/>
        <v>0</v>
      </c>
      <c r="H46" s="18">
        <f t="shared" si="6"/>
        <v>0</v>
      </c>
      <c r="I46" s="18">
        <f t="shared" si="6"/>
        <v>0</v>
      </c>
      <c r="J46" s="18">
        <f t="shared" si="6"/>
        <v>0</v>
      </c>
      <c r="K46" s="49">
        <f t="shared" si="7"/>
        <v>0</v>
      </c>
      <c r="L46" s="51"/>
      <c r="M46" s="24"/>
      <c r="N46" s="24"/>
      <c r="O46" s="25"/>
      <c r="P46" s="25"/>
      <c r="Q46" s="25"/>
      <c r="R46" s="24"/>
      <c r="S46" s="51"/>
      <c r="T46" s="51"/>
      <c r="U46" s="51"/>
    </row>
    <row r="47" spans="1:21" x14ac:dyDescent="0.15">
      <c r="A47" s="20"/>
      <c r="B47" s="20"/>
      <c r="C47" s="19">
        <f t="shared" si="5"/>
        <v>0</v>
      </c>
      <c r="D47" s="19">
        <f t="shared" si="5"/>
        <v>0</v>
      </c>
      <c r="E47" s="19">
        <f t="shared" si="5"/>
        <v>0</v>
      </c>
      <c r="F47" s="18">
        <f t="shared" si="6"/>
        <v>0</v>
      </c>
      <c r="G47" s="18">
        <f t="shared" si="6"/>
        <v>0</v>
      </c>
      <c r="H47" s="18">
        <f t="shared" si="6"/>
        <v>0</v>
      </c>
      <c r="I47" s="18">
        <f t="shared" si="6"/>
        <v>0</v>
      </c>
      <c r="J47" s="18">
        <f t="shared" si="6"/>
        <v>0</v>
      </c>
      <c r="K47" s="49">
        <f t="shared" si="7"/>
        <v>0</v>
      </c>
      <c r="L47" s="51"/>
      <c r="M47" s="24"/>
      <c r="N47" s="24"/>
      <c r="O47" s="25"/>
      <c r="P47" s="25"/>
      <c r="Q47" s="25"/>
      <c r="R47" s="24"/>
      <c r="S47" s="51"/>
      <c r="T47" s="51"/>
      <c r="U47" s="51"/>
    </row>
    <row r="48" spans="1:21" x14ac:dyDescent="0.15">
      <c r="A48" s="20"/>
      <c r="B48" s="20"/>
      <c r="C48" s="19">
        <f t="shared" si="5"/>
        <v>0</v>
      </c>
      <c r="D48" s="19">
        <f t="shared" si="5"/>
        <v>0</v>
      </c>
      <c r="E48" s="19">
        <f t="shared" si="5"/>
        <v>0</v>
      </c>
      <c r="F48" s="18">
        <f t="shared" si="6"/>
        <v>0</v>
      </c>
      <c r="G48" s="18">
        <f t="shared" si="6"/>
        <v>0</v>
      </c>
      <c r="H48" s="18">
        <f t="shared" si="6"/>
        <v>0</v>
      </c>
      <c r="I48" s="18">
        <f t="shared" si="6"/>
        <v>0</v>
      </c>
      <c r="J48" s="18">
        <f t="shared" si="6"/>
        <v>0</v>
      </c>
      <c r="K48" s="49">
        <f t="shared" si="7"/>
        <v>0</v>
      </c>
      <c r="L48" s="51"/>
      <c r="M48" s="24"/>
      <c r="N48" s="24"/>
      <c r="O48" s="25"/>
      <c r="P48" s="25"/>
      <c r="Q48" s="25"/>
      <c r="R48" s="24"/>
      <c r="S48" s="51"/>
      <c r="T48" s="51"/>
      <c r="U48" s="51"/>
    </row>
    <row r="49" spans="1:21" x14ac:dyDescent="0.15">
      <c r="A49" s="20"/>
      <c r="B49" s="20"/>
      <c r="C49" s="19">
        <f t="shared" si="5"/>
        <v>0</v>
      </c>
      <c r="D49" s="19">
        <f t="shared" si="5"/>
        <v>0</v>
      </c>
      <c r="E49" s="19">
        <f t="shared" si="5"/>
        <v>0</v>
      </c>
      <c r="F49" s="18">
        <f t="shared" si="6"/>
        <v>0</v>
      </c>
      <c r="G49" s="18">
        <f t="shared" si="6"/>
        <v>0</v>
      </c>
      <c r="H49" s="18">
        <f t="shared" si="6"/>
        <v>0</v>
      </c>
      <c r="I49" s="18">
        <f t="shared" si="6"/>
        <v>0</v>
      </c>
      <c r="J49" s="18">
        <f t="shared" si="6"/>
        <v>0</v>
      </c>
      <c r="K49" s="49">
        <f t="shared" si="7"/>
        <v>0</v>
      </c>
      <c r="L49" s="51"/>
      <c r="M49" s="24"/>
      <c r="N49" s="24"/>
      <c r="O49" s="25"/>
      <c r="P49" s="25"/>
      <c r="Q49" s="25"/>
      <c r="R49" s="24"/>
      <c r="S49" s="51"/>
      <c r="T49" s="51"/>
      <c r="U49" s="51"/>
    </row>
    <row r="50" spans="1:21" x14ac:dyDescent="0.15">
      <c r="A50" s="20"/>
      <c r="B50" s="20"/>
      <c r="C50" s="19">
        <f t="shared" si="5"/>
        <v>0</v>
      </c>
      <c r="D50" s="19">
        <f t="shared" si="5"/>
        <v>0</v>
      </c>
      <c r="E50" s="19">
        <f t="shared" si="5"/>
        <v>0</v>
      </c>
      <c r="F50" s="18">
        <f t="shared" si="6"/>
        <v>0</v>
      </c>
      <c r="G50" s="18">
        <f t="shared" si="6"/>
        <v>0</v>
      </c>
      <c r="H50" s="18">
        <f t="shared" si="6"/>
        <v>0</v>
      </c>
      <c r="I50" s="18">
        <f t="shared" si="6"/>
        <v>0</v>
      </c>
      <c r="J50" s="18">
        <f t="shared" si="6"/>
        <v>0</v>
      </c>
      <c r="K50" s="49">
        <f t="shared" si="7"/>
        <v>0</v>
      </c>
      <c r="L50" s="51"/>
      <c r="M50" s="24"/>
      <c r="N50" s="24"/>
      <c r="O50" s="25"/>
      <c r="P50" s="25"/>
      <c r="Q50" s="25"/>
      <c r="R50" s="24"/>
      <c r="S50" s="51"/>
      <c r="T50" s="51"/>
      <c r="U50" s="51"/>
    </row>
    <row r="51" spans="1:21" x14ac:dyDescent="0.15">
      <c r="A51" s="20"/>
      <c r="B51" s="20"/>
      <c r="C51" s="19">
        <f t="shared" si="5"/>
        <v>0</v>
      </c>
      <c r="D51" s="19">
        <f t="shared" si="5"/>
        <v>0</v>
      </c>
      <c r="E51" s="19">
        <f t="shared" si="5"/>
        <v>0</v>
      </c>
      <c r="F51" s="18">
        <f t="shared" si="6"/>
        <v>0</v>
      </c>
      <c r="G51" s="18">
        <f t="shared" si="6"/>
        <v>0</v>
      </c>
      <c r="H51" s="18">
        <f t="shared" si="6"/>
        <v>0</v>
      </c>
      <c r="I51" s="18">
        <f t="shared" si="6"/>
        <v>0</v>
      </c>
      <c r="J51" s="18">
        <f t="shared" si="6"/>
        <v>0</v>
      </c>
      <c r="K51" s="49">
        <f t="shared" si="7"/>
        <v>0</v>
      </c>
      <c r="L51" s="51"/>
      <c r="M51" s="24"/>
      <c r="N51" s="24"/>
      <c r="O51" s="25"/>
      <c r="P51" s="25"/>
      <c r="Q51" s="25"/>
      <c r="R51" s="24"/>
      <c r="S51" s="51"/>
      <c r="T51" s="51"/>
      <c r="U51" s="51"/>
    </row>
    <row r="52" spans="1:21" x14ac:dyDescent="0.15">
      <c r="A52" s="20"/>
      <c r="B52" s="20"/>
      <c r="C52" s="19">
        <f t="shared" si="5"/>
        <v>0</v>
      </c>
      <c r="D52" s="19">
        <f t="shared" si="5"/>
        <v>0</v>
      </c>
      <c r="E52" s="19">
        <f t="shared" si="5"/>
        <v>0</v>
      </c>
      <c r="F52" s="18">
        <f t="shared" si="6"/>
        <v>0</v>
      </c>
      <c r="G52" s="18">
        <f t="shared" si="6"/>
        <v>0</v>
      </c>
      <c r="H52" s="18">
        <f t="shared" si="6"/>
        <v>0</v>
      </c>
      <c r="I52" s="18">
        <f t="shared" si="6"/>
        <v>0</v>
      </c>
      <c r="J52" s="18">
        <f t="shared" si="6"/>
        <v>0</v>
      </c>
      <c r="K52" s="49">
        <f t="shared" si="7"/>
        <v>0</v>
      </c>
      <c r="L52" s="51"/>
      <c r="M52" s="24"/>
      <c r="N52" s="24"/>
      <c r="O52" s="25"/>
      <c r="P52" s="25"/>
      <c r="Q52" s="25"/>
      <c r="R52" s="24"/>
      <c r="S52" s="51"/>
      <c r="T52" s="51"/>
      <c r="U52" s="51"/>
    </row>
    <row r="53" spans="1:21" x14ac:dyDescent="0.15">
      <c r="A53" s="20"/>
      <c r="B53" s="20"/>
      <c r="C53" s="19">
        <f t="shared" si="5"/>
        <v>0</v>
      </c>
      <c r="D53" s="19">
        <f t="shared" si="5"/>
        <v>0</v>
      </c>
      <c r="E53" s="19">
        <f t="shared" si="5"/>
        <v>0</v>
      </c>
      <c r="F53" s="18">
        <f t="shared" si="6"/>
        <v>0</v>
      </c>
      <c r="G53" s="18">
        <f t="shared" si="6"/>
        <v>0</v>
      </c>
      <c r="H53" s="18">
        <f t="shared" si="6"/>
        <v>0</v>
      </c>
      <c r="I53" s="18">
        <f t="shared" si="6"/>
        <v>0</v>
      </c>
      <c r="J53" s="18">
        <f t="shared" si="6"/>
        <v>0</v>
      </c>
      <c r="K53" s="49">
        <f t="shared" si="7"/>
        <v>0</v>
      </c>
      <c r="L53" s="51"/>
      <c r="M53" s="24"/>
      <c r="N53" s="24"/>
      <c r="O53" s="25"/>
      <c r="P53" s="25"/>
      <c r="Q53" s="25"/>
      <c r="R53" s="24"/>
      <c r="S53" s="51"/>
      <c r="T53" s="51"/>
      <c r="U53" s="51"/>
    </row>
    <row r="54" spans="1:21" x14ac:dyDescent="0.15">
      <c r="A54" s="20"/>
      <c r="B54" s="20"/>
      <c r="C54" s="19">
        <f t="shared" si="5"/>
        <v>0</v>
      </c>
      <c r="D54" s="19">
        <f t="shared" si="5"/>
        <v>0</v>
      </c>
      <c r="E54" s="19">
        <f t="shared" si="5"/>
        <v>0</v>
      </c>
      <c r="F54" s="18">
        <f t="shared" si="6"/>
        <v>0</v>
      </c>
      <c r="G54" s="18">
        <f t="shared" si="6"/>
        <v>0</v>
      </c>
      <c r="H54" s="18">
        <f t="shared" si="6"/>
        <v>0</v>
      </c>
      <c r="I54" s="18">
        <f t="shared" si="6"/>
        <v>0</v>
      </c>
      <c r="J54" s="18">
        <f t="shared" si="6"/>
        <v>0</v>
      </c>
      <c r="K54" s="49">
        <f t="shared" si="7"/>
        <v>0</v>
      </c>
      <c r="L54" s="51"/>
      <c r="M54" s="24"/>
      <c r="N54" s="24"/>
      <c r="O54" s="25"/>
      <c r="P54" s="25"/>
      <c r="Q54" s="25"/>
      <c r="R54" s="24"/>
      <c r="S54" s="51"/>
      <c r="T54" s="51"/>
      <c r="U54" s="51"/>
    </row>
    <row r="55" spans="1:21" x14ac:dyDescent="0.15">
      <c r="A55" s="20"/>
      <c r="B55" s="20"/>
      <c r="C55" s="19">
        <f t="shared" si="5"/>
        <v>0</v>
      </c>
      <c r="D55" s="19">
        <f t="shared" si="5"/>
        <v>0</v>
      </c>
      <c r="E55" s="19">
        <f t="shared" si="5"/>
        <v>0</v>
      </c>
      <c r="F55" s="18">
        <f t="shared" ref="F55:J69" si="8">SUMIF($C$1:$E$1, F$15, $C55:$E55)</f>
        <v>0</v>
      </c>
      <c r="G55" s="18">
        <f t="shared" si="8"/>
        <v>0</v>
      </c>
      <c r="H55" s="18">
        <f t="shared" si="8"/>
        <v>0</v>
      </c>
      <c r="I55" s="18">
        <f t="shared" si="8"/>
        <v>0</v>
      </c>
      <c r="J55" s="18">
        <f t="shared" si="8"/>
        <v>0</v>
      </c>
      <c r="K55" s="49">
        <f t="shared" si="7"/>
        <v>0</v>
      </c>
      <c r="L55" s="51"/>
      <c r="M55" s="24"/>
      <c r="N55" s="24"/>
      <c r="O55" s="25"/>
      <c r="P55" s="25"/>
      <c r="Q55" s="25"/>
      <c r="R55" s="24"/>
      <c r="S55" s="51"/>
      <c r="T55" s="51"/>
      <c r="U55" s="51"/>
    </row>
    <row r="56" spans="1:21" x14ac:dyDescent="0.15">
      <c r="A56" s="20"/>
      <c r="B56" s="20"/>
      <c r="C56" s="19">
        <f t="shared" si="5"/>
        <v>0</v>
      </c>
      <c r="D56" s="19">
        <f t="shared" si="5"/>
        <v>0</v>
      </c>
      <c r="E56" s="19">
        <f t="shared" si="5"/>
        <v>0</v>
      </c>
      <c r="F56" s="18">
        <f t="shared" si="8"/>
        <v>0</v>
      </c>
      <c r="G56" s="18">
        <f t="shared" si="8"/>
        <v>0</v>
      </c>
      <c r="H56" s="18">
        <f t="shared" si="8"/>
        <v>0</v>
      </c>
      <c r="I56" s="18">
        <f t="shared" si="8"/>
        <v>0</v>
      </c>
      <c r="J56" s="18">
        <f t="shared" si="8"/>
        <v>0</v>
      </c>
      <c r="K56" s="49">
        <f t="shared" si="7"/>
        <v>0</v>
      </c>
      <c r="L56" s="51"/>
      <c r="M56" s="24"/>
      <c r="N56" s="24"/>
      <c r="O56" s="25"/>
      <c r="P56" s="25"/>
      <c r="Q56" s="25"/>
      <c r="R56" s="24"/>
      <c r="S56" s="51"/>
      <c r="T56" s="51"/>
      <c r="U56" s="51"/>
    </row>
    <row r="57" spans="1:21" x14ac:dyDescent="0.15">
      <c r="A57" s="20"/>
      <c r="B57" s="20"/>
      <c r="C57" s="19">
        <f t="shared" si="5"/>
        <v>0</v>
      </c>
      <c r="D57" s="19">
        <f t="shared" si="5"/>
        <v>0</v>
      </c>
      <c r="E57" s="19">
        <f t="shared" si="5"/>
        <v>0</v>
      </c>
      <c r="F57" s="18">
        <f t="shared" si="8"/>
        <v>0</v>
      </c>
      <c r="G57" s="18">
        <f t="shared" si="8"/>
        <v>0</v>
      </c>
      <c r="H57" s="18">
        <f t="shared" si="8"/>
        <v>0</v>
      </c>
      <c r="I57" s="18">
        <f t="shared" si="8"/>
        <v>0</v>
      </c>
      <c r="J57" s="18">
        <f t="shared" si="8"/>
        <v>0</v>
      </c>
      <c r="K57" s="49">
        <f t="shared" si="7"/>
        <v>0</v>
      </c>
      <c r="L57" s="51"/>
      <c r="M57" s="24"/>
      <c r="N57" s="24"/>
      <c r="O57" s="25"/>
      <c r="P57" s="25"/>
      <c r="Q57" s="25"/>
      <c r="R57" s="24"/>
      <c r="S57" s="51"/>
      <c r="T57" s="51"/>
      <c r="U57" s="51"/>
    </row>
    <row r="58" spans="1:21" x14ac:dyDescent="0.15">
      <c r="A58" s="20"/>
      <c r="B58" s="20"/>
      <c r="C58" s="19">
        <f t="shared" si="5"/>
        <v>0</v>
      </c>
      <c r="D58" s="19">
        <f t="shared" si="5"/>
        <v>0</v>
      </c>
      <c r="E58" s="19">
        <f t="shared" si="5"/>
        <v>0</v>
      </c>
      <c r="F58" s="18">
        <f t="shared" si="8"/>
        <v>0</v>
      </c>
      <c r="G58" s="18">
        <f t="shared" si="8"/>
        <v>0</v>
      </c>
      <c r="H58" s="18">
        <f t="shared" si="8"/>
        <v>0</v>
      </c>
      <c r="I58" s="18">
        <f t="shared" si="8"/>
        <v>0</v>
      </c>
      <c r="J58" s="18">
        <f t="shared" si="8"/>
        <v>0</v>
      </c>
      <c r="K58" s="49">
        <f t="shared" si="7"/>
        <v>0</v>
      </c>
      <c r="L58" s="51"/>
      <c r="M58" s="24"/>
      <c r="N58" s="24"/>
      <c r="O58" s="25"/>
      <c r="P58" s="25"/>
      <c r="Q58" s="25"/>
      <c r="R58" s="24"/>
      <c r="S58" s="51"/>
      <c r="T58" s="51"/>
      <c r="U58" s="51"/>
    </row>
    <row r="59" spans="1:21" x14ac:dyDescent="0.15">
      <c r="A59" s="20"/>
      <c r="B59" s="20"/>
      <c r="C59" s="19">
        <f t="shared" si="5"/>
        <v>0</v>
      </c>
      <c r="D59" s="19">
        <f t="shared" si="5"/>
        <v>0</v>
      </c>
      <c r="E59" s="19">
        <f t="shared" si="5"/>
        <v>0</v>
      </c>
      <c r="F59" s="18">
        <f t="shared" si="8"/>
        <v>0</v>
      </c>
      <c r="G59" s="18">
        <f t="shared" si="8"/>
        <v>0</v>
      </c>
      <c r="H59" s="18">
        <f t="shared" si="8"/>
        <v>0</v>
      </c>
      <c r="I59" s="18">
        <f t="shared" si="8"/>
        <v>0</v>
      </c>
      <c r="J59" s="18">
        <f t="shared" si="8"/>
        <v>0</v>
      </c>
      <c r="K59" s="49">
        <f t="shared" si="7"/>
        <v>0</v>
      </c>
      <c r="L59" s="51"/>
      <c r="M59" s="24"/>
      <c r="N59" s="24"/>
      <c r="O59" s="25"/>
      <c r="P59" s="25"/>
      <c r="Q59" s="25"/>
      <c r="R59" s="24"/>
      <c r="S59" s="51"/>
      <c r="T59" s="51"/>
      <c r="U59" s="51"/>
    </row>
    <row r="60" spans="1:21" x14ac:dyDescent="0.15">
      <c r="A60" s="20"/>
      <c r="B60" s="20"/>
      <c r="C60" s="19">
        <f t="shared" si="5"/>
        <v>0</v>
      </c>
      <c r="D60" s="19">
        <f t="shared" si="5"/>
        <v>0</v>
      </c>
      <c r="E60" s="19">
        <f t="shared" si="5"/>
        <v>0</v>
      </c>
      <c r="F60" s="18">
        <f t="shared" si="8"/>
        <v>0</v>
      </c>
      <c r="G60" s="18">
        <f t="shared" si="8"/>
        <v>0</v>
      </c>
      <c r="H60" s="18">
        <f t="shared" si="8"/>
        <v>0</v>
      </c>
      <c r="I60" s="18">
        <f t="shared" si="8"/>
        <v>0</v>
      </c>
      <c r="J60" s="18">
        <f t="shared" si="8"/>
        <v>0</v>
      </c>
      <c r="K60" s="49">
        <f t="shared" si="7"/>
        <v>0</v>
      </c>
      <c r="L60" s="51"/>
      <c r="M60" s="24"/>
      <c r="N60" s="24"/>
      <c r="O60" s="25"/>
      <c r="P60" s="25"/>
      <c r="Q60" s="25"/>
      <c r="R60" s="24"/>
      <c r="S60" s="51"/>
      <c r="T60" s="51"/>
      <c r="U60" s="51"/>
    </row>
    <row r="61" spans="1:21" x14ac:dyDescent="0.15">
      <c r="A61" s="20"/>
      <c r="B61" s="20"/>
      <c r="C61" s="19">
        <f t="shared" si="5"/>
        <v>0</v>
      </c>
      <c r="D61" s="19">
        <f t="shared" si="5"/>
        <v>0</v>
      </c>
      <c r="E61" s="19">
        <f t="shared" si="5"/>
        <v>0</v>
      </c>
      <c r="F61" s="18">
        <f t="shared" si="8"/>
        <v>0</v>
      </c>
      <c r="G61" s="18">
        <f t="shared" si="8"/>
        <v>0</v>
      </c>
      <c r="H61" s="18">
        <f t="shared" si="8"/>
        <v>0</v>
      </c>
      <c r="I61" s="18">
        <f t="shared" si="8"/>
        <v>0</v>
      </c>
      <c r="J61" s="18">
        <f t="shared" si="8"/>
        <v>0</v>
      </c>
      <c r="K61" s="49">
        <f t="shared" si="7"/>
        <v>0</v>
      </c>
      <c r="L61" s="51"/>
      <c r="M61" s="24"/>
      <c r="N61" s="24"/>
      <c r="O61" s="25"/>
      <c r="P61" s="25"/>
      <c r="Q61" s="25"/>
      <c r="R61" s="24"/>
      <c r="S61" s="51"/>
      <c r="T61" s="51"/>
      <c r="U61" s="51"/>
    </row>
    <row r="62" spans="1:21" x14ac:dyDescent="0.15">
      <c r="A62" s="20"/>
      <c r="B62" s="20"/>
      <c r="C62" s="19">
        <f t="shared" si="5"/>
        <v>0</v>
      </c>
      <c r="D62" s="19">
        <f t="shared" si="5"/>
        <v>0</v>
      </c>
      <c r="E62" s="19">
        <f t="shared" si="5"/>
        <v>0</v>
      </c>
      <c r="F62" s="18">
        <f t="shared" si="8"/>
        <v>0</v>
      </c>
      <c r="G62" s="18">
        <f t="shared" si="8"/>
        <v>0</v>
      </c>
      <c r="H62" s="18">
        <f t="shared" si="8"/>
        <v>0</v>
      </c>
      <c r="I62" s="18">
        <f t="shared" si="8"/>
        <v>0</v>
      </c>
      <c r="J62" s="18">
        <f t="shared" si="8"/>
        <v>0</v>
      </c>
      <c r="K62" s="49">
        <f t="shared" si="7"/>
        <v>0</v>
      </c>
      <c r="L62" s="51"/>
      <c r="M62" s="24"/>
      <c r="N62" s="24"/>
      <c r="O62" s="25"/>
      <c r="P62" s="25"/>
      <c r="Q62" s="25"/>
      <c r="R62" s="24"/>
      <c r="S62" s="51"/>
      <c r="T62" s="51"/>
      <c r="U62" s="51"/>
    </row>
    <row r="63" spans="1:21" x14ac:dyDescent="0.15">
      <c r="A63" s="20"/>
      <c r="B63" s="20"/>
      <c r="C63" s="19">
        <f t="shared" si="5"/>
        <v>0</v>
      </c>
      <c r="D63" s="19">
        <f t="shared" si="5"/>
        <v>0</v>
      </c>
      <c r="E63" s="19">
        <f t="shared" si="5"/>
        <v>0</v>
      </c>
      <c r="F63" s="18">
        <f t="shared" si="8"/>
        <v>0</v>
      </c>
      <c r="G63" s="18">
        <f t="shared" si="8"/>
        <v>0</v>
      </c>
      <c r="H63" s="18">
        <f t="shared" si="8"/>
        <v>0</v>
      </c>
      <c r="I63" s="18">
        <f t="shared" si="8"/>
        <v>0</v>
      </c>
      <c r="J63" s="18">
        <f t="shared" si="8"/>
        <v>0</v>
      </c>
      <c r="K63" s="49">
        <f t="shared" si="7"/>
        <v>0</v>
      </c>
      <c r="L63" s="51"/>
      <c r="M63" s="24"/>
      <c r="N63" s="24"/>
      <c r="O63" s="25"/>
      <c r="P63" s="25"/>
      <c r="Q63" s="25"/>
      <c r="R63" s="24"/>
      <c r="S63" s="51"/>
      <c r="T63" s="51"/>
      <c r="U63" s="51"/>
    </row>
    <row r="64" spans="1:21" x14ac:dyDescent="0.15">
      <c r="A64" s="20"/>
      <c r="B64" s="20"/>
      <c r="C64" s="19">
        <f t="shared" si="5"/>
        <v>0</v>
      </c>
      <c r="D64" s="19">
        <f t="shared" si="5"/>
        <v>0</v>
      </c>
      <c r="E64" s="19">
        <f t="shared" si="5"/>
        <v>0</v>
      </c>
      <c r="F64" s="18">
        <f t="shared" si="8"/>
        <v>0</v>
      </c>
      <c r="G64" s="18">
        <f t="shared" si="8"/>
        <v>0</v>
      </c>
      <c r="H64" s="18">
        <f t="shared" si="8"/>
        <v>0</v>
      </c>
      <c r="I64" s="18">
        <f t="shared" si="8"/>
        <v>0</v>
      </c>
      <c r="J64" s="18">
        <f t="shared" si="8"/>
        <v>0</v>
      </c>
      <c r="K64" s="49">
        <f t="shared" si="7"/>
        <v>0</v>
      </c>
      <c r="L64" s="51"/>
      <c r="M64" s="24"/>
      <c r="N64" s="24"/>
      <c r="O64" s="25"/>
      <c r="P64" s="25"/>
      <c r="Q64" s="25"/>
      <c r="R64" s="24"/>
      <c r="S64" s="51"/>
      <c r="T64" s="51"/>
      <c r="U64" s="51"/>
    </row>
    <row r="65" spans="1:21" x14ac:dyDescent="0.15">
      <c r="A65" s="20"/>
      <c r="B65" s="20"/>
      <c r="C65" s="19">
        <f t="shared" si="5"/>
        <v>0</v>
      </c>
      <c r="D65" s="19">
        <f t="shared" si="5"/>
        <v>0</v>
      </c>
      <c r="E65" s="19">
        <f t="shared" si="5"/>
        <v>0</v>
      </c>
      <c r="F65" s="18">
        <f t="shared" si="8"/>
        <v>0</v>
      </c>
      <c r="G65" s="18">
        <f t="shared" si="8"/>
        <v>0</v>
      </c>
      <c r="H65" s="18">
        <f t="shared" si="8"/>
        <v>0</v>
      </c>
      <c r="I65" s="18">
        <f t="shared" si="8"/>
        <v>0</v>
      </c>
      <c r="J65" s="18">
        <f t="shared" si="8"/>
        <v>0</v>
      </c>
      <c r="K65" s="49">
        <f t="shared" si="7"/>
        <v>0</v>
      </c>
      <c r="L65" s="51"/>
      <c r="M65" s="24"/>
      <c r="N65" s="24"/>
      <c r="O65" s="25"/>
      <c r="P65" s="25"/>
      <c r="Q65" s="25"/>
      <c r="R65" s="24"/>
      <c r="S65" s="51"/>
      <c r="T65" s="51"/>
      <c r="U65" s="51"/>
    </row>
    <row r="66" spans="1:21" x14ac:dyDescent="0.15">
      <c r="A66" s="20"/>
      <c r="B66" s="20"/>
      <c r="C66" s="19">
        <f t="shared" si="5"/>
        <v>0</v>
      </c>
      <c r="D66" s="19">
        <f t="shared" si="5"/>
        <v>0</v>
      </c>
      <c r="E66" s="19">
        <f t="shared" si="5"/>
        <v>0</v>
      </c>
      <c r="F66" s="18">
        <f t="shared" si="8"/>
        <v>0</v>
      </c>
      <c r="G66" s="18">
        <f t="shared" si="8"/>
        <v>0</v>
      </c>
      <c r="H66" s="18">
        <f t="shared" si="8"/>
        <v>0</v>
      </c>
      <c r="I66" s="18">
        <f t="shared" si="8"/>
        <v>0</v>
      </c>
      <c r="J66" s="18">
        <f t="shared" si="8"/>
        <v>0</v>
      </c>
      <c r="K66" s="49">
        <f t="shared" si="7"/>
        <v>0</v>
      </c>
      <c r="L66" s="51"/>
      <c r="M66" s="24"/>
      <c r="N66" s="24"/>
      <c r="O66" s="25"/>
      <c r="P66" s="25"/>
      <c r="Q66" s="25"/>
      <c r="R66" s="24"/>
      <c r="S66" s="51"/>
      <c r="T66" s="51"/>
      <c r="U66" s="51"/>
    </row>
    <row r="67" spans="1:21" x14ac:dyDescent="0.15">
      <c r="A67" s="20"/>
      <c r="B67" s="20"/>
      <c r="C67" s="19">
        <f t="shared" si="5"/>
        <v>0</v>
      </c>
      <c r="D67" s="19">
        <f t="shared" si="5"/>
        <v>0</v>
      </c>
      <c r="E67" s="19">
        <f t="shared" si="5"/>
        <v>0</v>
      </c>
      <c r="F67" s="18">
        <f t="shared" si="8"/>
        <v>0</v>
      </c>
      <c r="G67" s="18">
        <f t="shared" si="8"/>
        <v>0</v>
      </c>
      <c r="H67" s="18">
        <f t="shared" si="8"/>
        <v>0</v>
      </c>
      <c r="I67" s="18">
        <f t="shared" si="8"/>
        <v>0</v>
      </c>
      <c r="J67" s="18">
        <f t="shared" si="8"/>
        <v>0</v>
      </c>
      <c r="K67" s="49">
        <f t="shared" si="7"/>
        <v>0</v>
      </c>
      <c r="L67" s="51"/>
      <c r="M67" s="24"/>
      <c r="N67" s="24"/>
      <c r="O67" s="25"/>
      <c r="P67" s="25"/>
      <c r="Q67" s="25"/>
      <c r="R67" s="24"/>
      <c r="S67" s="51"/>
      <c r="T67" s="51"/>
      <c r="U67" s="51"/>
    </row>
    <row r="68" spans="1:21" x14ac:dyDescent="0.15">
      <c r="A68" s="20"/>
      <c r="B68" s="20"/>
      <c r="C68" s="19">
        <f t="shared" si="5"/>
        <v>0</v>
      </c>
      <c r="D68" s="19">
        <f t="shared" si="5"/>
        <v>0</v>
      </c>
      <c r="E68" s="19">
        <f t="shared" si="5"/>
        <v>0</v>
      </c>
      <c r="F68" s="18">
        <f t="shared" si="8"/>
        <v>0</v>
      </c>
      <c r="G68" s="18">
        <f t="shared" si="8"/>
        <v>0</v>
      </c>
      <c r="H68" s="18">
        <f t="shared" si="8"/>
        <v>0</v>
      </c>
      <c r="I68" s="18">
        <f t="shared" si="8"/>
        <v>0</v>
      </c>
      <c r="J68" s="18">
        <f t="shared" si="8"/>
        <v>0</v>
      </c>
      <c r="K68" s="49">
        <f t="shared" si="7"/>
        <v>0</v>
      </c>
      <c r="L68" s="51"/>
      <c r="M68" s="24"/>
      <c r="N68" s="24"/>
      <c r="O68" s="25"/>
      <c r="P68" s="25"/>
      <c r="Q68" s="25"/>
      <c r="R68" s="24"/>
      <c r="S68" s="51"/>
      <c r="T68" s="51"/>
      <c r="U68" s="51"/>
    </row>
    <row r="69" spans="1:21" x14ac:dyDescent="0.15">
      <c r="A69" s="20"/>
      <c r="B69" s="20"/>
      <c r="C69" s="19">
        <f t="shared" si="5"/>
        <v>0</v>
      </c>
      <c r="D69" s="19">
        <f t="shared" si="5"/>
        <v>0</v>
      </c>
      <c r="E69" s="19">
        <f t="shared" si="5"/>
        <v>0</v>
      </c>
      <c r="F69" s="18">
        <f t="shared" si="8"/>
        <v>0</v>
      </c>
      <c r="G69" s="18">
        <f t="shared" si="8"/>
        <v>0</v>
      </c>
      <c r="H69" s="18">
        <f t="shared" si="8"/>
        <v>0</v>
      </c>
      <c r="I69" s="18">
        <f t="shared" si="8"/>
        <v>0</v>
      </c>
      <c r="J69" s="18">
        <f t="shared" si="8"/>
        <v>0</v>
      </c>
      <c r="K69" s="49">
        <f t="shared" si="7"/>
        <v>0</v>
      </c>
      <c r="L69" s="51"/>
      <c r="M69" s="24"/>
      <c r="N69" s="24"/>
      <c r="O69" s="25"/>
      <c r="P69" s="25"/>
      <c r="Q69" s="25"/>
      <c r="R69" s="24"/>
      <c r="S69" s="51"/>
      <c r="T69" s="51"/>
      <c r="U69" s="51"/>
    </row>
    <row r="70" spans="1:21" x14ac:dyDescent="0.15">
      <c r="A70" s="16" t="s">
        <v>153</v>
      </c>
      <c r="B70" s="16"/>
      <c r="C70" s="15">
        <f t="shared" ref="C70:K70" si="9">SUM(C45:C69)</f>
        <v>0</v>
      </c>
      <c r="D70" s="15">
        <f t="shared" si="9"/>
        <v>0</v>
      </c>
      <c r="E70" s="15">
        <f t="shared" si="9"/>
        <v>0</v>
      </c>
      <c r="F70" s="15">
        <f t="shared" si="9"/>
        <v>0</v>
      </c>
      <c r="G70" s="15">
        <f t="shared" si="9"/>
        <v>0</v>
      </c>
      <c r="H70" s="15">
        <f t="shared" si="9"/>
        <v>0</v>
      </c>
      <c r="I70" s="15">
        <f t="shared" si="9"/>
        <v>0</v>
      </c>
      <c r="J70" s="15">
        <f t="shared" si="9"/>
        <v>0</v>
      </c>
      <c r="K70" s="50">
        <f t="shared" si="9"/>
        <v>0</v>
      </c>
      <c r="L70" s="51"/>
      <c r="M70" s="23"/>
      <c r="N70" s="23"/>
      <c r="O70" s="23"/>
      <c r="P70" s="23"/>
      <c r="Q70" s="23"/>
      <c r="R70" s="23"/>
      <c r="S70" s="51"/>
      <c r="T70" s="51"/>
      <c r="U70" s="51"/>
    </row>
    <row r="71" spans="1:21" x14ac:dyDescent="0.15">
      <c r="L71" s="51"/>
      <c r="M71" s="51"/>
      <c r="N71" s="51"/>
      <c r="O71" s="51"/>
      <c r="P71" s="51"/>
      <c r="Q71" s="51"/>
      <c r="R71" s="51"/>
      <c r="S71" s="51"/>
      <c r="T71" s="51"/>
      <c r="U71" s="51"/>
    </row>
  </sheetData>
  <sheetProtection formatCells="0" formatColumns="0" formatRows="0"/>
  <mergeCells count="3">
    <mergeCell ref="F13:K13"/>
    <mergeCell ref="M43:R43"/>
    <mergeCell ref="F43:K43"/>
  </mergeCells>
  <conditionalFormatting sqref="F46:J69 F22:J22 F24:J40 F16:J20">
    <cfRule type="expression" dxfId="12" priority="11">
      <formula>ABS(F16-M16)/(M16+0.000001)&gt;0.1</formula>
    </cfRule>
  </conditionalFormatting>
  <conditionalFormatting sqref="C5:D5 C2:E4 C6:E11">
    <cfRule type="expression" dxfId="11" priority="12">
      <formula>C$1=$B2</formula>
    </cfRule>
  </conditionalFormatting>
  <conditionalFormatting sqref="F45:J45">
    <cfRule type="expression" dxfId="10" priority="17">
      <formula>ABS(F45-#REF!)/(#REF!+0.000001)&gt;0.1</formula>
    </cfRule>
  </conditionalFormatting>
  <conditionalFormatting sqref="F23:J23">
    <cfRule type="expression" dxfId="9" priority="3">
      <formula>ABS(F23-M23)/(M23+0.000001)&gt;0.1</formula>
    </cfRule>
  </conditionalFormatting>
  <conditionalFormatting sqref="F21:J21">
    <cfRule type="expression" dxfId="8" priority="2">
      <formula>ABS(F21-M21)/(M21+0.000001)&gt;0.1</formula>
    </cfRule>
  </conditionalFormatting>
  <conditionalFormatting sqref="D5:E5">
    <cfRule type="expression" dxfId="7" priority="28">
      <formula>#REF!=$B5</formula>
    </cfRule>
  </conditionalFormatting>
  <dataValidations count="2">
    <dataValidation type="list" allowBlank="1" showInputMessage="1" showErrorMessage="1" sqref="B16:B40">
      <formula1>ROLES</formula1>
    </dataValidation>
    <dataValidation type="list" allowBlank="1" showInputMessage="1" showErrorMessage="1" sqref="C1:E1">
      <formula1>PHASES</formula1>
    </dataValidation>
  </dataValidations>
  <pageMargins left="0.7" right="0.7" top="0.75" bottom="0.75" header="0.3" footer="0.3"/>
  <pageSetup orientation="landscape" horizontalDpi="4294967293" verticalDpi="429496729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workbookViewId="0">
      <selection activeCell="B17" sqref="B17:E20"/>
    </sheetView>
  </sheetViews>
  <sheetFormatPr baseColWidth="10" defaultRowHeight="16" x14ac:dyDescent="0.2"/>
  <cols>
    <col min="1" max="1" width="36.6640625" customWidth="1"/>
    <col min="2" max="2" width="18.83203125" customWidth="1"/>
    <col min="3" max="3" width="19.83203125" customWidth="1"/>
    <col min="4" max="4" width="16.1640625" customWidth="1"/>
    <col min="5" max="5" width="20.1640625" customWidth="1"/>
    <col min="6" max="6" width="18.83203125" style="91" customWidth="1"/>
    <col min="7" max="7" width="20.33203125" style="91" customWidth="1"/>
  </cols>
  <sheetData>
    <row r="1" spans="1:7" ht="37" customHeight="1" thickBot="1" x14ac:dyDescent="0.25">
      <c r="A1" s="97" t="s">
        <v>244</v>
      </c>
      <c r="B1" s="98" t="s">
        <v>245</v>
      </c>
      <c r="C1" s="98" t="s">
        <v>246</v>
      </c>
      <c r="D1" s="98" t="s">
        <v>247</v>
      </c>
      <c r="E1" s="98" t="s">
        <v>248</v>
      </c>
      <c r="F1" s="99" t="s">
        <v>250</v>
      </c>
      <c r="G1" s="100" t="s">
        <v>249</v>
      </c>
    </row>
    <row r="2" spans="1:7" ht="18" thickTop="1" thickBot="1" x14ac:dyDescent="0.25">
      <c r="A2" s="80" t="s">
        <v>238</v>
      </c>
      <c r="B2" s="82">
        <f>VLOOKUP('Project Parameters'!$B$5,Data!$M$1:$N$5,2,0)*'Effort Estimates'!C2</f>
        <v>4.9674239999999994</v>
      </c>
      <c r="C2" s="83">
        <f>(100%-VLOOKUP('Project Parameters'!$B$5,Data!$M$1:$N$5,2,0))*'Effort Estimates'!C2</f>
        <v>19.869695999999998</v>
      </c>
      <c r="D2" s="82">
        <f>B2*Data!AJ4</f>
        <v>596.09087999999997</v>
      </c>
      <c r="E2" s="84">
        <f>C2*Data!AJ5</f>
        <v>794.78783999999996</v>
      </c>
      <c r="F2" s="93">
        <f>SUM('Cost Estimates'!$B2:$C2)*Data!AJ4</f>
        <v>2980.4543999999996</v>
      </c>
      <c r="G2" s="92">
        <f>('Cost Estimates'!$F2-$E2)/$F2</f>
        <v>0.73333333333333328</v>
      </c>
    </row>
    <row r="3" spans="1:7" ht="18" thickTop="1" thickBot="1" x14ac:dyDescent="0.25">
      <c r="A3" s="81" t="s">
        <v>239</v>
      </c>
      <c r="B3" s="88">
        <f>VLOOKUP('Project Parameters'!$B$5,Data!$M$1:$N$5,2,0)*'Effort Estimates'!C3</f>
        <v>4.9674239999999994</v>
      </c>
      <c r="C3" s="89">
        <f>(100%-VLOOKUP('Project Parameters'!$B$5,Data!$M$1:$N$5,2,0))*'Effort Estimates'!C3</f>
        <v>19.869695999999998</v>
      </c>
      <c r="D3" s="88">
        <f>B3*Data!AJ6</f>
        <v>596.09087999999997</v>
      </c>
      <c r="E3" s="90">
        <f>C3*Data!AJ7</f>
        <v>794.78783999999996</v>
      </c>
      <c r="F3" s="94">
        <f>SUM('Cost Estimates'!$B3:$C3)*Data!AJ6</f>
        <v>2980.4543999999996</v>
      </c>
      <c r="G3" s="92">
        <f>('Cost Estimates'!$F3-$E3)/$F3</f>
        <v>0.73333333333333328</v>
      </c>
    </row>
    <row r="4" spans="1:7" ht="18" thickTop="1" thickBot="1" x14ac:dyDescent="0.25">
      <c r="A4" s="80" t="s">
        <v>240</v>
      </c>
      <c r="B4" s="82">
        <f>VLOOKUP('Project Parameters'!$B$5,Data!$M$1:$N$5,2,0)*'Effort Estimates'!C4</f>
        <v>4.9674239999999994</v>
      </c>
      <c r="C4" s="83">
        <f>(100%-VLOOKUP('Project Parameters'!$B$5,Data!$M$1:$N$5,2,0))*'Effort Estimates'!C4</f>
        <v>19.869695999999998</v>
      </c>
      <c r="D4" s="82">
        <f>B4*Data!AJ2</f>
        <v>695.43935999999997</v>
      </c>
      <c r="E4" s="84">
        <f>C4*Data!AJ3</f>
        <v>794.78783999999996</v>
      </c>
      <c r="F4" s="95">
        <f>SUM('Cost Estimates'!$B4:$C4)*Data!AJ2</f>
        <v>3477.1967999999997</v>
      </c>
      <c r="G4" s="92">
        <f>('Cost Estimates'!$F4-$E4)/$F4</f>
        <v>0.77142857142857146</v>
      </c>
    </row>
    <row r="5" spans="1:7" ht="18" thickTop="1" thickBot="1" x14ac:dyDescent="0.25">
      <c r="A5" s="81" t="s">
        <v>242</v>
      </c>
      <c r="B5" s="88">
        <f>VLOOKUP('Project Parameters'!$B$5,Data!$M$1:$N$5,2,0)*'Effort Estimates'!C5</f>
        <v>20.697599999999998</v>
      </c>
      <c r="C5" s="89">
        <f>(100%-VLOOKUP('Project Parameters'!$B$5,Data!$M$1:$N$5,2,0))*'Effort Estimates'!C5</f>
        <v>82.790399999999991</v>
      </c>
      <c r="D5" s="88">
        <f>B5*Data!AJ8</f>
        <v>2483.7119999999995</v>
      </c>
      <c r="E5" s="90">
        <f>C5*Data!AJ9</f>
        <v>3311.6159999999995</v>
      </c>
      <c r="F5" s="94">
        <f>SUM('Cost Estimates'!$B5:$C5)*Data!AJ8</f>
        <v>12418.559999999998</v>
      </c>
      <c r="G5" s="92">
        <f>('Cost Estimates'!$F5-$E5)/$F5</f>
        <v>0.73333333333333328</v>
      </c>
    </row>
    <row r="6" spans="1:7" ht="18" thickTop="1" thickBot="1" x14ac:dyDescent="0.25">
      <c r="A6" s="80" t="s">
        <v>241</v>
      </c>
      <c r="B6" s="82">
        <f>VLOOKUP('Project Parameters'!$B$5,Data!$M$1:$N$5,2,0)*'Effort Estimates'!C6</f>
        <v>9.9348479999999988</v>
      </c>
      <c r="C6" s="83">
        <f>(100%-VLOOKUP('Project Parameters'!$B$5,Data!$M$1:$N$5,2,0))*'Effort Estimates'!C6</f>
        <v>39.739391999999995</v>
      </c>
      <c r="D6" s="82">
        <f>B6*Data!AJ10</f>
        <v>1192.1817599999999</v>
      </c>
      <c r="E6" s="84">
        <f>C6*Data!AJ11</f>
        <v>1589.5756799999999</v>
      </c>
      <c r="F6" s="95">
        <f>SUM('Cost Estimates'!$B6:$C6)*Data!AJ10</f>
        <v>5960.9087999999992</v>
      </c>
      <c r="G6" s="92">
        <f>('Cost Estimates'!$F6-$E6)/$F6</f>
        <v>0.73333333333333328</v>
      </c>
    </row>
    <row r="7" spans="1:7" ht="18" thickTop="1" thickBot="1" x14ac:dyDescent="0.25">
      <c r="A7" s="81" t="s">
        <v>243</v>
      </c>
      <c r="B7" s="88">
        <f>VLOOKUP('Project Parameters'!$B$5,Data!$M$1:$N$5,2,0)*'Effort Estimates'!C7</f>
        <v>2.4837119999999997</v>
      </c>
      <c r="C7" s="89">
        <f>(100%-VLOOKUP('Project Parameters'!$B$5,Data!$M$1:$N$5,2,0))*'Effort Estimates'!C7</f>
        <v>9.9348479999999988</v>
      </c>
      <c r="D7" s="88">
        <f>B7*Data!AJ8</f>
        <v>298.04543999999999</v>
      </c>
      <c r="E7" s="90">
        <f>C7*Data!AJ9</f>
        <v>397.39391999999998</v>
      </c>
      <c r="F7" s="94">
        <f>SUM('Cost Estimates'!$B7:$C7)*Data!AJ8</f>
        <v>1490.2271999999998</v>
      </c>
      <c r="G7" s="92">
        <f>('Cost Estimates'!$F7-$E7)/$F7</f>
        <v>0.73333333333333328</v>
      </c>
    </row>
    <row r="8" spans="1:7" ht="18" thickTop="1" thickBot="1" x14ac:dyDescent="0.25">
      <c r="A8" s="80" t="str">
        <f>'Effort Estimates'!A9:B9</f>
        <v>UAT Support - Developers</v>
      </c>
      <c r="B8" s="82">
        <f>VLOOKUP('Project Parameters'!$B$5,Data!$M$1:$N$5,2,0)*'Effort Estimates'!C9</f>
        <v>1.2418559999999998</v>
      </c>
      <c r="C8" s="83">
        <f>(100%-VLOOKUP('Project Parameters'!$B$5,Data!$M$1:$N$5,2,0))*'Effort Estimates'!C9</f>
        <v>4.9674239999999994</v>
      </c>
      <c r="D8" s="82">
        <f>B8*Data!AJ8</f>
        <v>149.02271999999999</v>
      </c>
      <c r="E8" s="84">
        <f>C8*Data!AJ9</f>
        <v>198.69695999999999</v>
      </c>
      <c r="F8" s="95">
        <f>SUM('Cost Estimates'!$B8:$C8)*Data!AJ8</f>
        <v>745.11359999999991</v>
      </c>
      <c r="G8" s="92">
        <f>('Cost Estimates'!$F8-$E8)/$F8</f>
        <v>0.73333333333333328</v>
      </c>
    </row>
    <row r="9" spans="1:7" ht="18" thickTop="1" thickBot="1" x14ac:dyDescent="0.25">
      <c r="A9" s="81" t="str">
        <f>'Effort Estimates'!A10:B10</f>
        <v>UAT Support - Testers</v>
      </c>
      <c r="B9" s="88">
        <f>VLOOKUP('Project Parameters'!$B$5,Data!$M$1:$N$5,2,0)*'Effort Estimates'!C10</f>
        <v>1.2418559999999998</v>
      </c>
      <c r="C9" s="89">
        <f>(100%-VLOOKUP('Project Parameters'!$B$5,Data!$M$1:$N$5,2,0))*'Effort Estimates'!C10</f>
        <v>4.9674239999999994</v>
      </c>
      <c r="D9" s="88">
        <f>B9*Data!AJ10</f>
        <v>149.02271999999999</v>
      </c>
      <c r="E9" s="90">
        <f>C9*Data!AJ11</f>
        <v>198.69695999999999</v>
      </c>
      <c r="F9" s="94">
        <f>SUM('Cost Estimates'!$B9:$C9)*Data!AJ10</f>
        <v>745.11359999999991</v>
      </c>
      <c r="G9" s="92">
        <f>('Cost Estimates'!$F9-$E9)/$F9</f>
        <v>0.73333333333333328</v>
      </c>
    </row>
    <row r="10" spans="1:7" ht="18" thickTop="1" thickBot="1" x14ac:dyDescent="0.25">
      <c r="A10" s="80" t="s">
        <v>204</v>
      </c>
      <c r="B10" s="82">
        <f>VLOOKUP('Project Parameters'!$B$5,Data!$M$1:$N$5,2,0)*'Effort Estimates'!C11</f>
        <v>0.49674239999999986</v>
      </c>
      <c r="C10" s="83">
        <f>(100%-VLOOKUP('Project Parameters'!$B$5,Data!$M$1:$N$5,2,0))*'Effort Estimates'!C11</f>
        <v>1.9869695999999994</v>
      </c>
      <c r="D10" s="82">
        <f>B10*Data!AJ8</f>
        <v>59.609087999999986</v>
      </c>
      <c r="E10" s="84">
        <f>C10*Data!AJ9</f>
        <v>79.478783999999976</v>
      </c>
      <c r="F10" s="95">
        <f>SUM('Cost Estimates'!$B10:$C10)*Data!AJ8</f>
        <v>298.04543999999993</v>
      </c>
      <c r="G10" s="92">
        <f>('Cost Estimates'!$F10-$E10)/$F10</f>
        <v>0.73333333333333339</v>
      </c>
    </row>
    <row r="11" spans="1:7" ht="17" thickTop="1" x14ac:dyDescent="0.2">
      <c r="A11" s="79" t="s">
        <v>154</v>
      </c>
      <c r="B11" s="85">
        <f>SUM(B2:B10)</f>
        <v>50.998886399999989</v>
      </c>
      <c r="C11" s="86">
        <f t="shared" ref="C11:E11" si="0">SUM(C2:C10)</f>
        <v>203.99554559999996</v>
      </c>
      <c r="D11" s="85">
        <f t="shared" si="0"/>
        <v>6219.2148479999987</v>
      </c>
      <c r="E11" s="87">
        <f t="shared" si="0"/>
        <v>8159.8218239999997</v>
      </c>
      <c r="F11" s="96">
        <f>SUM(F2:F10)</f>
        <v>31096.074240000002</v>
      </c>
      <c r="G11" s="92">
        <f>('Cost Estimates'!$F11-$E11)/$F11</f>
        <v>0.73759318423855169</v>
      </c>
    </row>
    <row r="13" spans="1:7" x14ac:dyDescent="0.2">
      <c r="C13" s="54" t="s">
        <v>255</v>
      </c>
      <c r="D13" s="76">
        <f>SUM(D11:E11)</f>
        <v>14379.036671999998</v>
      </c>
    </row>
    <row r="14" spans="1:7" x14ac:dyDescent="0.2">
      <c r="C14" s="54" t="s">
        <v>256</v>
      </c>
      <c r="D14" s="101">
        <f>G11</f>
        <v>0.73759318423855169</v>
      </c>
    </row>
    <row r="20" spans="4:4" x14ac:dyDescent="0.2">
      <c r="D20" s="58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="80" zoomScaleNormal="80" zoomScalePageLayoutView="80" workbookViewId="0">
      <selection activeCell="B5" sqref="B5"/>
    </sheetView>
  </sheetViews>
  <sheetFormatPr baseColWidth="10" defaultRowHeight="16" x14ac:dyDescent="0.2"/>
  <cols>
    <col min="1" max="1" width="30" customWidth="1"/>
    <col min="2" max="2" width="19.1640625" customWidth="1"/>
    <col min="3" max="3" width="12.6640625" bestFit="1" customWidth="1"/>
  </cols>
  <sheetData>
    <row r="1" spans="1:34" ht="24" x14ac:dyDescent="0.3">
      <c r="A1" s="126" t="s">
        <v>206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</row>
    <row r="3" spans="1:34" x14ac:dyDescent="0.2">
      <c r="A3" t="s">
        <v>188</v>
      </c>
      <c r="B3" s="60">
        <f>'Effort Estimates'!C12</f>
        <v>261</v>
      </c>
      <c r="C3" t="s">
        <v>224</v>
      </c>
      <c r="D3" s="64"/>
      <c r="E3" s="63"/>
    </row>
    <row r="4" spans="1:34" x14ac:dyDescent="0.2">
      <c r="A4" s="8" t="s">
        <v>189</v>
      </c>
      <c r="B4" s="8">
        <v>4</v>
      </c>
      <c r="C4" t="s">
        <v>195</v>
      </c>
    </row>
    <row r="5" spans="1:34" x14ac:dyDescent="0.2">
      <c r="A5" s="8" t="s">
        <v>190</v>
      </c>
      <c r="B5" s="8">
        <v>1</v>
      </c>
      <c r="C5" t="s">
        <v>210</v>
      </c>
    </row>
    <row r="6" spans="1:34" x14ac:dyDescent="0.2">
      <c r="A6" s="8" t="s">
        <v>191</v>
      </c>
      <c r="B6" s="8">
        <v>1</v>
      </c>
      <c r="C6" t="s">
        <v>210</v>
      </c>
    </row>
    <row r="7" spans="1:34" x14ac:dyDescent="0.2">
      <c r="A7" s="8" t="s">
        <v>202</v>
      </c>
      <c r="B7" s="8">
        <v>2</v>
      </c>
      <c r="C7" t="s">
        <v>210</v>
      </c>
    </row>
    <row r="9" spans="1:34" ht="24" x14ac:dyDescent="0.3">
      <c r="A9" s="126" t="s">
        <v>205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</row>
    <row r="10" spans="1:34" x14ac:dyDescent="0.2">
      <c r="A10" t="s">
        <v>221</v>
      </c>
      <c r="B10" s="60">
        <f>ROUNDUP((('Effort Estimates'!C3+'Effort Estimates'!C2)/(Plan!B5*40)),)</f>
        <v>2</v>
      </c>
      <c r="C10" t="s">
        <v>195</v>
      </c>
    </row>
    <row r="11" spans="1:34" x14ac:dyDescent="0.2">
      <c r="A11" t="s">
        <v>218</v>
      </c>
      <c r="B11" s="60">
        <f>ROUNDUP((('Project Parameters'!H21)/(Plan!B5*40)),0)</f>
        <v>3</v>
      </c>
      <c r="C11" t="s">
        <v>195</v>
      </c>
    </row>
    <row r="12" spans="1:34" x14ac:dyDescent="0.2">
      <c r="A12" t="s">
        <v>216</v>
      </c>
      <c r="B12" s="60">
        <f>ROUNDUP(('Effort Estimates'!C6/(Plan!B6*40)),0)</f>
        <v>2</v>
      </c>
      <c r="C12" t="s">
        <v>195</v>
      </c>
    </row>
    <row r="13" spans="1:34" x14ac:dyDescent="0.2">
      <c r="A13" t="s">
        <v>217</v>
      </c>
      <c r="B13" s="62">
        <f>ROUNDUP(('Effort Estimates'!C8/(Plan!B7*40)),0)</f>
        <v>1</v>
      </c>
      <c r="C13" t="s">
        <v>195</v>
      </c>
    </row>
    <row r="14" spans="1:34" x14ac:dyDescent="0.2">
      <c r="A14" t="s">
        <v>219</v>
      </c>
      <c r="B14">
        <f>ROUNDUP(('Effort Estimates'!C11/(Plan!B5*40)),0)</f>
        <v>1</v>
      </c>
      <c r="C14" t="s">
        <v>195</v>
      </c>
    </row>
    <row r="15" spans="1:34" x14ac:dyDescent="0.2">
      <c r="A15" s="54" t="s">
        <v>220</v>
      </c>
      <c r="B15" s="76">
        <f>ROUNDUP(SUM(B10:B14),0)</f>
        <v>9</v>
      </c>
      <c r="C15" s="54" t="s">
        <v>195</v>
      </c>
    </row>
    <row r="16" spans="1:34" x14ac:dyDescent="0.2">
      <c r="A16" s="54" t="s">
        <v>196</v>
      </c>
      <c r="B16" s="76">
        <f>ROUNDUP(SUM(B10:B14)/B4,0)</f>
        <v>3</v>
      </c>
      <c r="C16" s="54" t="s">
        <v>203</v>
      </c>
    </row>
    <row r="17" spans="1:34" x14ac:dyDescent="0.2">
      <c r="B17" s="60"/>
    </row>
    <row r="18" spans="1:34" ht="24" x14ac:dyDescent="0.3">
      <c r="A18" s="126" t="s">
        <v>222</v>
      </c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</row>
    <row r="19" spans="1:34" x14ac:dyDescent="0.2">
      <c r="A19" s="8" t="s">
        <v>214</v>
      </c>
      <c r="B19" s="77">
        <v>42767</v>
      </c>
    </row>
    <row r="20" spans="1:34" x14ac:dyDescent="0.2">
      <c r="A20" t="s">
        <v>215</v>
      </c>
      <c r="B20" s="73">
        <f>B19+(ROUNDUP(B15,0))*7</f>
        <v>42830</v>
      </c>
    </row>
    <row r="21" spans="1:34" x14ac:dyDescent="0.2">
      <c r="B21" s="60"/>
    </row>
    <row r="22" spans="1:34" ht="24" x14ac:dyDescent="0.3">
      <c r="A22" s="126" t="s">
        <v>223</v>
      </c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</row>
    <row r="23" spans="1:34" x14ac:dyDescent="0.2">
      <c r="B23" s="113" t="s">
        <v>213</v>
      </c>
      <c r="C23" s="75">
        <v>1</v>
      </c>
      <c r="D23" s="75">
        <v>2</v>
      </c>
      <c r="E23" s="75">
        <v>3</v>
      </c>
      <c r="F23" s="75">
        <v>4</v>
      </c>
      <c r="G23" s="75">
        <v>5</v>
      </c>
      <c r="H23" s="75">
        <v>6</v>
      </c>
      <c r="I23" s="75">
        <v>7</v>
      </c>
      <c r="J23" s="75">
        <v>8</v>
      </c>
      <c r="K23" s="75">
        <v>9</v>
      </c>
      <c r="L23" s="75">
        <v>10</v>
      </c>
      <c r="M23" s="75">
        <v>11</v>
      </c>
      <c r="N23" s="75">
        <v>12</v>
      </c>
      <c r="O23" s="75">
        <v>13</v>
      </c>
      <c r="P23" s="75">
        <v>14</v>
      </c>
      <c r="Q23" s="75">
        <v>15</v>
      </c>
      <c r="R23" s="75">
        <v>16</v>
      </c>
      <c r="S23" s="75">
        <v>17</v>
      </c>
      <c r="T23" s="75">
        <v>18</v>
      </c>
      <c r="U23" s="75">
        <v>19</v>
      </c>
      <c r="V23" s="75">
        <v>20</v>
      </c>
      <c r="W23" s="75">
        <v>21</v>
      </c>
      <c r="X23" s="75">
        <v>22</v>
      </c>
      <c r="Y23" s="75">
        <v>23</v>
      </c>
      <c r="Z23" s="75">
        <v>24</v>
      </c>
      <c r="AA23" s="75">
        <v>25</v>
      </c>
      <c r="AB23" s="75">
        <v>26</v>
      </c>
      <c r="AC23" s="75">
        <v>27</v>
      </c>
      <c r="AD23" s="75">
        <v>28</v>
      </c>
      <c r="AE23" s="75">
        <v>29</v>
      </c>
      <c r="AF23" s="75">
        <v>30</v>
      </c>
      <c r="AG23" s="75">
        <v>31</v>
      </c>
      <c r="AH23" s="75">
        <v>32</v>
      </c>
    </row>
    <row r="24" spans="1:34" ht="26" customHeight="1" x14ac:dyDescent="0.2">
      <c r="B24" s="113" t="s">
        <v>260</v>
      </c>
      <c r="C24" s="65">
        <f>B19</f>
        <v>42767</v>
      </c>
      <c r="D24" s="65">
        <f t="shared" ref="D24:AH24" si="0">IF($B$15&gt;=D23,C24+7,"")</f>
        <v>42774</v>
      </c>
      <c r="E24" s="65">
        <f t="shared" si="0"/>
        <v>42781</v>
      </c>
      <c r="F24" s="65">
        <f t="shared" si="0"/>
        <v>42788</v>
      </c>
      <c r="G24" s="65">
        <f t="shared" si="0"/>
        <v>42795</v>
      </c>
      <c r="H24" s="65">
        <f t="shared" si="0"/>
        <v>42802</v>
      </c>
      <c r="I24" s="65">
        <f t="shared" si="0"/>
        <v>42809</v>
      </c>
      <c r="J24" s="65">
        <f t="shared" si="0"/>
        <v>42816</v>
      </c>
      <c r="K24" s="65">
        <f t="shared" si="0"/>
        <v>42823</v>
      </c>
      <c r="L24" s="65" t="str">
        <f t="shared" si="0"/>
        <v/>
      </c>
      <c r="M24" s="65" t="str">
        <f t="shared" si="0"/>
        <v/>
      </c>
      <c r="N24" s="65" t="str">
        <f t="shared" si="0"/>
        <v/>
      </c>
      <c r="O24" s="65" t="str">
        <f t="shared" si="0"/>
        <v/>
      </c>
      <c r="P24" s="65" t="str">
        <f t="shared" si="0"/>
        <v/>
      </c>
      <c r="Q24" s="65" t="str">
        <f t="shared" si="0"/>
        <v/>
      </c>
      <c r="R24" s="65" t="str">
        <f t="shared" si="0"/>
        <v/>
      </c>
      <c r="S24" s="65" t="str">
        <f t="shared" si="0"/>
        <v/>
      </c>
      <c r="T24" s="65" t="str">
        <f t="shared" si="0"/>
        <v/>
      </c>
      <c r="U24" s="65" t="str">
        <f t="shared" si="0"/>
        <v/>
      </c>
      <c r="V24" s="65" t="str">
        <f t="shared" si="0"/>
        <v/>
      </c>
      <c r="W24" s="65" t="str">
        <f t="shared" si="0"/>
        <v/>
      </c>
      <c r="X24" s="65" t="str">
        <f t="shared" si="0"/>
        <v/>
      </c>
      <c r="Y24" s="65" t="str">
        <f t="shared" si="0"/>
        <v/>
      </c>
      <c r="Z24" s="65" t="str">
        <f t="shared" si="0"/>
        <v/>
      </c>
      <c r="AA24" s="65" t="str">
        <f t="shared" si="0"/>
        <v/>
      </c>
      <c r="AB24" s="65" t="str">
        <f t="shared" si="0"/>
        <v/>
      </c>
      <c r="AC24" s="65" t="str">
        <f t="shared" si="0"/>
        <v/>
      </c>
      <c r="AD24" s="65" t="str">
        <f t="shared" si="0"/>
        <v/>
      </c>
      <c r="AE24" s="65" t="str">
        <f t="shared" si="0"/>
        <v/>
      </c>
      <c r="AF24" s="65" t="str">
        <f t="shared" si="0"/>
        <v/>
      </c>
      <c r="AG24" s="65" t="str">
        <f t="shared" si="0"/>
        <v/>
      </c>
      <c r="AH24" s="65" t="str">
        <f t="shared" si="0"/>
        <v/>
      </c>
    </row>
    <row r="25" spans="1:34" x14ac:dyDescent="0.2">
      <c r="A25" t="s">
        <v>197</v>
      </c>
      <c r="C25" s="66">
        <f>IF((('Effort Estimates'!C2+'Effort Estimates'!C3)/Plan!B5)&gt;40,40*B5,('Effort Estimates'!C2+'Effort Estimates'!C3))</f>
        <v>40</v>
      </c>
      <c r="D25" s="66">
        <f>IF(C25&lt;(40*B5),0,IF(((('Effort Estimates'!C2+'Effort Estimates'!C3)-C25)/Plan!B5)&gt;40,40*B5,(('Effort Estimates'!C2+'Effort Estimates'!C3)-C25)))</f>
        <v>9.6742399999999904</v>
      </c>
      <c r="E25" s="66">
        <f>IF(D25&lt;40*B5,0,IF(((('Effort Estimates'!C2+'Effort Estimates'!C3)-(SUM(C25:D25)))/Plan!B5)&gt;40,40*B5,(('Effort Estimates'!C2+'Effort Estimates'!C3)-(SUM(C25:D25)))))</f>
        <v>0</v>
      </c>
      <c r="F25" s="66">
        <f>IF(E25&lt;40*B5,0,IF(((('Effort Estimates'!C2+'Effort Estimates'!C3)-(SUM(C25:E25)))/Plan!B5)&gt;40,40*B5,(('Effort Estimates'!C2+'Effort Estimates'!C3)-(SUM(C25:E25)))))</f>
        <v>0</v>
      </c>
      <c r="G25" s="66">
        <f>IF(F25&lt;40*$B$5,0,IF(((('Effort Estimates'!$C$2+'Effort Estimates'!$C$3)-(SUM(C25:F25)))/Plan!$B$5)&gt;40,40*$B$5,(('Effort Estimates'!$C$2+'Effort Estimates'!$C$3)-(SUM(C25:F25)))))</f>
        <v>0</v>
      </c>
      <c r="H25" s="66">
        <f>IF(G25&lt;40*$B$5,0,IF(((('Effort Estimates'!$C$2+'Effort Estimates'!$C$3)-(SUM(C25:G25)))/Plan!$B$5)&gt;40,40*$B$5,(('Effort Estimates'!$C$2+'Effort Estimates'!$C$3)-(SUM(C25:G25)))))</f>
        <v>0</v>
      </c>
      <c r="I25" s="66">
        <f>IF(H25&lt;40*$B$5,0,IF(((('Effort Estimates'!$C$2+'Effort Estimates'!$C$3)-(SUM(C25:H25)))/Plan!$B$5)&gt;40,40*$B$5,(('Effort Estimates'!$C$2+'Effort Estimates'!$C$3)-(SUM(C25:H25)))))</f>
        <v>0</v>
      </c>
      <c r="J25" s="66">
        <f>IF(I25&lt;40*$B$5,0,IF(((('Effort Estimates'!$C$2+'Effort Estimates'!$C$3)-(SUM($C$25:I25)))/Plan!$B$5)&gt;40,40*$B$5,(('Effort Estimates'!$C$2+'Effort Estimates'!$C$3)-(SUM($C$25:I25)))))</f>
        <v>0</v>
      </c>
      <c r="K25" s="66">
        <f>IF(J25&lt;40*$B$5,0,IF(((('Effort Estimates'!$C$2+'Effort Estimates'!$C$3)-(SUM($C$25:J25)))/Plan!$B$5)&gt;40,40*$B$5,(('Effort Estimates'!$C$2+'Effort Estimates'!$C$3)-(SUM($C$25:J25)))))</f>
        <v>0</v>
      </c>
      <c r="L25" s="66">
        <f>IF(K25&lt;40*$B$5,0,IF(((('Effort Estimates'!$C$2+'Effort Estimates'!$C$3)-(SUM($C$25:K25)))/Plan!$B$5)&gt;40,40*$B$5,(('Effort Estimates'!$C$2+'Effort Estimates'!$C$3)-(SUM($C$25:K25)))))</f>
        <v>0</v>
      </c>
      <c r="M25" s="66">
        <f>IF(L25&lt;40*$B$5,0,IF(((('Effort Estimates'!$C$2+'Effort Estimates'!$C$3)-(SUM($C$25:L25)))/Plan!$B$5)&gt;40,40*$B$5,(('Effort Estimates'!$C$2+'Effort Estimates'!$C$3)-(SUM($C$25:L25)))))</f>
        <v>0</v>
      </c>
      <c r="N25" s="66">
        <f>IF(M25&lt;40*$B$5,0,IF(((('Effort Estimates'!$C$2+'Effort Estimates'!$C$3)-(SUM($C$25:M25)))/Plan!$B$5)&gt;40,40*$B$5,(('Effort Estimates'!$C$2+'Effort Estimates'!$C$3)-(SUM($C$25:M25)))))</f>
        <v>0</v>
      </c>
      <c r="O25" s="66">
        <f>IF(N25&lt;40*$B$5,0,IF(((('Effort Estimates'!$C$2+'Effort Estimates'!$C$3)-(SUM($C$25:N25)))/Plan!$B$5)&gt;40,40*$B$5,(('Effort Estimates'!$C$2+'Effort Estimates'!$C$3)-(SUM($C$25:N25)))))</f>
        <v>0</v>
      </c>
      <c r="P25" s="66">
        <f>IF(O25&lt;40*$B$5,0,IF(((('Effort Estimates'!$C$2+'Effort Estimates'!$C$3)-(SUM($C$25:O25)))/Plan!$B$5)&gt;40,40*$B$5,(('Effort Estimates'!$C$2+'Effort Estimates'!$C$3)-(SUM($C$25:O25)))))</f>
        <v>0</v>
      </c>
      <c r="Q25" s="66">
        <f>IF(P25&lt;40*$B$5,0,IF(((('Effort Estimates'!$C$2+'Effort Estimates'!$C$3)-(SUM($C$25:P25)))/Plan!$B$5)&gt;40,40*$B$5,(('Effort Estimates'!$C$2+'Effort Estimates'!$C$3)-(SUM($C$25:P25)))))</f>
        <v>0</v>
      </c>
      <c r="R25" s="66">
        <f>IF(Q25&lt;40*$B$5,0,IF(((('Effort Estimates'!$C$2+'Effort Estimates'!$C$3)-(SUM($C$25:Q25)))/Plan!$B$5)&gt;40,40*$B$5,(('Effort Estimates'!$C$2+'Effort Estimates'!$C$3)-(SUM($C$25:Q25)))))</f>
        <v>0</v>
      </c>
      <c r="S25" s="66">
        <f>IF(R25&lt;40*$B$5,0,IF(((('Effort Estimates'!$C$2+'Effort Estimates'!$C$3)-(SUM($C$25:R25)))/Plan!$B$5)&gt;40,40*$B$5,(('Effort Estimates'!$C$2+'Effort Estimates'!$C$3)-(SUM($C$25:R25)))))</f>
        <v>0</v>
      </c>
      <c r="T25" s="66">
        <f>IF(S25&lt;40*$B$5,0,IF(((('Effort Estimates'!$C$2+'Effort Estimates'!$C$3)-(SUM($C$25:S25)))/Plan!$B$5)&gt;40,40*$B$5,(('Effort Estimates'!$C$2+'Effort Estimates'!$C$3)-(SUM($C$25:S25)))))</f>
        <v>0</v>
      </c>
      <c r="U25" s="66">
        <f>IF(T25&lt;40*$B$5,0,IF(((('Effort Estimates'!$C$2+'Effort Estimates'!$C$3)-(SUM($C$25:T25)))/Plan!$B$5)&gt;40,40*$B$5,(('Effort Estimates'!$C$2+'Effort Estimates'!$C$3)-(SUM($C$25:T25)))))</f>
        <v>0</v>
      </c>
      <c r="V25" s="66">
        <f>IF(U25&lt;40*$B$5,0,IF(((('Effort Estimates'!$C$2+'Effort Estimates'!$C$3)-(SUM($C$25:U25)))/Plan!$B$5)&gt;40,40*$B$5,(('Effort Estimates'!$C$2+'Effort Estimates'!$C$3)-(SUM($C$25:U25)))))</f>
        <v>0</v>
      </c>
      <c r="W25" s="66">
        <f>IF(V25&lt;40*$B$5,0,IF(((('Effort Estimates'!$C$2+'Effort Estimates'!$C$3)-(SUM($C$25:V25)))/Plan!$B$5)&gt;40,40*$B$5,(('Effort Estimates'!$C$2+'Effort Estimates'!$C$3)-(SUM($C$25:V25)))))</f>
        <v>0</v>
      </c>
      <c r="X25" s="66">
        <f>IF(W25&lt;40*$B$5,0,IF(((('Effort Estimates'!$C$2+'Effort Estimates'!$C$3)-(SUM($C$25:W25)))/Plan!$B$5)&gt;40,40*$B$5,(('Effort Estimates'!$C$2+'Effort Estimates'!$C$3)-(SUM($C$25:W25)))))</f>
        <v>0</v>
      </c>
      <c r="Y25" s="66">
        <f>IF(X25&lt;40*$B$5,0,IF(((('Effort Estimates'!$C$2+'Effort Estimates'!$C$3)-(SUM($C$25:X25)))/Plan!$B$5)&gt;40,40*$B$5,(('Effort Estimates'!$C$2+'Effort Estimates'!$C$3)-(SUM($C$25:X25)))))</f>
        <v>0</v>
      </c>
      <c r="Z25" s="66">
        <f>IF(Y25&lt;40*$B$5,0,IF(((('Effort Estimates'!$C$2+'Effort Estimates'!$C$3)-(SUM($C$25:Y25)))/Plan!$B$5)&gt;40,40*$B$5,(('Effort Estimates'!$C$2+'Effort Estimates'!$C$3)-(SUM($C$25:Y25)))))</f>
        <v>0</v>
      </c>
      <c r="AA25" s="66">
        <f>IF(Z25&lt;40*$B$5,0,IF(((('Effort Estimates'!$C$2+'Effort Estimates'!$C$3)-(SUM($C$25:Z25)))/Plan!$B$5)&gt;40,40*$B$5,(('Effort Estimates'!$C$2+'Effort Estimates'!$C$3)-(SUM($C$25:Z25)))))</f>
        <v>0</v>
      </c>
      <c r="AB25" s="66">
        <f>IF(AA25&lt;40*$B$5,0,IF(((('Effort Estimates'!$C$2+'Effort Estimates'!$C$3)-(SUM($C$25:AA25)))/Plan!$B$5)&gt;40,40*$B$5,(('Effort Estimates'!$C$2+'Effort Estimates'!$C$3)-(SUM($C$25:AA25)))))</f>
        <v>0</v>
      </c>
      <c r="AC25" s="66">
        <f>IF(AB25&lt;40*$B$5,0,IF(((('Effort Estimates'!$C$2+'Effort Estimates'!$C$3)-(SUM($C$25:AB25)))/Plan!$B$5)&gt;40,40*$B$5,(('Effort Estimates'!$C$2+'Effort Estimates'!$C$3)-(SUM($C$25:AB25)))))</f>
        <v>0</v>
      </c>
      <c r="AD25" s="66">
        <f>IF(AC25&lt;40*$B$5,0,IF(((('Effort Estimates'!$C$2+'Effort Estimates'!$C$3)-(SUM($C$25:AC25)))/Plan!$B$5)&gt;40,40*$B$5,(('Effort Estimates'!$C$2+'Effort Estimates'!$C$3)-(SUM($C$25:AC25)))))</f>
        <v>0</v>
      </c>
      <c r="AE25" s="66">
        <f>IF(AD25&lt;40*$B$5,0,IF(((('Effort Estimates'!$C$2+'Effort Estimates'!$C$3)-(SUM($C$25:AD25)))/Plan!$B$5)&gt;40,40*$B$5,(('Effort Estimates'!$C$2+'Effort Estimates'!$C$3)-(SUM($C$25:AD25)))))</f>
        <v>0</v>
      </c>
      <c r="AF25" s="66">
        <f>IF(AE25&lt;40*$B$5,0,IF(((('Effort Estimates'!$C$2+'Effort Estimates'!$C$3)-(SUM($C$25:AE25)))/Plan!$B$5)&gt;40,40*$B$5,(('Effort Estimates'!$C$2+'Effort Estimates'!$C$3)-(SUM($C$25:AE25)))))</f>
        <v>0</v>
      </c>
      <c r="AG25" s="66">
        <f>IF(AF25&lt;40*$B$5,0,IF(((('Effort Estimates'!$C$2+'Effort Estimates'!$C$3)-(SUM($C$25:AF25)))/Plan!$B$5)&gt;40,40*$B$5,(('Effort Estimates'!$C$2+'Effort Estimates'!$C$3)-(SUM($C$25:AF25)))))</f>
        <v>0</v>
      </c>
      <c r="AH25" s="66">
        <f>IF(AG25&lt;40*$B$5,0,IF(((('Effort Estimates'!$C$2+'Effort Estimates'!$C$3)-(SUM($C$25:AG25)))/Plan!$B$5)&gt;40,40*$B$5,(('Effort Estimates'!$C$2+'Effort Estimates'!$C$3)-(SUM($C$25:AG25)))))</f>
        <v>0</v>
      </c>
    </row>
    <row r="26" spans="1:34" x14ac:dyDescent="0.2">
      <c r="A26" t="s">
        <v>198</v>
      </c>
      <c r="C26" s="66">
        <f>IF(OR(C25&gt;=($B$5*40),C25&gt;0),0,IF((('Project Parameters'!H21)/Plan!$B$5)&gt;40,40*$B$5,('Project Parameters'!H21)))</f>
        <v>0</v>
      </c>
      <c r="D26" s="66">
        <f>IF(OR(SUM(D25:D25)&gt;=($B$5*40),SUM(D25:D25)&gt;0),0,IF(C26=0,IF((('Project Parameters'!$H$21)/Plan!$B$5)&gt;40,40*$B$5,('Project Parameters'!$H$21)),IF(C26&lt;(40*$B$5),0,IF(((('Project Parameters'!$H$21)-C26)/Plan!$B$5)&gt;40,40*$B$5,(('Project Parameters'!$H$21)-C26)))))</f>
        <v>0</v>
      </c>
      <c r="E26" s="66">
        <f>IF(OR(SUM(E25:E25)&gt;=($B$5*40),SUM(E25:E25)&gt;0),0,IF(SUM(C26:D26)=0,IF((('Project Parameters'!$H$21)/Plan!$B$5)&gt;40,40*$B$5,('Project Parameters'!$H$21)),IF(D26&lt;(40*$B$5),0,IF(((('Project Parameters'!$H$21)-SUM(C26:D26))/Plan!$B$5)&gt;40,40*$B$5,(('Project Parameters'!$H$21)-SUM(C26:D26))))))</f>
        <v>40</v>
      </c>
      <c r="F26" s="66">
        <f>IF(OR(SUM(F25:F25)&gt;=($B$5*40),SUM(F25:F25)&gt;0),0,IF(SUM($C$26:E26)=0,IF((('Project Parameters'!$H$21)/Plan!$B$5)&gt;40,40*$B$5,('Project Parameters'!$H$21)),IF(E26&lt;(40*$B$5),0,IF(((('Project Parameters'!$H$21)-SUM($C$26:E26))/Plan!$B$5)&gt;40,40*$B$5,(('Project Parameters'!$H$21)-SUM($C$26:E26))))))</f>
        <v>40</v>
      </c>
      <c r="G26" s="66">
        <f>IF(OR(SUM(G25:G25)&gt;=($B$5*40),SUM(G25:G25)&gt;0),0,IF(SUM($C$26:F26)=0,IF((('Project Parameters'!$H$21)/Plan!$B$5)&gt;40,40*$B$5,('Project Parameters'!$H$21)),IF(F26&lt;(40*$B$5),0,IF(((('Project Parameters'!$H$21)-SUM($C$26:F26))/Plan!$B$5)&gt;40,40*$B$5,(('Project Parameters'!$H$21)-SUM($C$26:F26))))))</f>
        <v>23.487999999999985</v>
      </c>
      <c r="H26" s="66">
        <f>IF(OR(SUM(H25:H25)&gt;=($B$5*40),SUM(H25:H25)&gt;0),0,IF(SUM($C$26:G26)=0,IF((('Project Parameters'!$H$21)/Plan!$B$5)&gt;40,40*$B$5,('Project Parameters'!$H$21)),IF(G26&lt;(40*$B$5),0,IF(((('Project Parameters'!$H$21)-SUM($C$26:G26))/Plan!$B$5)&gt;40,40*$B$5,(('Project Parameters'!$H$21)-SUM($C$26:G26))))))</f>
        <v>0</v>
      </c>
      <c r="I26" s="66">
        <f>IF(OR(SUM(I25:I25)&gt;=($B$5*40),SUM(I25:I25)&gt;0),0,IF(SUM($C$26:H26)=0,IF((('Project Parameters'!$H$21)/Plan!$B$5)&gt;40,40*$B$5,('Project Parameters'!$H$21)),IF(H26&lt;(40*$B$5),0,IF(((('Project Parameters'!$H$21)-SUM($C$26:H26))/Plan!$B$5)&gt;40,40*$B$5,(('Project Parameters'!$H$21)-SUM($C$26:H26))))))</f>
        <v>0</v>
      </c>
      <c r="J26" s="66">
        <f>IF(OR(SUM(J25:J25)&gt;=($B$5*40),SUM(J25:J25)&gt;0),0,IF(SUM($C$26:I26)=0,IF((('Project Parameters'!$H$21)/Plan!$B$5)&gt;40,40*$B$5,('Project Parameters'!$H$21)),IF(I26&lt;(40*$B$5),0,IF(((('Project Parameters'!$H$21)-SUM($C$26:I26))/Plan!$B$5)&gt;40,40*$B$5,(('Project Parameters'!$H$21)-SUM($C$26:I26))))))</f>
        <v>0</v>
      </c>
      <c r="K26" s="66">
        <f>IF(OR(SUM(K25:K25)&gt;=($B$5*40),SUM(K25:K25)&gt;0),0,IF(SUM($C$26:J26)=0,IF((('Project Parameters'!$H$21)/Plan!$B$5)&gt;40,40*$B$5,('Project Parameters'!$H$21)),IF(J26&lt;(40*$B$5),0,IF(((('Project Parameters'!$H$21)-SUM($C$26:J26))/Plan!$B$5)&gt;40,40*$B$5,(('Project Parameters'!$H$21)-SUM($C$26:J26))))))</f>
        <v>0</v>
      </c>
      <c r="L26" s="66">
        <f>IF(OR(SUM(L25:L25)&gt;=($B$5*40),SUM(L25:L25)&gt;0),0,IF(SUM($C$26:K26)=0,IF((('Project Parameters'!$H$21)/Plan!$B$5)&gt;40,40*$B$5,('Project Parameters'!$H$21)),IF(K26&lt;(40*$B$5),0,IF(((('Project Parameters'!$H$21)-SUM($C$26:K26))/Plan!$B$5)&gt;40,40*$B$5,(('Project Parameters'!$H$21)-SUM($C$26:K26))))))</f>
        <v>0</v>
      </c>
      <c r="M26" s="66">
        <f>IF(OR(SUM(M25:M25)&gt;=($B$5*40),SUM(M25:M25)&gt;0),0,IF(SUM($C$26:L26)=0,IF((('Project Parameters'!$H$21)/Plan!$B$5)&gt;40,40*$B$5,('Project Parameters'!$H$21)),IF(L26&lt;(40*$B$5),0,IF(((('Project Parameters'!$H$21)-SUM($C$26:L26))/Plan!$B$5)&gt;40,40*$B$5,(('Project Parameters'!$H$21)-SUM($C$26:L26))))))</f>
        <v>0</v>
      </c>
      <c r="N26" s="66">
        <f>IF(OR(SUM(N25:N25)&gt;=($B$5*40),SUM(N25:N25)&gt;0),0,IF(SUM($C$26:M26)=0,IF((('Project Parameters'!$H$21)/Plan!$B$5)&gt;40,40*$B$5,('Project Parameters'!$H$21)),IF(M26&lt;(40*$B$5),0,IF(((('Project Parameters'!$H$21)-SUM($C$26:M26))/Plan!$B$5)&gt;40,40*$B$5,(('Project Parameters'!$H$21)-SUM($C$26:M26))))))</f>
        <v>0</v>
      </c>
      <c r="O26" s="66">
        <f>IF(OR(SUM(O25:O25)&gt;=($B$5*40),SUM(O25:O25)&gt;0),0,IF(SUM($C$26:N26)=0,IF((('Project Parameters'!$H$21)/Plan!$B$5)&gt;40,40*$B$5,('Project Parameters'!$H$21)),IF(N26&lt;(40*$B$5),0,IF(((('Project Parameters'!$H$21)-SUM($C$26:N26))/Plan!$B$5)&gt;40,40*$B$5,(('Project Parameters'!$H$21)-SUM($C$26:N26))))))</f>
        <v>0</v>
      </c>
      <c r="P26" s="66">
        <f>IF(OR(SUM(P25:P25)&gt;=($B$5*40),SUM(P25:P25)&gt;0),0,IF(SUM($C$26:O26)=0,IF((('Project Parameters'!$H$21)/Plan!$B$5)&gt;40,40*$B$5,('Project Parameters'!$H$21)),IF(O26&lt;(40*$B$5),0,IF(((('Project Parameters'!$H$21)-SUM($C$26:O26))/Plan!$B$5)&gt;40,40*$B$5,(('Project Parameters'!$H$21)-SUM($C$26:O26))))))</f>
        <v>0</v>
      </c>
      <c r="Q26" s="66">
        <f>IF(OR(SUM(Q25:Q25)&gt;=($B$5*40),SUM(Q25:Q25)&gt;0),0,IF(SUM($C$26:P26)=0,IF((('Project Parameters'!$H$21)/Plan!$B$5)&gt;40,40*$B$5,('Project Parameters'!$H$21)),IF(P26&lt;(40*$B$5),0,IF(((('Project Parameters'!$H$21)-SUM($C$26:P26))/Plan!$B$5)&gt;40,40*$B$5,(('Project Parameters'!$H$21)-SUM($C$26:P26))))))</f>
        <v>0</v>
      </c>
      <c r="R26" s="66">
        <f>IF(OR(SUM(R25:R25)&gt;=($B$5*40),SUM(R25:R25)&gt;0),0,IF(SUM($C$26:Q26)=0,IF((('Project Parameters'!$H$21)/Plan!$B$5)&gt;40,40*$B$5,('Project Parameters'!$H$21)),IF(Q26&lt;(40*$B$5),0,IF(((('Project Parameters'!$H$21)-SUM($C$26:Q26))/Plan!$B$5)&gt;40,40*$B$5,(('Project Parameters'!$H$21)-SUM($C$26:Q26))))))</f>
        <v>0</v>
      </c>
      <c r="S26" s="66">
        <f>IF(OR(SUM(S25:S25)&gt;=($B$5*40),SUM(S25:S25)&gt;0),0,IF(SUM($C$26:R26)=0,IF((('Project Parameters'!$H$21)/Plan!$B$5)&gt;40,40*$B$5,('Project Parameters'!$H$21)),IF(R26&lt;(40*$B$5),0,IF(((('Project Parameters'!$H$21)-SUM($C$26:R26))/Plan!$B$5)&gt;40,40*$B$5,(('Project Parameters'!$H$21)-SUM($C$26:R26))))))</f>
        <v>0</v>
      </c>
      <c r="T26" s="66">
        <f>IF(OR(SUM(T25:T25)&gt;=($B$5*40),SUM(T25:T25)&gt;0),0,IF(SUM($C$26:S26)=0,IF((('Project Parameters'!$H$21)/Plan!$B$5)&gt;40,40*$B$5,('Project Parameters'!$H$21)),IF(S26&lt;(40*$B$5),0,IF(((('Project Parameters'!$H$21)-SUM($C$26:S26))/Plan!$B$5)&gt;40,40*$B$5,(('Project Parameters'!$H$21)-SUM($C$26:S26))))))</f>
        <v>0</v>
      </c>
      <c r="U26" s="66">
        <f>IF(OR(SUM(U25:U25)&gt;=($B$5*40),SUM(U25:U25)&gt;0),0,IF(SUM($C$26:T26)=0,IF((('Project Parameters'!$H$21)/Plan!$B$5)&gt;40,40*$B$5,('Project Parameters'!$H$21)),IF(T26&lt;(40*$B$5),0,IF(((('Project Parameters'!$H$21)-SUM($C$26:T26))/Plan!$B$5)&gt;40,40*$B$5,(('Project Parameters'!$H$21)-SUM($C$26:T26))))))</f>
        <v>0</v>
      </c>
      <c r="V26" s="66">
        <f>IF(OR(SUM(V25:V25)&gt;=($B$5*40),SUM(V25:V25)&gt;0),0,IF(SUM($C$26:U26)=0,IF((('Project Parameters'!$H$21)/Plan!$B$5)&gt;40,40*$B$5,('Project Parameters'!$H$21)),IF(U26&lt;(40*$B$5),0,IF(((('Project Parameters'!$H$21)-SUM($C$26:U26))/Plan!$B$5)&gt;40,40*$B$5,(('Project Parameters'!$H$21)-SUM($C$26:U26))))))</f>
        <v>0</v>
      </c>
      <c r="W26" s="66">
        <f>IF(OR(SUM(W25:W25)&gt;=($B$5*40),SUM(W25:W25)&gt;0),0,IF(SUM($C$26:V26)=0,IF((('Project Parameters'!$H$21)/Plan!$B$5)&gt;40,40*$B$5,('Project Parameters'!$H$21)),IF(V26&lt;(40*$B$5),0,IF(((('Project Parameters'!$H$21)-SUM($C$26:V26))/Plan!$B$5)&gt;40,40*$B$5,(('Project Parameters'!$H$21)-SUM($C$26:V26))))))</f>
        <v>0</v>
      </c>
      <c r="X26" s="66">
        <f>IF(OR(SUM(X25:X25)&gt;=($B$5*40),SUM(X25:X25)&gt;0),0,IF(SUM($C$26:W26)=0,IF((('Project Parameters'!$H$21)/Plan!$B$5)&gt;40,40*$B$5,('Project Parameters'!$H$21)),IF(W26&lt;(40*$B$5),0,IF(((('Project Parameters'!$H$21)-SUM($C$26:W26))/Plan!$B$5)&gt;40,40*$B$5,(('Project Parameters'!$H$21)-SUM($C$26:W26))))))</f>
        <v>0</v>
      </c>
      <c r="Y26" s="66">
        <f>IF(OR(SUM(Y25:Y25)&gt;=($B$5*40),SUM(Y25:Y25)&gt;0),0,IF(SUM($C$26:X26)=0,IF((('Project Parameters'!$H$21)/Plan!$B$5)&gt;40,40*$B$5,('Project Parameters'!$H$21)),IF(X26&lt;(40*$B$5),0,IF(((('Project Parameters'!$H$21)-SUM($C$26:X26))/Plan!$B$5)&gt;40,40*$B$5,(('Project Parameters'!$H$21)-SUM($C$26:X26))))))</f>
        <v>0</v>
      </c>
      <c r="Z26" s="66">
        <f>IF(OR(SUM(Z25:Z25)&gt;=($B$5*40),SUM(Z25:Z25)&gt;0),0,IF(SUM($C$26:Y26)=0,IF((('Project Parameters'!$H$21)/Plan!$B$5)&gt;40,40*$B$5,('Project Parameters'!$H$21)),IF(Y26&lt;(40*$B$5),0,IF(((('Project Parameters'!$H$21)-SUM($C$26:Y26))/Plan!$B$5)&gt;40,40*$B$5,(('Project Parameters'!$H$21)-SUM($C$26:Y26))))))</f>
        <v>0</v>
      </c>
      <c r="AA26" s="66">
        <f>IF(OR(SUM(AA25:AA25)&gt;=($B$5*40),SUM(AA25:AA25)&gt;0),0,IF(SUM($C$26:Z26)=0,IF((('Project Parameters'!$H$21)/Plan!$B$5)&gt;40,40*$B$5,('Project Parameters'!$H$21)),IF(Z26&lt;(40*$B$5),0,IF(((('Project Parameters'!$H$21)-SUM($C$26:Z26))/Plan!$B$5)&gt;40,40*$B$5,(('Project Parameters'!$H$21)-SUM($C$26:Z26))))))</f>
        <v>0</v>
      </c>
      <c r="AB26" s="66">
        <f>IF(OR(SUM(AB25:AB25)&gt;=($B$5*40),SUM(AB25:AB25)&gt;0),0,IF(SUM($C$26:AA26)=0,IF((('Project Parameters'!$H$21)/Plan!$B$5)&gt;40,40*$B$5,('Project Parameters'!$H$21)),IF(AA26&lt;(40*$B$5),0,IF(((('Project Parameters'!$H$21)-SUM($C$26:AA26))/Plan!$B$5)&gt;40,40*$B$5,(('Project Parameters'!$H$21)-SUM($C$26:AA26))))))</f>
        <v>0</v>
      </c>
      <c r="AC26" s="66">
        <f>IF(OR(SUM(AC25:AC25)&gt;=($B$5*40),SUM(AC25:AC25)&gt;0),0,IF(SUM($C$26:AB26)=0,IF((('Project Parameters'!$H$21)/Plan!$B$5)&gt;40,40*$B$5,('Project Parameters'!$H$21)),IF(AB26&lt;(40*$B$5),0,IF(((('Project Parameters'!$H$21)-SUM($C$26:AB26))/Plan!$B$5)&gt;40,40*$B$5,(('Project Parameters'!$H$21)-SUM($C$26:AB26))))))</f>
        <v>0</v>
      </c>
      <c r="AD26" s="66">
        <f>IF(OR(SUM(AD25:AD25)&gt;=($B$5*40),SUM(AD25:AD25)&gt;0),0,IF(SUM($C$26:AC26)=0,IF((('Project Parameters'!$H$21)/Plan!$B$5)&gt;40,40*$B$5,('Project Parameters'!$H$21)),IF(AC26&lt;(40*$B$5),0,IF(((('Project Parameters'!$H$21)-SUM($C$26:AC26))/Plan!$B$5)&gt;40,40*$B$5,(('Project Parameters'!$H$21)-SUM($C$26:AC26))))))</f>
        <v>0</v>
      </c>
      <c r="AE26" s="66">
        <f>IF(OR(SUM(AE25:AE25)&gt;=($B$5*40),SUM(AE25:AE25)&gt;0),0,IF(SUM($C$26:AD26)=0,IF((('Project Parameters'!$H$21)/Plan!$B$5)&gt;40,40*$B$5,('Project Parameters'!$H$21)),IF(AD26&lt;(40*$B$5),0,IF(((('Project Parameters'!$H$21)-SUM($C$26:AD26))/Plan!$B$5)&gt;40,40*$B$5,(('Project Parameters'!$H$21)-SUM($C$26:AD26))))))</f>
        <v>0</v>
      </c>
      <c r="AF26" s="66">
        <f>IF(OR(SUM(AF25:AF25)&gt;=($B$5*40),SUM(AF25:AF25)&gt;0),0,IF(SUM($C$26:AE26)=0,IF((('Project Parameters'!$H$21)/Plan!$B$5)&gt;40,40*$B$5,('Project Parameters'!$H$21)),IF(AE26&lt;(40*$B$5),0,IF(((('Project Parameters'!$H$21)-SUM($C$26:AE26))/Plan!$B$5)&gt;40,40*$B$5,(('Project Parameters'!$H$21)-SUM($C$26:AE26))))))</f>
        <v>0</v>
      </c>
      <c r="AG26" s="66">
        <f>IF(OR(SUM(AG25:AG25)&gt;=($B$5*40),SUM(AG25:AG25)&gt;0),0,IF(SUM($C$26:AF26)=0,IF((('Project Parameters'!$H$21)/Plan!$B$5)&gt;40,40*$B$5,('Project Parameters'!$H$21)),IF(AF26&lt;(40*$B$5),0,IF(((('Project Parameters'!$H$21)-SUM($C$26:AF26))/Plan!$B$5)&gt;40,40*$B$5,(('Project Parameters'!$H$21)-SUM($C$26:AF26))))))</f>
        <v>0</v>
      </c>
      <c r="AH26" s="66">
        <f>IF(OR(SUM(AH25:AH25)&gt;=($B$5*40),SUM(AH25:AH25)&gt;0),0,IF(SUM($C$26:AG26)=0,IF((('Project Parameters'!$H$21)/Plan!$B$5)&gt;40,40*$B$5,('Project Parameters'!$H$21)),IF(AG26&lt;(40*$B$5),0,IF(((('Project Parameters'!$H$21)-SUM($C$26:AG26))/Plan!$B$5)&gt;40,40*$B$5,(('Project Parameters'!$H$21)-SUM($C$26:AG26))))))</f>
        <v>0</v>
      </c>
    </row>
    <row r="27" spans="1:34" x14ac:dyDescent="0.2">
      <c r="A27" t="s">
        <v>199</v>
      </c>
      <c r="C27" s="66">
        <f>IF(OR(SUM(C25:C26)&gt;=($B$5*40),SUM(C25:C26)&gt;0),0,IF((('Effort Estimates'!C6)/Plan!$B$6)&gt;40,40*$B$6,('Effort Estimates'!C6)))</f>
        <v>0</v>
      </c>
      <c r="D27" s="66">
        <f>IF(OR(SUM(D25:D26)&gt;=($B$6*40),SUM(D25:D26)&gt;0),0,IF(C27=0,IF((('Effort Estimates'!$C$6)/Plan!$B$6)&gt;40,40*$B$6,('Effort Estimates'!$C$6)),IF(C27&lt;(40*$B$6),0,IF(((('Effort Estimates'!$C$6)-C27)/Plan!$B$6)&gt;40,40*$B$6,(('Effort Estimates'!$C$6)-C27)))))</f>
        <v>0</v>
      </c>
      <c r="E27" s="66">
        <f>IF(OR(SUM(E25:E26)&gt;=($B$6*40),SUM(E25:E26)&gt;0),0,IF(SUM(C27:D27)=0,IF((('Effort Estimates'!$C$6)/Plan!$B$6)&gt;40,40*$B$6,('Effort Estimates'!$C$6)),IF(D27&lt;(40*$B$6),0,IF(((('Effort Estimates'!$C$6)-SUM(C27:D27))/Plan!$B$6)&gt;40,40*$B$6,(('Effort Estimates'!$C$6)-SUM(C27:D27))))))</f>
        <v>0</v>
      </c>
      <c r="F27" s="66">
        <f>IF(OR(SUM(F25:F26)&gt;=($B$6*40),SUM(F25:F26)&gt;0),0,IF(SUM(C27:E27)=0,IF((('Effort Estimates'!$C$6)/Plan!$B$6)&gt;40,40*$B$6,('Effort Estimates'!$C$6)),IF(E27&lt;(40*$B$6),0,IF(((('Effort Estimates'!$C$6)-SUM(C27:E27))/Plan!$B$6)&gt;40,40*$B$6,(('Effort Estimates'!$C$6)-SUM(C27:E27))))))</f>
        <v>0</v>
      </c>
      <c r="G27" s="66">
        <f>IF(OR(SUM(G25:G26)&gt;=($B$6*40),SUM(G25:G26)&gt;0),0,IF(SUM(C27:F27)=0,IF((('Effort Estimates'!$C$6)/Plan!$B$6)&gt;40,40*$B$6,('Effort Estimates'!$C$6)),IF(F27&lt;(40*$B$6),0,IF(((('Effort Estimates'!$C$6)-SUM(C27:F27))/Plan!$B$6)&gt;40,40*$B$6,(('Effort Estimates'!$C$6)-SUM(C27:F27))))))</f>
        <v>0</v>
      </c>
      <c r="H27" s="66">
        <f>IF(OR(SUM(H25:H26)&gt;=($B$5*40),SUM(H25:H26)&gt;0),0,IF(SUM(C27:G27)=0,IF((('Effort Estimates'!$C$6)/Plan!$B$6)&gt;40,40*$B$6,('Effort Estimates'!$C$6)),IF(G27&lt;(40*$B$6),0,IF(((('Effort Estimates'!$C$6)-SUM(C27:G27))/Plan!$B$6)&gt;40,40*$B$6,(('Effort Estimates'!$C$6)-SUM(C27:G27))))))</f>
        <v>40</v>
      </c>
      <c r="I27" s="66">
        <f>IF(OR(SUM(I25:I26)&gt;=($B$6*40),SUM(I25:I26)&gt;0),0,IF(SUM(C27:H27)=0,IF((('Effort Estimates'!$C$6)/Plan!$B$6)&gt;40,40*$B$6,('Effort Estimates'!$C$6)),IF(H27&lt;(40*$B$6),0,IF(((('Effort Estimates'!$C$6)-SUM(C27:H27))/Plan!$B$6)&gt;40,40*$B$6,(('Effort Estimates'!$C$6)-SUM(C27:H27))))))</f>
        <v>9.6742399999999904</v>
      </c>
      <c r="J27" s="66">
        <f>IF(OR(SUM(J25:J26)&gt;=($B$6*40),SUM(J25:J26)&gt;0),0,IF(SUM(C27:I27)=0,IF((('Effort Estimates'!$C$6)/Plan!$B$6)&gt;40,40*$B$6,('Effort Estimates'!$C$6)),IF(I27&lt;(40*$B$6),0,IF(((('Effort Estimates'!$C$6)-SUM(C27:I27))/Plan!$B$6)&gt;40,40*$B$6,(('Effort Estimates'!$C$6)-SUM(C27:I27))))))</f>
        <v>0</v>
      </c>
      <c r="K27" s="66">
        <f>IF(OR(SUM(K25:K26)&gt;=($B$6*40),SUM(K25:K26)&gt;0),0,IF(SUM(C27:J27)=0,IF((('Effort Estimates'!$C$6)/Plan!$B$6)&gt;40,40*$B$6,('Effort Estimates'!$C$6)),IF(J27&lt;(40*$B$6),0,IF(((('Effort Estimates'!$C$6)-SUM(C27:J27))/Plan!$B$6)&gt;40,40*$B$6,(('Effort Estimates'!$C$6)-SUM(C27:J27))))))</f>
        <v>0</v>
      </c>
      <c r="L27" s="66">
        <f>IF(OR(SUM(L25:L26)&gt;=($B$6*40),SUM(L25:L26)&gt;0),0,IF(SUM(C27:K27)=0,IF((('Effort Estimates'!$C$6)/Plan!$B$6)&gt;40,40*$B$6,('Effort Estimates'!$C$6)),IF(K27&lt;(40*$B$6),0,IF(((('Effort Estimates'!$C$6)-SUM(C27:K27))/Plan!$B$6)&gt;40,40*$B$6,(('Effort Estimates'!$C$6)-SUM(C27:K27))))))</f>
        <v>0</v>
      </c>
      <c r="M27" s="66">
        <f>IF(OR(SUM(M25:M26)&gt;=($B$6*40),SUM(M25:M26)&gt;0),0,IF(SUM(C27:L27)=0,IF((('Effort Estimates'!$C$6)/Plan!$B$6)&gt;40,40*$B$6,('Effort Estimates'!$C$6)),IF(L27&lt;(40*$B$6),0,IF(((('Effort Estimates'!$C$6)-SUM(C27:L27))/Plan!$B$6)&gt;40,40*$B$6,(('Effort Estimates'!$C$6)-SUM(C27:L27))))))</f>
        <v>0</v>
      </c>
      <c r="N27" s="66">
        <f>IF(OR(SUM(N25:N26)&gt;=($B$6*40),SUM(N25:N26)&gt;0),0,IF(SUM(C27:M27)=0,IF((('Effort Estimates'!$C$6)/Plan!$B$6)&gt;40,40*$B$6,('Effort Estimates'!$C$6)),IF(M27&lt;(40*$B$6),0,IF(((('Effort Estimates'!$C$6)-SUM(C27:M27))/Plan!$B$6)&gt;40,40*$B$6,(('Effort Estimates'!$C$6)-SUM(C27:M27))))))</f>
        <v>0</v>
      </c>
      <c r="O27" s="66">
        <f>IF(OR(SUM(O25:O26)&gt;=($B$6*40),SUM(O25:O26)&gt;0),0,IF(SUM($C$27:N27)=0,IF((('Effort Estimates'!$C$6)/Plan!$B$6)&gt;40,40*$B$6,('Effort Estimates'!$C$6)),IF(N27&lt;(40*$B$6),0,IF(((('Effort Estimates'!$C$6)-SUM($C$27:N27))/Plan!$B$6)&gt;40,40*$B$6,(('Effort Estimates'!$C$6)-SUM($C$27:N27))))))</f>
        <v>0</v>
      </c>
      <c r="P27" s="66">
        <f>IF(OR(SUM(P25:P26)&gt;=($B$6*40),SUM(P25:P26)&gt;0),0,IF(SUM($C$27:O27)=0,IF((('Effort Estimates'!$C$6)/Plan!$B$6)&gt;40,40*$B$6,('Effort Estimates'!$C$6)),IF(O27&lt;(40*$B$6),0,IF(((('Effort Estimates'!$C$6)-SUM($C$27:O27))/Plan!$B$6)&gt;40,40*$B$6,(('Effort Estimates'!$C$6)-SUM($C$27:O27))))))</f>
        <v>0</v>
      </c>
      <c r="Q27" s="66">
        <f>IF(OR(SUM(Q25:Q26)&gt;=($B$6*40),SUM(Q25:Q26)&gt;0),0,IF(SUM($C$27:P27)=0,IF((('Effort Estimates'!$C$6)/Plan!$B$6)&gt;40,40*$B$6,('Effort Estimates'!$C$6)),IF(P27&lt;(40*$B$6),0,IF(((('Effort Estimates'!$C$6)-SUM($C$27:P27))/Plan!$B$6)&gt;40,40*$B$6,(('Effort Estimates'!$C$6)-SUM($C$27:P27))))))</f>
        <v>0</v>
      </c>
      <c r="R27" s="66">
        <f>IF(OR(SUM(R25:R26)&gt;=($B$6*40),SUM(R25:R26)&gt;0),0,IF(SUM($C$27:Q27)=0,IF((('Effort Estimates'!$C$6)/Plan!$B$6)&gt;40,40*$B$6,('Effort Estimates'!$C$6)),IF(Q27&lt;(40*$B$6),0,IF(((('Effort Estimates'!$C$6)-SUM($C$27:Q27))/Plan!$B$6)&gt;40,40*$B$6,(('Effort Estimates'!$C$6)-SUM($C$27:Q27))))))</f>
        <v>0</v>
      </c>
      <c r="S27" s="66">
        <f>IF(OR(SUM(S25:S26)&gt;=($B$6*40),SUM(S25:S26)&gt;0),0,IF(SUM($C$27:R27)=0,IF((('Effort Estimates'!$C$6)/Plan!$B$6)&gt;40,40*$B$6,('Effort Estimates'!$C$6)),IF(R27&lt;(40*$B$6),0,IF(((('Effort Estimates'!$C$6)-SUM($C$27:R27))/Plan!$B$6)&gt;40,40*$B$6,(('Effort Estimates'!$C$6)-SUM($C$27:R27))))))</f>
        <v>0</v>
      </c>
      <c r="T27" s="66">
        <f>IF(OR(SUM(T25:T26)&gt;=($B$6*40),SUM(T25:T26)&gt;0),0,IF(SUM($C$27:S27)=0,IF((('Effort Estimates'!$C$6)/Plan!$B$6)&gt;40,40*$B$6,('Effort Estimates'!$C$6)),IF(S27&lt;(40*$B$6),0,IF(((('Effort Estimates'!$C$6)-SUM($C$27:S27))/Plan!$B$6)&gt;40,40*$B$6,(('Effort Estimates'!$C$6)-SUM($C$27:S27))))))</f>
        <v>0</v>
      </c>
      <c r="U27" s="66">
        <f>IF(OR(SUM(U25:U26)&gt;=($B$6*40),SUM(U25:U26)&gt;0),0,IF(SUM($C$27:T27)=0,IF((('Effort Estimates'!$C$6)/Plan!$B$6)&gt;40,40*$B$6,('Effort Estimates'!$C$6)),IF(T27&lt;(40*$B$6),0,IF(((('Effort Estimates'!$C$6)-SUM($C$27:T27))/Plan!$B$6)&gt;40,40*$B$6,(('Effort Estimates'!$C$6)-SUM($C$27:T27))))))</f>
        <v>0</v>
      </c>
      <c r="V27" s="66">
        <f>IF(OR(SUM(V25:V26)&gt;=($B$6*40),SUM(V25:V26)&gt;0),0,IF(SUM($C$27:U27)=0,IF((('Effort Estimates'!$C$6)/Plan!$B$6)&gt;40,40*$B$6,('Effort Estimates'!$C$6)),IF(U27&lt;(40*$B$6),0,IF(((('Effort Estimates'!$C$6)-SUM($C$27:U27))/Plan!$B$6)&gt;40,40*$B$6,(('Effort Estimates'!$C$6)-SUM($C$27:U27))))))</f>
        <v>0</v>
      </c>
      <c r="W27" s="66">
        <f>IF(OR(SUM(W25:W26)&gt;=($B$6*40),SUM(W25:W26)&gt;0),0,IF(SUM($C$27:V27)=0,IF((('Effort Estimates'!$C$6)/Plan!$B$6)&gt;40,40*$B$6,('Effort Estimates'!$C$6)),IF(V27&lt;(40*$B$6),0,IF(((('Effort Estimates'!$C$6)-SUM($C$27:V27))/Plan!$B$6)&gt;40,40*$B$6,(('Effort Estimates'!$C$6)-SUM($C$27:V27))))))</f>
        <v>0</v>
      </c>
      <c r="X27" s="66">
        <f>IF(OR(SUM(X25:X26)&gt;=($B$6*40),SUM(X25:X26)&gt;0),0,IF(SUM($C$27:W27)=0,IF((('Effort Estimates'!$C$6)/Plan!$B$6)&gt;40,40*$B$6,('Effort Estimates'!$C$6)),IF(W27&lt;(40*$B$6),0,IF(((('Effort Estimates'!$C$6)-SUM($C$27:W27))/Plan!$B$6)&gt;40,40*$B$6,(('Effort Estimates'!$C$6)-SUM($C$27:W27))))))</f>
        <v>0</v>
      </c>
      <c r="Y27" s="66">
        <f>IF(OR(SUM(Y25:Y26)&gt;=($B$6*40),SUM(Y25:Y26)&gt;0),0,IF(SUM($C$27:X27)=0,IF((('Effort Estimates'!$C$6)/Plan!$B$6)&gt;40,40*$B$6,('Effort Estimates'!$C$6)),IF(X27&lt;(40*$B$6),0,IF(((('Effort Estimates'!$C$6)-SUM($C$27:X27))/Plan!$B$6)&gt;40,40*$B$6,(('Effort Estimates'!$C$6)-SUM($C$27:X27))))))</f>
        <v>0</v>
      </c>
      <c r="Z27" s="66">
        <f>IF(OR(SUM(Z25:Z26)&gt;=($B$6*40),SUM(Z25:Z26)&gt;0),0,IF(SUM($C$27:Y27)=0,IF((('Effort Estimates'!$C$6)/Plan!$B$6)&gt;40,40*$B$6,('Effort Estimates'!$C$6)),IF(Y27&lt;(40*$B$6),0,IF(((('Effort Estimates'!$C$6)-SUM($C$27:Y27))/Plan!$B$6)&gt;40,40*$B$6,(('Effort Estimates'!$C$6)-SUM($C$27:Y27))))))</f>
        <v>0</v>
      </c>
      <c r="AA27" s="66">
        <f>IF(OR(SUM(AA25:AA26)&gt;=($B$6*40),SUM(AA25:AA26)&gt;0),0,IF(SUM($C$27:Z27)=0,IF((('Effort Estimates'!$C$6)/Plan!$B$6)&gt;40,40*$B$6,('Effort Estimates'!$C$6)),IF(Z27&lt;(40*$B$6),0,IF(((('Effort Estimates'!$C$6)-SUM($C$27:Z27))/Plan!$B$6)&gt;40,40*$B$6,(('Effort Estimates'!$C$6)-SUM($C$27:Z27))))))</f>
        <v>0</v>
      </c>
      <c r="AB27" s="66">
        <f>IF(OR(SUM(AB25:AB26)&gt;=($B$6*40),SUM(AB25:AB26)&gt;0),0,IF(SUM($C$27:AA27)=0,IF((('Effort Estimates'!$C$6)/Plan!$B$6)&gt;40,40*$B$6,('Effort Estimates'!$C$6)),IF(AA27&lt;(40*$B$6),0,IF(((('Effort Estimates'!$C$6)-SUM($C$27:AA27))/Plan!$B$6)&gt;40,40*$B$6,(('Effort Estimates'!$C$6)-SUM($C$27:AA27))))))</f>
        <v>0</v>
      </c>
      <c r="AC27" s="66">
        <f>IF(OR(SUM(AC25:AC26)&gt;=($B$6*40),SUM(AC25:AC26)&gt;0),0,IF(SUM($C$27:AB27)=0,IF((('Effort Estimates'!$C$6)/Plan!$B$6)&gt;40,40*$B$6,('Effort Estimates'!$C$6)),IF(AB27&lt;(40*$B$6),0,IF(((('Effort Estimates'!$C$6)-SUM($C$27:AB27))/Plan!$B$6)&gt;40,40*$B$6,(('Effort Estimates'!$C$6)-SUM($C$27:AB27))))))</f>
        <v>0</v>
      </c>
      <c r="AD27" s="66">
        <f>IF(OR(SUM(AD25:AD26)&gt;=($B$6*40),SUM(AD25:AD26)&gt;0),0,IF(SUM($C$27:AC27)=0,IF((('Effort Estimates'!$C$6)/Plan!$B$6)&gt;40,40*$B$6,('Effort Estimates'!$C$6)),IF(AC27&lt;(40*$B$6),0,IF(((('Effort Estimates'!$C$6)-SUM($C$27:AC27))/Plan!$B$6)&gt;40,40*$B$6,(('Effort Estimates'!$C$6)-SUM($C$27:AC27))))))</f>
        <v>0</v>
      </c>
      <c r="AE27" s="66">
        <f>IF(OR(SUM(AE25:AE26)&gt;=($B$6*40),SUM(AE25:AE26)&gt;0),0,IF(SUM($C$27:AD27)=0,IF((('Effort Estimates'!$C$6)/Plan!$B$6)&gt;40,40*$B$6,('Effort Estimates'!$C$6)),IF(AD27&lt;(40*$B$6),0,IF(((('Effort Estimates'!$C$6)-SUM($C$27:AD27))/Plan!$B$6)&gt;40,40*$B$6,(('Effort Estimates'!$C$6)-SUM($C$27:AD27))))))</f>
        <v>0</v>
      </c>
      <c r="AF27" s="66">
        <f>IF(OR(SUM(AF25:AF26)&gt;=($B$6*40),SUM(AF25:AF26)&gt;0),0,IF(SUM($C$27:AE27)=0,IF((('Effort Estimates'!$C$6)/Plan!$B$6)&gt;40,40*$B$6,('Effort Estimates'!$C$6)),IF(AE27&lt;(40*$B$6),0,IF(((('Effort Estimates'!$C$6)-SUM($C$27:AE27))/Plan!$B$6)&gt;40,40*$B$6,(('Effort Estimates'!$C$6)-SUM($C$27:AE27))))))</f>
        <v>0</v>
      </c>
      <c r="AG27" s="66">
        <f>IF(OR(SUM(AG25:AG26)&gt;=($B$6*40),SUM(AG25:AG26)&gt;0),0,IF(SUM($C$27:AF27)=0,IF((('Effort Estimates'!$C$6)/Plan!$B$6)&gt;40,40*$B$6,('Effort Estimates'!$C$6)),IF(AF27&lt;(40*$B$6),0,IF(((('Effort Estimates'!$C$6)-SUM($C$27:AF27))/Plan!$B$6)&gt;40,40*$B$6,(('Effort Estimates'!$C$6)-SUM($C$27:AF27))))))</f>
        <v>0</v>
      </c>
      <c r="AH27" s="66">
        <f>IF(OR(SUM(AH25:AH26)&gt;=($B$6*40),SUM(AH25:AH26)&gt;0),0,IF(SUM($C$27:AG27)=0,IF((('Effort Estimates'!$C$6)/Plan!$B$6)&gt;40,40*$B$6,('Effort Estimates'!$C$6)),IF(AG27&lt;(40*$B$6),0,IF(((('Effort Estimates'!$C$6)-SUM($C$27:AG27))/Plan!$B$6)&gt;40,40*$B$6,(('Effort Estimates'!$C$6)-SUM($C$27:AG27))))))</f>
        <v>0</v>
      </c>
    </row>
    <row r="28" spans="1:34" x14ac:dyDescent="0.2">
      <c r="A28" t="s">
        <v>200</v>
      </c>
      <c r="C28" s="66">
        <v>0</v>
      </c>
      <c r="D28" s="66">
        <f xml:space="preserve"> IF(OR(SUM(D25:D26)&gt;=($B$5*40),SUM(D25:D26)&gt;0),
  0,
  IF(SUM($C$28:C28)=0,
   IF((('Effort Estimates'!$C$7)/Plan!$B$12)&gt;40*$B$5,
    40*$B$5,
    ('Effort Estimates'!$C$7)/$B$12
   ),
   IF(SUM($C$28:C28)&lt;'Effort Estimates'!$C$7,
    IF((('Effort Estimates'!$C$7)/Plan!$B$12)&gt;40*$B$5,
     40*$B$5,
     ('Effort Estimates'!$C$7)/$B$12
    ),
    0
   )
  )
 )</f>
        <v>0</v>
      </c>
      <c r="E28" s="66">
        <f xml:space="preserve"> IF(OR(SUM(E25:E26)&gt;=($B$5*40),SUM(E25:E26)&gt;0),
  0,
  IF(SUM($C$28:D28)=0,
   IF((('Effort Estimates'!$C$7)/Plan!$B$12)&gt;40*$B$5,
    40*$B$5,
    ('Effort Estimates'!$C$7)/$B$12
   ),
   IF(SUM($C$28:D28)&lt;'Effort Estimates'!$C$7,
    IF((('Effort Estimates'!$C$7)/Plan!$B$12)&gt;40*$B$5,
     40*$B$5,
     ('Effort Estimates'!$C$7)/$B$12
    ),
    0
   )
  )
 )</f>
        <v>0</v>
      </c>
      <c r="F28" s="66">
        <f xml:space="preserve"> IF(OR(SUM(F25:F26)&gt;=($B$5*40),SUM(F25:F26)&gt;0),
  0,
  IF(SUM($C$28:E28)=0,
   IF((('Effort Estimates'!$C$7)/Plan!$B$12)&gt;40*$B$5,
    40*$B$5,
    ('Effort Estimates'!$C$7)/$B$12
   ),
   IF(SUM($C$28:E28)&lt;'Effort Estimates'!$C$7,
    IF((('Effort Estimates'!$C$7)/Plan!$B$12)&gt;40*$B$5,
     40*$B$5,
     ('Effort Estimates'!$C$7)/$B$12
    ),
    0
   )
  )
 )</f>
        <v>0</v>
      </c>
      <c r="G28" s="66">
        <f xml:space="preserve"> IF(OR(SUM(G25:G26)&gt;=($B$5*40),SUM(G25:G26)&gt;0),
  0,
  IF(SUM($C$28:F28)=0,
   IF((('Effort Estimates'!$C$7)/Plan!$B$12)&gt;40*$B$5,
    40*$B$5,
    ('Effort Estimates'!$C$7)/$B$12
   ),
   IF(SUM($C$28:F28)&lt;'Effort Estimates'!$C$7,
    IF((('Effort Estimates'!$C$7)/Plan!$B$12)&gt;40*$B$5,
     40*$B$5,
     ('Effort Estimates'!$C$7)/$B$12
    ),
    0
   )
  )
 )</f>
        <v>0</v>
      </c>
      <c r="H28" s="66">
        <f xml:space="preserve"> IF(OR(SUM(H25:H26)&gt;=($B$5*40),SUM(H25:H26)&gt;0),
  0,
  IF(SUM($C$28:G28)=0,
   IF((('Effort Estimates'!$C$7)/Plan!$B$12)&gt;40*$B$5,
    40*$B$5,
    ('Effort Estimates'!$C$7)/$B$12
   ),
   IF(SUM($C$28:G28)&lt;'Effort Estimates'!$C$7,
    IF((('Effort Estimates'!$C$7)/Plan!$B$12)&gt;40*$B$5,
     40*$B$5,
     ('Effort Estimates'!$C$7)/$B$12
    ),
    0
   )
  )
 )</f>
        <v>6.2092799999999988</v>
      </c>
      <c r="I28" s="66">
        <f xml:space="preserve"> IF(OR(SUM(I25:I26)&gt;=($B$5*40),SUM(I25:I26)&gt;0),
  0,
  IF(SUM($C$28:H28)=0,
   IF((('Effort Estimates'!$C$7)/Plan!$B$12)&gt;40*$B$5,
    40*$B$5,
    ('Effort Estimates'!$C$7)/$B$12
   ),
   IF(SUM($C$28:H28)&lt;'Effort Estimates'!$C$7,
    IF((('Effort Estimates'!$C$7)/Plan!$B$12)&gt;40*$B$5,
     40*$B$5,
     ('Effort Estimates'!$C$7)/$B$12
    ),
    0
   )
  )
 )</f>
        <v>6.2092799999999988</v>
      </c>
      <c r="J28" s="66">
        <f xml:space="preserve"> IF(OR(SUM(J25:J26)&gt;=($B$5*40),SUM(J25:J26)&gt;0),
  0,
  IF(SUM($C$28:I28)=0,
   IF((('Effort Estimates'!$C$7)/Plan!$B$12)&gt;40*$B$5,
    40*$B$5,
    ('Effort Estimates'!$C$7)/$B$12
   ),
   IF(SUM($C$28:I28)&lt;'Effort Estimates'!$C$7,
    IF((('Effort Estimates'!$C$7)/Plan!$B$12)&gt;40*$B$5,
     40*$B$5,
     ('Effort Estimates'!$C$7)/$B$12
    ),
    0
   )
  )
 )</f>
        <v>0</v>
      </c>
      <c r="K28" s="66">
        <f xml:space="preserve"> IF(OR(SUM(K25:K26)&gt;=($B$5*40),SUM(K25:K26)&gt;0),
  0,
  IF(SUM($C$28:J28)=0,
   IF((('Effort Estimates'!$C$7)/Plan!$B$12)&gt;40*$B$5,
    40*$B$5,
    ('Effort Estimates'!$C$7)/$B$12
   ),
   IF(SUM($C$28:J28)&lt;'Effort Estimates'!$C$7,
    IF((('Effort Estimates'!$C$7)/Plan!$B$12)&gt;40*$B$5,
     40*$B$5,
     ('Effort Estimates'!$C$7)/$B$12
    ),
    0
   )
  )
 )</f>
        <v>0</v>
      </c>
      <c r="L28" s="66">
        <f xml:space="preserve"> IF(OR(SUM(L25:L26)&gt;=($B$5*40),SUM(L25:L26)&gt;0),
  0,
  IF(SUM($C$28:K28)=0,
   IF((('Effort Estimates'!$C$7)/Plan!$B$12)&gt;40*$B$5,
    40*$B$5,
    ('Effort Estimates'!$C$7)/$B$12
   ),
   IF(SUM($C$28:K28)&lt;'Effort Estimates'!$C$7,
    IF((('Effort Estimates'!$C$7)/Plan!$B$12)&gt;40*$B$5,
     40*$B$5,
     ('Effort Estimates'!$C$7)/$B$12
    ),
    0
   )
  )
 )</f>
        <v>0</v>
      </c>
      <c r="M28" s="66">
        <f xml:space="preserve"> IF(OR(SUM(M25:M26)&gt;=($B$5*40),SUM(M25:M26)&gt;0),
  0,
  IF(SUM($C$28:L28)=0,
   IF((('Effort Estimates'!$C$7)/Plan!$B$12)&gt;40*$B$5,
    40*$B$5,
    ('Effort Estimates'!$C$7)/$B$12
   ),
   IF(SUM($C$28:L28)&lt;'Effort Estimates'!$C$7,
    IF((('Effort Estimates'!$C$7)/Plan!$B$12)&gt;40*$B$5,
     40*$B$5,
     ('Effort Estimates'!$C$7)/$B$12
    ),
    0
   )
  )
 )</f>
        <v>0</v>
      </c>
      <c r="N28" s="66">
        <f xml:space="preserve"> IF(OR(SUM(N25:N26)&gt;=($B$5*40),SUM(N25:N26)&gt;0),
  0,
  IF(SUM($C$28:M28)=0,
   IF((('Effort Estimates'!$C$7)/Plan!$B$12)&gt;40*$B$5,
    40*$B$5,
    ('Effort Estimates'!$C$7)/$B$12
   ),
   IF(SUM($C$28:M28)&lt;'Effort Estimates'!$C$7,
    IF((('Effort Estimates'!$C$7)/Plan!$B$12)&gt;40*$B$5,
     40*$B$5,
     ('Effort Estimates'!$C$7)/$B$12
    ),
    0
   )
  )
 )</f>
        <v>0</v>
      </c>
      <c r="O28" s="66">
        <f xml:space="preserve"> IF(OR(SUM(O25:O26)&gt;=($B$5*40),SUM(O25:O26)&gt;0),
  0,
  IF(SUM($C$28:N28)=0,
   IF((('Effort Estimates'!$C$7)/Plan!$B$12)&gt;40*$B$5,
    40*$B$5,
    ('Effort Estimates'!$C$7)/$B$12
   ),
   IF(SUM($C$28:N28)&lt;'Effort Estimates'!$C$7,
    IF((('Effort Estimates'!$C$7)/Plan!$B$12)&gt;40*$B$5,
     40*$B$5,
     ('Effort Estimates'!$C$7)/$B$12
    ),
    0
   )
  )
 )</f>
        <v>0</v>
      </c>
      <c r="P28" s="66">
        <f xml:space="preserve"> IF(OR(SUM(P25:P26)&gt;=($B$5*40),SUM(P25:P26)&gt;0),
  0,
  IF(SUM($C$28:O28)=0,
   IF((('Effort Estimates'!$C$7)/Plan!$B$12)&gt;40*$B$5,
    40*$B$5,
    ('Effort Estimates'!$C$7)/$B$12
   ),
   IF(SUM($C$28:O28)&lt;'Effort Estimates'!$C$7,
    IF((('Effort Estimates'!$C$7)/Plan!$B$12)&gt;40*$B$5,
     40*$B$5,
     ('Effort Estimates'!$C$7)/$B$12
    ),
    0
   )
  )
 )</f>
        <v>0</v>
      </c>
      <c r="Q28" s="66">
        <f xml:space="preserve"> IF(OR(SUM(Q25:Q26)&gt;=($B$5*40),SUM(Q25:Q26)&gt;0),
  0,
  IF(SUM($C$28:P28)=0,
   IF((('Effort Estimates'!$C$7)/Plan!$B$12)&gt;40*$B$5,
    40*$B$5,
    ('Effort Estimates'!$C$7)/$B$12
   ),
   IF(SUM($C$28:P28)&lt;'Effort Estimates'!$C$7,
    IF((('Effort Estimates'!$C$7)/Plan!$B$12)&gt;40*$B$5,
     40*$B$5,
     ('Effort Estimates'!$C$7)/$B$12
    ),
    0
   )
  )
 )</f>
        <v>0</v>
      </c>
      <c r="R28" s="66">
        <f xml:space="preserve"> IF(OR(SUM(R25:R26)&gt;=($B$5*40),SUM(R25:R26)&gt;0),
  0,
  IF(SUM($C$28:Q28)=0,
   IF((('Effort Estimates'!$C$7)/Plan!$B$12)&gt;40*$B$5,
    40*$B$5,
    ('Effort Estimates'!$C$7)/$B$12
   ),
   IF(SUM($C$28:Q28)&lt;'Effort Estimates'!$C$7,
    IF((('Effort Estimates'!$C$7)/Plan!$B$12)&gt;40*$B$5,
     40*$B$5,
     ('Effort Estimates'!$C$7)/$B$12
    ),
    0
   )
  )
 )</f>
        <v>0</v>
      </c>
      <c r="S28" s="66">
        <f xml:space="preserve"> IF(OR(SUM(S25:S26)&gt;=($B$5*40),SUM(S25:S26)&gt;0),
  0,
  IF(SUM($C$28:R28)=0,
   IF((('Effort Estimates'!$C$7)/Plan!$B$12)&gt;40*$B$5,
    40*$B$5,
    ('Effort Estimates'!$C$7)/$B$12
   ),
   IF(SUM($C$28:R28)&lt;'Effort Estimates'!$C$7,
    IF((('Effort Estimates'!$C$7)/Plan!$B$12)&gt;40*$B$5,
     40*$B$5,
     ('Effort Estimates'!$C$7)/$B$12
    ),
    0
   )
  )
 )</f>
        <v>0</v>
      </c>
      <c r="T28" s="66">
        <f xml:space="preserve"> IF(OR(SUM(T25:T26)&gt;=($B$5*40),SUM(T25:T26)&gt;0),
  0,
  IF(SUM($C$28:S28)=0,
   IF((('Effort Estimates'!$C$7)/Plan!$B$12)&gt;40*$B$5,
    40*$B$5,
    ('Effort Estimates'!$C$7)/$B$12
   ),
   IF(SUM($C$28:S28)&lt;'Effort Estimates'!$C$7,
    IF((('Effort Estimates'!$C$7)/Plan!$B$12)&gt;40*$B$5,
     40*$B$5,
     ('Effort Estimates'!$C$7)/$B$12
    ),
    0
   )
  )
 )</f>
        <v>0</v>
      </c>
      <c r="U28" s="66">
        <f xml:space="preserve"> IF(OR(SUM(U25:U26)&gt;=($B$5*40),SUM(U25:U26)&gt;0),
  0,
  IF(SUM($C$28:T28)=0,
   IF((('Effort Estimates'!$C$7)/Plan!$B$12)&gt;40*$B$5,
    40*$B$5,
    ('Effort Estimates'!$C$7)/$B$12
   ),
   IF(SUM($C$28:T28)&lt;'Effort Estimates'!$C$7,
    IF((('Effort Estimates'!$C$7)/Plan!$B$12)&gt;40*$B$5,
     40*$B$5,
     ('Effort Estimates'!$C$7)/$B$12
    ),
    0
   )
  )
 )</f>
        <v>0</v>
      </c>
      <c r="V28" s="66">
        <f xml:space="preserve"> IF(OR(SUM(V25:V26)&gt;=($B$5*40),SUM(V25:V26)&gt;0),
  0,
  IF(SUM($C$28:U28)=0,
   IF((('Effort Estimates'!$C$7)/Plan!$B$12)&gt;40*$B$5,
    40*$B$5,
    ('Effort Estimates'!$C$7)/$B$12
   ),
   IF(SUM($C$28:U28)&lt;'Effort Estimates'!$C$7,
    IF((('Effort Estimates'!$C$7)/Plan!$B$12)&gt;40*$B$5,
     40*$B$5,
     ('Effort Estimates'!$C$7)/$B$12
    ),
    0
   )
  )
 )</f>
        <v>0</v>
      </c>
      <c r="W28" s="66">
        <f xml:space="preserve"> IF(OR(SUM(W25:W26)&gt;=($B$5*40),SUM(W25:W26)&gt;0),
  0,
  IF(SUM($C$28:V28)=0,
   IF((('Effort Estimates'!$C$7)/Plan!$B$12)&gt;40*$B$5,
    40*$B$5,
    ('Effort Estimates'!$C$7)/$B$12
   ),
   IF(SUM($C$28:V28)&lt;'Effort Estimates'!$C$7,
    IF((('Effort Estimates'!$C$7)/Plan!$B$12)&gt;40*$B$5,
     40*$B$5,
     ('Effort Estimates'!$C$7)/$B$12
    ),
    0
   )
  )
 )</f>
        <v>0</v>
      </c>
      <c r="X28" s="66">
        <f xml:space="preserve"> IF(OR(SUM(X25:X26)&gt;=($B$5*40),SUM(X25:X26)&gt;0),
  0,
  IF(SUM($C$28:W28)=0,
   IF((('Effort Estimates'!$C$7)/Plan!$B$12)&gt;40*$B$5,
    40*$B$5,
    ('Effort Estimates'!$C$7)/$B$12
   ),
   IF(SUM($C$28:W28)&lt;'Effort Estimates'!$C$7,
    IF((('Effort Estimates'!$C$7)/Plan!$B$12)&gt;40*$B$5,
     40*$B$5,
     ('Effort Estimates'!$C$7)/$B$12
    ),
    0
   )
  )
 )</f>
        <v>0</v>
      </c>
      <c r="Y28" s="66">
        <f xml:space="preserve"> IF(OR(SUM(Y25:Y26)&gt;=($B$5*40),SUM(Y25:Y26)&gt;0),
  0,
  IF(SUM($C$28:X28)=0,
   IF((('Effort Estimates'!$C$7)/Plan!$B$12)&gt;40*$B$5,
    40*$B$5,
    ('Effort Estimates'!$C$7)/$B$12
   ),
   IF(SUM($C$28:X28)&lt;'Effort Estimates'!$C$7,
    IF((('Effort Estimates'!$C$7)/Plan!$B$12)&gt;40*$B$5,
     40*$B$5,
     ('Effort Estimates'!$C$7)/$B$12
    ),
    0
   )
  )
 )</f>
        <v>0</v>
      </c>
      <c r="Z28" s="66">
        <f xml:space="preserve"> IF(OR(SUM(Z25:Z26)&gt;=($B$5*40),SUM(Z25:Z26)&gt;0),
  0,
  IF(SUM($C$28:Y28)=0,
   IF((('Effort Estimates'!$C$7)/Plan!$B$12)&gt;40*$B$5,
    40*$B$5,
    ('Effort Estimates'!$C$7)/$B$12
   ),
   IF(SUM($C$28:Y28)&lt;'Effort Estimates'!$C$7,
    IF((('Effort Estimates'!$C$7)/Plan!$B$12)&gt;40*$B$5,
     40*$B$5,
     ('Effort Estimates'!$C$7)/$B$12
    ),
    0
   )
  )
 )</f>
        <v>0</v>
      </c>
      <c r="AA28" s="66">
        <f xml:space="preserve"> IF(OR(SUM(AA25:AA26)&gt;=($B$5*40),SUM(AA25:AA26)&gt;0),
  0,
  IF(SUM($C$28:Z28)=0,
   IF((('Effort Estimates'!$C$7)/Plan!$B$12)&gt;40*$B$5,
    40*$B$5,
    ('Effort Estimates'!$C$7)/$B$12
   ),
   IF(SUM($C$28:Z28)&lt;'Effort Estimates'!$C$7,
    IF((('Effort Estimates'!$C$7)/Plan!$B$12)&gt;40*$B$5,
     40*$B$5,
     ('Effort Estimates'!$C$7)/$B$12
    ),
    0
   )
  )
 )</f>
        <v>0</v>
      </c>
      <c r="AB28" s="66">
        <f xml:space="preserve"> IF(OR(SUM(AB25:AB26)&gt;=($B$5*40),SUM(AB25:AB26)&gt;0),
  0,
  IF(SUM($C$28:AA28)=0,
   IF((('Effort Estimates'!$C$7)/Plan!$B$12)&gt;40*$B$5,
    40*$B$5,
    ('Effort Estimates'!$C$7)/$B$12
   ),
   IF(SUM($C$28:AA28)&lt;'Effort Estimates'!$C$7,
    IF((('Effort Estimates'!$C$7)/Plan!$B$12)&gt;40*$B$5,
     40*$B$5,
     ('Effort Estimates'!$C$7)/$B$12
    ),
    0
   )
  )
 )</f>
        <v>0</v>
      </c>
      <c r="AC28" s="66">
        <f xml:space="preserve"> IF(OR(SUM(AC25:AC26)&gt;=($B$5*40),SUM(AC25:AC26)&gt;0),
  0,
  IF(SUM($C$28:AB28)=0,
   IF((('Effort Estimates'!$C$7)/Plan!$B$12)&gt;40*$B$5,
    40*$B$5,
    ('Effort Estimates'!$C$7)/$B$12
   ),
   IF(SUM($C$28:AB28)&lt;'Effort Estimates'!$C$7,
    IF((('Effort Estimates'!$C$7)/Plan!$B$12)&gt;40*$B$5,
     40*$B$5,
     ('Effort Estimates'!$C$7)/$B$12
    ),
    0
   )
  )
 )</f>
        <v>0</v>
      </c>
      <c r="AD28" s="66">
        <f xml:space="preserve"> IF(OR(SUM(AD25:AD26)&gt;=($B$5*40),SUM(AD25:AD26)&gt;0),
  0,
  IF(SUM($C$28:AC28)=0,
   IF((('Effort Estimates'!$C$7)/Plan!$B$12)&gt;40*$B$5,
    40*$B$5,
    ('Effort Estimates'!$C$7)/$B$12
   ),
   IF(SUM($C$28:AC28)&lt;'Effort Estimates'!$C$7,
    IF((('Effort Estimates'!$C$7)/Plan!$B$12)&gt;40*$B$5,
     40*$B$5,
     ('Effort Estimates'!$C$7)/$B$12
    ),
    0
   )
  )
 )</f>
        <v>0</v>
      </c>
      <c r="AE28" s="66">
        <f xml:space="preserve"> IF(OR(SUM(AE25:AE26)&gt;=($B$5*40),SUM(AE25:AE26)&gt;0),
  0,
  IF(SUM($C$28:AD28)=0,
   IF((('Effort Estimates'!$C$7)/Plan!$B$12)&gt;40*$B$5,
    40*$B$5,
    ('Effort Estimates'!$C$7)/$B$12
   ),
   IF(SUM($C$28:AD28)&lt;'Effort Estimates'!$C$7,
    IF((('Effort Estimates'!$C$7)/Plan!$B$12)&gt;40*$B$5,
     40*$B$5,
     ('Effort Estimates'!$C$7)/$B$12
    ),
    0
   )
  )
 )</f>
        <v>0</v>
      </c>
      <c r="AF28" s="66">
        <f xml:space="preserve"> IF(OR(SUM(AF25:AF26)&gt;=($B$5*40),SUM(AF25:AF26)&gt;0),
  0,
  IF(SUM($C$28:AE28)=0,
   IF((('Effort Estimates'!$C$7)/Plan!$B$12)&gt;40*$B$5,
    40*$B$5,
    ('Effort Estimates'!$C$7)/$B$12
   ),
   IF(SUM($C$28:AE28)&lt;'Effort Estimates'!$C$7,
    IF((('Effort Estimates'!$C$7)/Plan!$B$12)&gt;40*$B$5,
     40*$B$5,
     ('Effort Estimates'!$C$7)/$B$12
    ),
    0
   )
  )
 )</f>
        <v>0</v>
      </c>
      <c r="AG28" s="66">
        <f xml:space="preserve"> IF(OR(SUM(AG25:AG26)&gt;=($B$5*40),SUM(AG25:AG26)&gt;0),
  0,
  IF(SUM($C$28:AF28)=0,
   IF((('Effort Estimates'!$C$7)/Plan!$B$12)&gt;40*$B$5,
    40*$B$5,
    ('Effort Estimates'!$C$7)/$B$12
   ),
   IF(SUM($C$28:AF28)&lt;'Effort Estimates'!$C$7,
    IF((('Effort Estimates'!$C$7)/Plan!$B$12)&gt;40*$B$5,
     40*$B$5,
     ('Effort Estimates'!$C$7)/$B$12
    ),
    0
   )
  )
 )</f>
        <v>0</v>
      </c>
      <c r="AH28" s="66">
        <f xml:space="preserve"> IF(OR(SUM(AH25:AH26)&gt;=($B$5*40),SUM(AH25:AH26)&gt;0),
  0,
  IF(SUM($C$28:AG28)=0,
   IF((('Effort Estimates'!$C$7)/Plan!$B$12)&gt;40*$B$5,
    40*$B$5,
    ('Effort Estimates'!$C$7)/$B$12
   ),
   IF(SUM($C$28:AG28)&lt;'Effort Estimates'!$C$7,
    IF((('Effort Estimates'!$C$7)/Plan!$B$12)&gt;40*$B$5,
     40*$B$5,
     ('Effort Estimates'!$C$7)/$B$12
    ),
    0
   )
  )
 )</f>
        <v>0</v>
      </c>
    </row>
    <row r="29" spans="1:34" x14ac:dyDescent="0.2">
      <c r="A29" t="s">
        <v>194</v>
      </c>
      <c r="C29" s="66">
        <f>IF(OR(SUM(C25:C28)&gt;=($B$5*40),SUM(C25:C28)&gt;0),0,IF((('Effort Estimates'!C8)/Plan!$B$7)&gt;40,40*$B$7,('Effort Estimates'!C8)))</f>
        <v>0</v>
      </c>
      <c r="D29" s="66">
        <f>IF(OR(SUM(D25:D28)&gt;=($B$6*40),SUM(D25:D28)&gt;0),0,IF(SUM($C$29:C29)=0,IF((('Effort Estimates'!$C$8)/Plan!$B$7)&gt;40,40*$B$7,('Effort Estimates'!$C$8)),IF(SUM(C29:C29)&lt;(40*$B$7),0,IF(((('Effort Estimates'!$C$8)-SUM($C$29:C29))/Plan!$B$7)&gt;40,40*$B$7,(('Effort Estimates'!$C$8)-SUM($C$29:C29))))))</f>
        <v>0</v>
      </c>
      <c r="E29" s="66">
        <f>IF(OR(SUM(E25:E28)&gt;=($B$6*40),SUM(E25:E28)&gt;0),0,IF(SUM($C$29:D29)=0,IF((('Effort Estimates'!$C$8)/Plan!$B$7)&gt;40,40*$B$7,('Effort Estimates'!$C$8)),IF(SUM(D29:D29)&lt;(40*$B$7),0,IF(((('Effort Estimates'!$C$8)-SUM($C$29:D29))/Plan!$B$7)&gt;40,40*$B$7,(('Effort Estimates'!$C$8)-SUM($C$29:D29))))))</f>
        <v>0</v>
      </c>
      <c r="F29" s="66">
        <f>IF(OR(SUM(F25:F28)&gt;=($B$6*40),SUM(F25:F28)&gt;0),0,IF(SUM($C$29:E29)=0,IF((('Effort Estimates'!$C$8)/Plan!$B$7)&gt;40,40*$B$7,('Effort Estimates'!$C$8)),IF(SUM(E29:E29)&lt;(40*$B$7),0,IF(((('Effort Estimates'!$C$8)-SUM($C$29:E29))/Plan!$B$7)&gt;40,40*$B$7,(('Effort Estimates'!$C$8)-SUM($C$29:E29))))))</f>
        <v>0</v>
      </c>
      <c r="G29" s="66">
        <f>IF(OR(SUM(G25:G28)&gt;=($B$6*40),SUM(G25:G28)&gt;0),0,IF(SUM($C$29:F29)=0,IF((('Effort Estimates'!$C$8)/Plan!$B$7)&gt;40,40*$B$7,('Effort Estimates'!$C$8)),IF(SUM(F29:F29)&lt;(40*$B$7),0,IF(((('Effort Estimates'!$C$8)-SUM($C$29:F29))/Plan!$B$7)&gt;40,40*$B$7,(('Effort Estimates'!$C$8)-SUM($C$29:F29))))))</f>
        <v>0</v>
      </c>
      <c r="H29" s="66">
        <f>IF(OR(SUM(H25:H28)&gt;=($B$6*40),SUM(H25:H28)&gt;0),0,IF(SUM($C$29:G29)=0,IF((('Effort Estimates'!$C$8)/Plan!$B$7)&gt;40,40*$B$7,('Effort Estimates'!$C$8)),IF(SUM(G29:G29)&lt;(40*$B$7),0,IF(((('Effort Estimates'!$C$8)-SUM($C$29:G29))/Plan!$B$7)&gt;40,40*$B$7,(('Effort Estimates'!$C$8)-SUM($C$29:G29))))))</f>
        <v>0</v>
      </c>
      <c r="I29" s="66">
        <f>IF(OR(SUM(I25:I28)&gt;=($B$6*40),SUM(I25:I28)&gt;0),0,IF(SUM($C$29:H29)=0,IF((('Effort Estimates'!$C$8)/Plan!$B$7)&gt;40,40*$B$7,('Effort Estimates'!$C$8)),IF(SUM(H29:H29)&lt;(40*$B$7),0,IF(((('Effort Estimates'!$C$8)-SUM($C$29:H29))/Plan!$B$7)&gt;40,40*$B$7,(('Effort Estimates'!$C$8)-SUM($C$29:H29))))))</f>
        <v>0</v>
      </c>
      <c r="J29" s="66">
        <f>IF(OR(SUM(J25:J28)&gt;=($B$6*40),SUM(J25:J28)&gt;0),0,IF(SUM($C$29:I29)=0,IF((('Effort Estimates'!$C$8)/Plan!$B$7)&gt;40,40*$B$7,('Effort Estimates'!$C$8)),IF(SUM(I29:I29)&lt;(40*$B$7),0,IF(((('Effort Estimates'!$C$8)-SUM($C$29:I29))/Plan!$B$7)&gt;40,40*$B$7,(('Effort Estimates'!$C$8)-SUM($C$29:I29))))))</f>
        <v>5.1743999999999994</v>
      </c>
      <c r="K29" s="66">
        <f>IF(OR(SUM(K25:K28)&gt;=($B$6*40),SUM(K25:K28)&gt;0),0,IF(SUM($C$29:J29)=0,IF((('Effort Estimates'!$C$8)/Plan!$B$7)&gt;40,40*$B$7,('Effort Estimates'!$C$8)),IF(SUM(J29:J29)&lt;(40*$B$7),0,IF(((('Effort Estimates'!$C$8)-SUM($C$29:J29))/Plan!$B$7)&gt;40,40*$B$7,(('Effort Estimates'!$C$8)-SUM($C$29:J29))))))</f>
        <v>0</v>
      </c>
      <c r="L29" s="66">
        <f>IF(OR(SUM(L25:L28)&gt;=($B$6*40),SUM(L25:L28)&gt;0),0,IF(SUM($C$29:K29)=0,IF((('Effort Estimates'!$C$8)/Plan!$B$7)&gt;40,40*$B$7,('Effort Estimates'!$C$8)),IF(SUM(K29:K29)&lt;(40*$B$7),0,IF(((('Effort Estimates'!$C$8)-SUM($C$29:K29))/Plan!$B$7)&gt;40,40*$B$7,(('Effort Estimates'!$C$8)-SUM($C$29:K29))))))</f>
        <v>0</v>
      </c>
      <c r="M29" s="66">
        <f>IF(OR(SUM(M25:M28)&gt;=($B$6*40),SUM(M25:M28)&gt;0),0,IF(SUM($C$29:L29)=0,IF((('Effort Estimates'!$C$8)/Plan!$B$7)&gt;40,40*$B$7,('Effort Estimates'!$C$8)),IF(SUM(L29:L29)&lt;(40*$B$7),0,IF(((('Effort Estimates'!$C$8)-SUM($C$29:L29))/Plan!$B$7)&gt;40,40*$B$7,(('Effort Estimates'!$C$8)-SUM($C$29:L29))))))</f>
        <v>0</v>
      </c>
      <c r="N29" s="66">
        <f>IF(OR(SUM(N25:N28)&gt;=($B$6*40),SUM(N25:N28)&gt;0),0,IF(SUM($C$29:M29)=0,IF((('Effort Estimates'!$C$8)/Plan!$B$7)&gt;40,40*$B$7,('Effort Estimates'!$C$8)),IF(SUM(M29:M29)&lt;(40*$B$7),0,IF(((('Effort Estimates'!$C$8)-SUM($C$29:M29))/Plan!$B$7)&gt;40,40*$B$7,(('Effort Estimates'!$C$8)-SUM($C$29:M29))))))</f>
        <v>0</v>
      </c>
      <c r="O29" s="66">
        <f>IF(OR(SUM(O25:O28)&gt;=($B$6*40),SUM(O25:O28)&gt;0),0,IF(SUM($C$29:N29)=0,IF((('Effort Estimates'!$C$8)/Plan!$B$7)&gt;40,40*$B$7,('Effort Estimates'!$C$8)),IF(SUM(N29:N29)&lt;(40*$B$7),0,IF(((('Effort Estimates'!$C$8)-SUM($C$29:N29))/Plan!$B$7)&gt;40,40*$B$7,(('Effort Estimates'!$C$8)-SUM($C$29:N29))))))</f>
        <v>0</v>
      </c>
      <c r="P29" s="66">
        <f>IF(OR(SUM(P25:P28)&gt;=($B$6*40),SUM(P25:P28)&gt;0),0,IF(SUM($C$29:O29)=0,IF((('Effort Estimates'!$C$8)/Plan!$B$7)&gt;40,40*$B$7,('Effort Estimates'!$C$8)),IF(SUM(O29:O29)&lt;(40*$B$7),0,IF(((('Effort Estimates'!$C$8)-SUM($C$29:O29))/Plan!$B$7)&gt;40,40*$B$7,(('Effort Estimates'!$C$8)-SUM($C$29:O29))))))</f>
        <v>0</v>
      </c>
      <c r="Q29" s="66">
        <f>IF(OR(SUM(Q25:Q28)&gt;=($B$6*40),SUM(Q25:Q28)&gt;0),0,IF(SUM($C$29:P29)=0,IF((('Effort Estimates'!$C$8)/Plan!$B$7)&gt;40,40*$B$7,('Effort Estimates'!$C$8)),IF(SUM(P29:P29)&lt;(40*$B$7),0,IF(((('Effort Estimates'!$C$8)-SUM($C$29:P29))/Plan!$B$7)&gt;40,40*$B$7,(('Effort Estimates'!$C$8)-SUM($C$29:P29))))))</f>
        <v>0</v>
      </c>
      <c r="R29" s="66">
        <f>IF(OR(SUM(R25:R28)&gt;=($B$6*40),SUM(R25:R28)&gt;0),0,IF(SUM($C$29:Q29)=0,IF((('Effort Estimates'!$C$8)/Plan!$B$7)&gt;40,40*$B$7,('Effort Estimates'!$C$8)),IF(SUM(Q29:Q29)&lt;(40*$B$7),0,IF(((('Effort Estimates'!$C$8)-SUM($C$29:Q29))/Plan!$B$7)&gt;40,40*$B$7,(('Effort Estimates'!$C$8)-SUM($C$29:Q29))))))</f>
        <v>0</v>
      </c>
      <c r="S29" s="66">
        <f>IF(OR(SUM(S25:S28)&gt;=($B$6*40),SUM(S25:S28)&gt;0),0,IF(SUM($C$29:R29)=0,IF((('Effort Estimates'!$C$8)/Plan!$B$7)&gt;40,40*$B$7,('Effort Estimates'!$C$8)),IF(SUM(R29:R29)&lt;(40*$B$7),0,IF(((('Effort Estimates'!$C$8)-SUM($C$29:R29))/Plan!$B$7)&gt;40,40*$B$7,(('Effort Estimates'!$C$8)-SUM($C$29:R29))))))</f>
        <v>0</v>
      </c>
      <c r="T29" s="66">
        <f>IF(OR(SUM(T25:T28)&gt;=($B$6*40),SUM(T25:T28)&gt;0),0,IF(SUM($C$29:S29)=0,IF((('Effort Estimates'!$C$8)/Plan!$B$7)&gt;40,40*$B$7,('Effort Estimates'!$C$8)),IF(SUM(S29:S29)&lt;(40*$B$7),0,IF(((('Effort Estimates'!$C$8)-SUM($C$29:S29))/Plan!$B$7)&gt;40,40*$B$7,(('Effort Estimates'!$C$8)-SUM($C$29:S29))))))</f>
        <v>0</v>
      </c>
      <c r="U29" s="66">
        <f>IF(OR(SUM(U25:U28)&gt;=($B$6*40),SUM(U25:U28)&gt;0),0,IF(SUM($C$29:T29)=0,IF((('Effort Estimates'!$C$8)/Plan!$B$7)&gt;40,40*$B$7,('Effort Estimates'!$C$8)),IF(SUM(T29:T29)&lt;(40*$B$7),0,IF(((('Effort Estimates'!$C$8)-SUM($C$29:T29))/Plan!$B$7)&gt;40,40*$B$7,(('Effort Estimates'!$C$8)-SUM($C$29:T29))))))</f>
        <v>0</v>
      </c>
      <c r="V29" s="66">
        <f>IF(OR(SUM(V25:V28)&gt;=($B$6*40),SUM(V25:V28)&gt;0),0,IF(SUM($C$29:U29)=0,IF((('Effort Estimates'!$C$8)/Plan!$B$7)&gt;40,40*$B$7,('Effort Estimates'!$C$8)),IF(SUM(U29:U29)&lt;(40*$B$7),0,IF(((('Effort Estimates'!$C$8)-SUM($C$29:U29))/Plan!$B$7)&gt;40,40*$B$7,(('Effort Estimates'!$C$8)-SUM($C$29:U29))))))</f>
        <v>0</v>
      </c>
      <c r="W29" s="66">
        <f>IF(OR(SUM(W25:W28)&gt;=($B$6*40),SUM(W25:W28)&gt;0),0,IF(SUM($C$29:V29)=0,IF((('Effort Estimates'!$C$8)/Plan!$B$7)&gt;40,40*$B$7,('Effort Estimates'!$C$8)),IF(SUM(V29:V29)&lt;(40*$B$7),0,IF(((('Effort Estimates'!$C$8)-SUM($C$29:V29))/Plan!$B$7)&gt;40,40*$B$7,(('Effort Estimates'!$C$8)-SUM($C$29:V29))))))</f>
        <v>0</v>
      </c>
      <c r="X29" s="66">
        <f>IF(OR(SUM(X25:X28)&gt;=($B$6*40),SUM(X25:X28)&gt;0),0,IF(SUM($C$29:W29)=0,IF((('Effort Estimates'!$C$8)/Plan!$B$7)&gt;40,40*$B$7,('Effort Estimates'!$C$8)),IF(SUM(W29:W29)&lt;(40*$B$7),0,IF(((('Effort Estimates'!$C$8)-SUM($C$29:W29))/Plan!$B$7)&gt;40,40*$B$7,(('Effort Estimates'!$C$8)-SUM($C$29:W29))))))</f>
        <v>0</v>
      </c>
      <c r="Y29" s="66">
        <f>IF(OR(SUM(Y25:Y28)&gt;=($B$6*40),SUM(Y25:Y28)&gt;0),0,IF(SUM($C$29:X29)=0,IF((('Effort Estimates'!$C$8)/Plan!$B$7)&gt;40,40*$B$7,('Effort Estimates'!$C$8)),IF(SUM(X29:X29)&lt;(40*$B$7),0,IF(((('Effort Estimates'!$C$8)-SUM($C$29:X29))/Plan!$B$7)&gt;40,40*$B$7,(('Effort Estimates'!$C$8)-SUM($C$29:X29))))))</f>
        <v>0</v>
      </c>
      <c r="Z29" s="66">
        <f>IF(OR(SUM(Z25:Z28)&gt;=($B$6*40),SUM(Z25:Z28)&gt;0),0,IF(SUM($C$29:Y29)=0,IF((('Effort Estimates'!$C$8)/Plan!$B$7)&gt;40,40*$B$7,('Effort Estimates'!$C$8)),IF(SUM(Y29:Y29)&lt;(40*$B$7),0,IF(((('Effort Estimates'!$C$8)-SUM($C$29:Y29))/Plan!$B$7)&gt;40,40*$B$7,(('Effort Estimates'!$C$8)-SUM($C$29:Y29))))))</f>
        <v>0</v>
      </c>
      <c r="AA29" s="66">
        <f>IF(OR(SUM(AA25:AA28)&gt;=($B$6*40),SUM(AA25:AA28)&gt;0),0,IF(SUM($C$29:Z29)=0,IF((('Effort Estimates'!$C$8)/Plan!$B$7)&gt;40,40*$B$7,('Effort Estimates'!$C$8)),IF(SUM(Z29:Z29)&lt;(40*$B$7),0,IF(((('Effort Estimates'!$C$8)-SUM($C$29:Z29))/Plan!$B$7)&gt;40,40*$B$7,(('Effort Estimates'!$C$8)-SUM($C$29:Z29))))))</f>
        <v>0</v>
      </c>
      <c r="AB29" s="66">
        <f>IF(OR(SUM(AB25:AB28)&gt;=($B$6*40),SUM(AB25:AB28)&gt;0),0,IF(SUM($C$29:AA29)=0,IF((('Effort Estimates'!$C$8)/Plan!$B$7)&gt;40,40*$B$7,('Effort Estimates'!$C$8)),IF(SUM(AA29:AA29)&lt;(40*$B$7),0,IF(((('Effort Estimates'!$C$8)-SUM($C$29:AA29))/Plan!$B$7)&gt;40,40*$B$7,(('Effort Estimates'!$C$8)-SUM($C$29:AA29))))))</f>
        <v>0</v>
      </c>
      <c r="AC29" s="66">
        <f>IF(OR(SUM(AC25:AC28)&gt;=($B$6*40),SUM(AC25:AC28)&gt;0),0,IF(SUM($C$29:AB29)=0,IF((('Effort Estimates'!$C$8)/Plan!$B$7)&gt;40,40*$B$7,('Effort Estimates'!$C$8)),IF(SUM(AB29:AB29)&lt;(40*$B$7),0,IF(((('Effort Estimates'!$C$8)-SUM($C$29:AB29))/Plan!$B$7)&gt;40,40*$B$7,(('Effort Estimates'!$C$8)-SUM($C$29:AB29))))))</f>
        <v>0</v>
      </c>
      <c r="AD29" s="66">
        <f>IF(OR(SUM(AD25:AD28)&gt;=($B$6*40),SUM(AD25:AD28)&gt;0),0,IF(SUM($C$29:AC29)=0,IF((('Effort Estimates'!$C$8)/Plan!$B$7)&gt;40,40*$B$7,('Effort Estimates'!$C$8)),IF(SUM(AC29:AC29)&lt;(40*$B$7),0,IF(((('Effort Estimates'!$C$8)-SUM($C$29:AC29))/Plan!$B$7)&gt;40,40*$B$7,(('Effort Estimates'!$C$8)-SUM($C$29:AC29))))))</f>
        <v>0</v>
      </c>
      <c r="AE29" s="66">
        <f>IF(OR(SUM(AE25:AE28)&gt;=($B$6*40),SUM(AE25:AE28)&gt;0),0,IF(SUM($C$29:AD29)=0,IF((('Effort Estimates'!$C$8)/Plan!$B$7)&gt;40,40*$B$7,('Effort Estimates'!$C$8)),IF(SUM(AD29:AD29)&lt;(40*$B$7),0,IF(((('Effort Estimates'!$C$8)-SUM($C$29:AD29))/Plan!$B$7)&gt;40,40*$B$7,(('Effort Estimates'!$C$8)-SUM($C$29:AD29))))))</f>
        <v>0</v>
      </c>
      <c r="AF29" s="66">
        <f>IF(OR(SUM(AF25:AF28)&gt;=($B$6*40),SUM(AF25:AF28)&gt;0),0,IF(SUM($C$29:AE29)=0,IF((('Effort Estimates'!$C$8)/Plan!$B$7)&gt;40,40*$B$7,('Effort Estimates'!$C$8)),IF(SUM(AE29:AE29)&lt;(40*$B$7),0,IF(((('Effort Estimates'!$C$8)-SUM($C$29:AE29))/Plan!$B$7)&gt;40,40*$B$7,(('Effort Estimates'!$C$8)-SUM($C$29:AE29))))))</f>
        <v>0</v>
      </c>
      <c r="AG29" s="66">
        <f>IF(OR(SUM(AG25:AG28)&gt;=($B$6*40),SUM(AG25:AG28)&gt;0),0,IF(SUM($C$29:AF29)=0,IF((('Effort Estimates'!$C$8)/Plan!$B$7)&gt;40,40*$B$7,('Effort Estimates'!$C$8)),IF(SUM(AF29:AF29)&lt;(40*$B$7),0,IF(((('Effort Estimates'!$C$8)-SUM($C$29:AF29))/Plan!$B$7)&gt;40,40*$B$7,(('Effort Estimates'!$C$8)-SUM($C$29:AF29))))))</f>
        <v>0</v>
      </c>
      <c r="AH29" s="66">
        <f>IF(OR(SUM(AH25:AH28)&gt;=($B$6*40),SUM(AH25:AH28)&gt;0),0,IF(SUM($C$29:AG29)=0,IF((('Effort Estimates'!$C$8)/Plan!$B$7)&gt;40,40*$B$7,('Effort Estimates'!$C$8)),IF(SUM(AG29:AG29)&lt;(40*$B$7),0,IF(((('Effort Estimates'!$C$8)-SUM($C$29:AG29))/Plan!$B$7)&gt;40,40*$B$7,(('Effort Estimates'!$C$8)-SUM($C$29:AG29))))))</f>
        <v>0</v>
      </c>
    </row>
    <row r="30" spans="1:34" x14ac:dyDescent="0.2">
      <c r="A30" t="s">
        <v>193</v>
      </c>
      <c r="C30" s="66">
        <v>0</v>
      </c>
      <c r="D30" s="66">
        <f xml:space="preserve"> IF(OR(SUM(D25:D28)&gt;=($B$5*40),SUM(D25:D28)&gt;0),
  0,
  IF(SUM($C$30:C30)=0,
   IF((('Effort Estimates'!$C$10)/Plan!$B$13)&gt;40*$B$6,
    40*$B$6,
    ('Effort Estimates'!$C$10)/$B$13
   ),
   IF(SUM($C$30:C30)&lt;'Effort Estimates'!$C$10,
    IF((('Effort Estimates'!$C$10)/Plan!$B$13)&gt;40*$B$6,
     40*$B$6,
     ('Effort Estimates'!$C$10)/$B$13
    ),
    0
   )
  )
 )</f>
        <v>0</v>
      </c>
      <c r="E30" s="66">
        <f xml:space="preserve"> IF(OR(SUM(E25:E28)&gt;=($B$5*40),SUM(E25:E28)&gt;0),
  0,
  IF(SUM($C$30:D30)=0,
   IF((('Effort Estimates'!$C$10)/Plan!$B$13)&gt;40*$B$6,
    40*$B$6,
    ('Effort Estimates'!$C$10)/$B$13
   ),
   IF(SUM($C$30:D30)&lt;'Effort Estimates'!$C$10,
    IF((('Effort Estimates'!$C$10)/Plan!$B$13)&gt;40*$B$6,
     40*$B$6,
     ('Effort Estimates'!$C$10)/$B$13
    ),
    0
   )
  )
 )</f>
        <v>0</v>
      </c>
      <c r="F30" s="66">
        <f xml:space="preserve"> IF(OR(SUM(F25:F28)&gt;=($B$5*40),SUM(F25:F28)&gt;0),
  0,
  IF(SUM($C$30:E30)=0,
   IF((('Effort Estimates'!$C$10)/Plan!$B$13)&gt;40*$B$6,
    40*$B$6,
    ('Effort Estimates'!$C$10)/$B$13
   ),
   IF(SUM($C$30:E30)&lt;'Effort Estimates'!$C$10,
    IF((('Effort Estimates'!$C$10)/Plan!$B$13)&gt;40*$B$6,
     40*$B$6,
     ('Effort Estimates'!$C$10)/$B$13
    ),
    0
   )
  )
 )</f>
        <v>0</v>
      </c>
      <c r="G30" s="66">
        <f xml:space="preserve"> IF(OR(SUM(G25:G28)&gt;=($B$5*40),SUM(G25:G28)&gt;0),
  0,
  IF(SUM($C$30:F30)=0,
   IF((('Effort Estimates'!$C$10)/Plan!$B$13)&gt;40*$B$6,
    40*$B$6,
    ('Effort Estimates'!$C$10)/$B$13
   ),
   IF(SUM($C$30:F30)&lt;'Effort Estimates'!$C$10,
    IF((('Effort Estimates'!$C$10)/Plan!$B$13)&gt;40*$B$6,
     40*$B$6,
     ('Effort Estimates'!$C$10)/$B$13
    ),
    0
   )
  )
 )</f>
        <v>0</v>
      </c>
      <c r="H30" s="66">
        <f xml:space="preserve"> IF(OR(SUM(H25:H28)&gt;=($B$5*40),SUM(H25:H28)&gt;0),
  0,
  IF(SUM($C$30:G30)=0,
   IF((('Effort Estimates'!$C$10)/Plan!$B$13)&gt;40*$B$6,
    40*$B$6,
    ('Effort Estimates'!$C$10)/$B$13
   ),
   IF(SUM($C$30:G30)&lt;'Effort Estimates'!$C$10,
    IF((('Effort Estimates'!$C$10)/Plan!$B$13)&gt;40*$B$6,
     40*$B$6,
     ('Effort Estimates'!$C$10)/$B$13
    ),
    0
   )
  )
 )</f>
        <v>0</v>
      </c>
      <c r="I30" s="66">
        <f xml:space="preserve"> IF(OR(SUM(I25:I28)&gt;=($B$5*40),SUM(I25:I28)&gt;0),
  0,
  IF(SUM($C$30:H30)=0,
   IF((('Effort Estimates'!$C$10)/Plan!$B$13)&gt;40*$B$6,
    40*$B$6,
    ('Effort Estimates'!$C$10)/$B$13
   ),
   IF(SUM($C$30:H30)&lt;'Effort Estimates'!$C$10,
    IF((('Effort Estimates'!$C$10)/Plan!$B$13)&gt;40*$B$6,
     40*$B$6,
     ('Effort Estimates'!$C$10)/$B$13
    ),
    0
   )
  )
 )</f>
        <v>0</v>
      </c>
      <c r="J30" s="66">
        <f xml:space="preserve"> IF(OR(SUM(J25:J28)&gt;=($B$5*40),SUM(J25:J28)&gt;0),
  0,
  IF(SUM($C$30:I30)=0,
   IF((('Effort Estimates'!$C$10)/Plan!$B$13)&gt;40*$B$6,
    40*$B$6,
    ('Effort Estimates'!$C$10)/$B$13
   ),
   IF(SUM($C$30:I30)&lt;'Effort Estimates'!$C$10,
    IF((('Effort Estimates'!$C$10)/Plan!$B$13)&gt;40*$B$6,
     40*$B$6,
     ('Effort Estimates'!$C$10)/$B$13
    ),
    0
   )
  )
 )</f>
        <v>6.2092799999999988</v>
      </c>
      <c r="K30" s="66">
        <f xml:space="preserve"> IF(OR(SUM(K25:K28)&gt;=($B$5*40),SUM(K25:K28)&gt;0),
  0,
  IF(SUM($C$30:J30)=0,
   IF((('Effort Estimates'!$C$10)/Plan!$B$13)&gt;40*$B$6,
    40*$B$6,
    ('Effort Estimates'!$C$10)/$B$13
   ),
   IF(SUM($C$30:J30)&lt;'Effort Estimates'!$C$10,
    IF((('Effort Estimates'!$C$10)/Plan!$B$13)&gt;40*$B$6,
     40*$B$6,
     ('Effort Estimates'!$C$10)/$B$13
    ),
    0
   )
  )
 )</f>
        <v>0</v>
      </c>
      <c r="L30" s="66">
        <f xml:space="preserve"> IF(OR(SUM(L25:L28)&gt;=($B$5*40),SUM(L25:L28)&gt;0),
  0,
  IF(SUM($C$30:K30)=0,
   IF((('Effort Estimates'!$C$10)/Plan!$B$13)&gt;40*$B$6,
    40*$B$6,
    ('Effort Estimates'!$C$10)/$B$13
   ),
   IF(SUM($C$30:K30)&lt;'Effort Estimates'!$C$10,
    IF((('Effort Estimates'!$C$10)/Plan!$B$13)&gt;40*$B$6,
     40*$B$6,
     ('Effort Estimates'!$C$10)/$B$13
    ),
    0
   )
  )
 )</f>
        <v>0</v>
      </c>
      <c r="M30" s="66">
        <f xml:space="preserve"> IF(OR(SUM(M25:M28)&gt;=($B$5*40),SUM(M25:M28)&gt;0),
  0,
  IF(SUM($C$30:L30)=0,
   IF((('Effort Estimates'!$C$10)/Plan!$B$13)&gt;40*$B$6,
    40*$B$6,
    ('Effort Estimates'!$C$10)/$B$13
   ),
   IF(SUM($C$30:L30)&lt;'Effort Estimates'!$C$10,
    IF((('Effort Estimates'!$C$10)/Plan!$B$13)&gt;40*$B$6,
     40*$B$6,
     ('Effort Estimates'!$C$10)/$B$13
    ),
    0
   )
  )
 )</f>
        <v>0</v>
      </c>
      <c r="N30" s="66">
        <f xml:space="preserve"> IF(OR(SUM(N25:N28)&gt;=($B$5*40),SUM(N25:N28)&gt;0),
  0,
  IF(SUM($C$30:M30)=0,
   IF((('Effort Estimates'!$C$10)/Plan!$B$13)&gt;40*$B$6,
    40*$B$6,
    ('Effort Estimates'!$C$10)/$B$13
   ),
   IF(SUM($C$30:M30)&lt;'Effort Estimates'!$C$10,
    IF((('Effort Estimates'!$C$10)/Plan!$B$13)&gt;40*$B$6,
     40*$B$6,
     ('Effort Estimates'!$C$10)/$B$13
    ),
    0
   )
  )
 )</f>
        <v>0</v>
      </c>
      <c r="O30" s="66">
        <f xml:space="preserve"> IF(OR(SUM(O25:O28)&gt;=($B$5*40),SUM(O25:O28)&gt;0),
  0,
  IF(SUM($C$30:N30)=0,
   IF((('Effort Estimates'!$C$10)/Plan!$B$13)&gt;40*$B$6,
    40*$B$6,
    ('Effort Estimates'!$C$10)/$B$13
   ),
   IF(SUM($C$30:N30)&lt;'Effort Estimates'!$C$10,
    IF((('Effort Estimates'!$C$10)/Plan!$B$13)&gt;40*$B$6,
     40*$B$6,
     ('Effort Estimates'!$C$10)/$B$13
    ),
    0
   )
  )
 )</f>
        <v>0</v>
      </c>
      <c r="P30" s="66">
        <f xml:space="preserve"> IF(OR(SUM(P25:P28)&gt;=($B$5*40),SUM(P25:P28)&gt;0),
  0,
  IF(SUM($C$30:O30)=0,
   IF((('Effort Estimates'!$C$10)/Plan!$B$13)&gt;40*$B$6,
    40*$B$6,
    ('Effort Estimates'!$C$10)/$B$13
   ),
   IF(SUM($C$30:O30)&lt;'Effort Estimates'!$C$10,
    IF((('Effort Estimates'!$C$10)/Plan!$B$13)&gt;40*$B$6,
     40*$B$6,
     ('Effort Estimates'!$C$10)/$B$13
    ),
    0
   )
  )
 )</f>
        <v>0</v>
      </c>
      <c r="Q30" s="66">
        <f xml:space="preserve"> IF(OR(SUM(Q25:Q28)&gt;=($B$5*40),SUM(Q25:Q28)&gt;0),
  0,
  IF(SUM($C$30:P30)=0,
   IF((('Effort Estimates'!$C$10)/Plan!$B$13)&gt;40*$B$6,
    40*$B$6,
    ('Effort Estimates'!$C$10)/$B$13
   ),
   IF(SUM($C$30:P30)&lt;'Effort Estimates'!$C$10,
    IF((('Effort Estimates'!$C$10)/Plan!$B$13)&gt;40*$B$6,
     40*$B$6,
     ('Effort Estimates'!$C$10)/$B$13
    ),
    0
   )
  )
 )</f>
        <v>0</v>
      </c>
      <c r="R30" s="66">
        <f xml:space="preserve"> IF(OR(SUM(R25:R28)&gt;=($B$5*40),SUM(R25:R28)&gt;0),
  0,
  IF(SUM($C$30:Q30)=0,
   IF((('Effort Estimates'!$C$10)/Plan!$B$13)&gt;40*$B$6,
    40*$B$6,
    ('Effort Estimates'!$C$10)/$B$13
   ),
   IF(SUM($C$30:Q30)&lt;'Effort Estimates'!$C$10,
    IF((('Effort Estimates'!$C$10)/Plan!$B$13)&gt;40*$B$6,
     40*$B$6,
     ('Effort Estimates'!$C$10)/$B$13
    ),
    0
   )
  )
 )</f>
        <v>0</v>
      </c>
      <c r="S30" s="66">
        <f xml:space="preserve"> IF(OR(SUM(S25:S28)&gt;=($B$5*40),SUM(S25:S28)&gt;0),
  0,
  IF(SUM($C$30:R30)=0,
   IF((('Effort Estimates'!$C$10)/Plan!$B$13)&gt;40*$B$6,
    40*$B$6,
    ('Effort Estimates'!$C$10)/$B$13
   ),
   IF(SUM($C$30:R30)&lt;'Effort Estimates'!$C$10,
    IF((('Effort Estimates'!$C$10)/Plan!$B$13)&gt;40*$B$6,
     40*$B$6,
     ('Effort Estimates'!$C$10)/$B$13
    ),
    0
   )
  )
 )</f>
        <v>0</v>
      </c>
      <c r="T30" s="66">
        <f xml:space="preserve"> IF(OR(SUM(T25:T28)&gt;=($B$5*40),SUM(T25:T28)&gt;0),
  0,
  IF(SUM($C$30:S30)=0,
   IF((('Effort Estimates'!$C$10)/Plan!$B$13)&gt;40*$B$6,
    40*$B$6,
    ('Effort Estimates'!$C$10)/$B$13
   ),
   IF(SUM($C$30:S30)&lt;'Effort Estimates'!$C$10,
    IF((('Effort Estimates'!$C$10)/Plan!$B$13)&gt;40*$B$6,
     40*$B$6,
     ('Effort Estimates'!$C$10)/$B$13
    ),
    0
   )
  )
 )</f>
        <v>0</v>
      </c>
      <c r="U30" s="66">
        <f xml:space="preserve"> IF(OR(SUM(U25:U28)&gt;=($B$5*40),SUM(U25:U28)&gt;0),
  0,
  IF(SUM($C$30:T30)=0,
   IF((('Effort Estimates'!$C$10)/Plan!$B$13)&gt;40*$B$6,
    40*$B$6,
    ('Effort Estimates'!$C$10)/$B$13
   ),
   IF(SUM($C$30:T30)&lt;'Effort Estimates'!$C$10,
    IF((('Effort Estimates'!$C$10)/Plan!$B$13)&gt;40*$B$6,
     40*$B$6,
     ('Effort Estimates'!$C$10)/$B$13
    ),
    0
   )
  )
 )</f>
        <v>0</v>
      </c>
      <c r="V30" s="66">
        <f xml:space="preserve"> IF(OR(SUM(V25:V28)&gt;=($B$5*40),SUM(V25:V28)&gt;0),
  0,
  IF(SUM($C$30:U30)=0,
   IF((('Effort Estimates'!$C$10)/Plan!$B$13)&gt;40*$B$6,
    40*$B$6,
    ('Effort Estimates'!$C$10)/$B$13
   ),
   IF(SUM($C$30:U30)&lt;'Effort Estimates'!$C$10,
    IF((('Effort Estimates'!$C$10)/Plan!$B$13)&gt;40*$B$6,
     40*$B$6,
     ('Effort Estimates'!$C$10)/$B$13
    ),
    0
   )
  )
 )</f>
        <v>0</v>
      </c>
      <c r="W30" s="66">
        <f xml:space="preserve"> IF(OR(SUM(W25:W28)&gt;=($B$5*40),SUM(W25:W28)&gt;0),
  0,
  IF(SUM($C$30:V30)=0,
   IF((('Effort Estimates'!$C$10)/Plan!$B$13)&gt;40*$B$6,
    40*$B$6,
    ('Effort Estimates'!$C$10)/$B$13
   ),
   IF(SUM($C$30:V30)&lt;'Effort Estimates'!$C$10,
    IF((('Effort Estimates'!$C$10)/Plan!$B$13)&gt;40*$B$6,
     40*$B$6,
     ('Effort Estimates'!$C$10)/$B$13
    ),
    0
   )
  )
 )</f>
        <v>0</v>
      </c>
      <c r="X30" s="66">
        <f xml:space="preserve"> IF(OR(SUM(X25:X28)&gt;=($B$5*40),SUM(X25:X28)&gt;0),
  0,
  IF(SUM($C$30:W30)=0,
   IF((('Effort Estimates'!$C$10)/Plan!$B$13)&gt;40*$B$6,
    40*$B$6,
    ('Effort Estimates'!$C$10)/$B$13
   ),
   IF(SUM($C$30:W30)&lt;'Effort Estimates'!$C$10,
    IF((('Effort Estimates'!$C$10)/Plan!$B$13)&gt;40*$B$6,
     40*$B$6,
     ('Effort Estimates'!$C$10)/$B$13
    ),
    0
   )
  )
 )</f>
        <v>0</v>
      </c>
      <c r="Y30" s="66">
        <f xml:space="preserve"> IF(OR(SUM(Y25:Y28)&gt;=($B$5*40),SUM(Y25:Y28)&gt;0),
  0,
  IF(SUM($C$30:X30)=0,
   IF((('Effort Estimates'!$C$10)/Plan!$B$13)&gt;40*$B$6,
    40*$B$6,
    ('Effort Estimates'!$C$10)/$B$13
   ),
   IF(SUM($C$30:X30)&lt;'Effort Estimates'!$C$10,
    IF((('Effort Estimates'!$C$10)/Plan!$B$13)&gt;40*$B$6,
     40*$B$6,
     ('Effort Estimates'!$C$10)/$B$13
    ),
    0
   )
  )
 )</f>
        <v>0</v>
      </c>
      <c r="Z30" s="66">
        <f xml:space="preserve"> IF(OR(SUM(Z25:Z28)&gt;=($B$5*40),SUM(Z25:Z28)&gt;0),
  0,
  IF(SUM($C$30:Y30)=0,
   IF((('Effort Estimates'!$C$10)/Plan!$B$13)&gt;40*$B$6,
    40*$B$6,
    ('Effort Estimates'!$C$10)/$B$13
   ),
   IF(SUM($C$30:Y30)&lt;'Effort Estimates'!$C$10,
    IF((('Effort Estimates'!$C$10)/Plan!$B$13)&gt;40*$B$6,
     40*$B$6,
     ('Effort Estimates'!$C$10)/$B$13
    ),
    0
   )
  )
 )</f>
        <v>0</v>
      </c>
      <c r="AA30" s="66">
        <f xml:space="preserve"> IF(OR(SUM(AA25:AA28)&gt;=($B$5*40),SUM(AA25:AA28)&gt;0),
  0,
  IF(SUM($C$30:Z30)=0,
   IF((('Effort Estimates'!$C$10)/Plan!$B$13)&gt;40*$B$6,
    40*$B$6,
    ('Effort Estimates'!$C$10)/$B$13
   ),
   IF(SUM($C$30:Z30)&lt;'Effort Estimates'!$C$10,
    IF((('Effort Estimates'!$C$10)/Plan!$B$13)&gt;40*$B$6,
     40*$B$6,
     ('Effort Estimates'!$C$10)/$B$13
    ),
    0
   )
  )
 )</f>
        <v>0</v>
      </c>
      <c r="AB30" s="66">
        <f xml:space="preserve"> IF(OR(SUM(AB25:AB28)&gt;=($B$5*40),SUM(AB25:AB28)&gt;0),
  0,
  IF(SUM($C$30:AA30)=0,
   IF((('Effort Estimates'!$C$10)/Plan!$B$13)&gt;40*$B$6,
    40*$B$6,
    ('Effort Estimates'!$C$10)/$B$13
   ),
   IF(SUM($C$30:AA30)&lt;'Effort Estimates'!$C$10,
    IF((('Effort Estimates'!$C$10)/Plan!$B$13)&gt;40*$B$6,
     40*$B$6,
     ('Effort Estimates'!$C$10)/$B$13
    ),
    0
   )
  )
 )</f>
        <v>0</v>
      </c>
      <c r="AC30" s="66">
        <f xml:space="preserve"> IF(OR(SUM(AC25:AC28)&gt;=($B$5*40),SUM(AC25:AC28)&gt;0),
  0,
  IF(SUM($C$30:AB30)=0,
   IF((('Effort Estimates'!$C$10)/Plan!$B$13)&gt;40*$B$6,
    40*$B$6,
    ('Effort Estimates'!$C$10)/$B$13
   ),
   IF(SUM($C$30:AB30)&lt;'Effort Estimates'!$C$10,
    IF((('Effort Estimates'!$C$10)/Plan!$B$13)&gt;40*$B$6,
     40*$B$6,
     ('Effort Estimates'!$C$10)/$B$13
    ),
    0
   )
  )
 )</f>
        <v>0</v>
      </c>
      <c r="AD30" s="66">
        <f xml:space="preserve"> IF(OR(SUM(AD25:AD28)&gt;=($B$5*40),SUM(AD25:AD28)&gt;0),
  0,
  IF(SUM($C$30:AC30)=0,
   IF((('Effort Estimates'!$C$10)/Plan!$B$13)&gt;40*$B$6,
    40*$B$6,
    ('Effort Estimates'!$C$10)/$B$13
   ),
   IF(SUM($C$30:AC30)&lt;'Effort Estimates'!$C$10,
    IF((('Effort Estimates'!$C$10)/Plan!$B$13)&gt;40*$B$6,
     40*$B$6,
     ('Effort Estimates'!$C$10)/$B$13
    ),
    0
   )
  )
 )</f>
        <v>0</v>
      </c>
      <c r="AE30" s="66">
        <f xml:space="preserve"> IF(OR(SUM(AE25:AE28)&gt;=($B$5*40),SUM(AE25:AE28)&gt;0),
  0,
  IF(SUM($C$30:AD30)=0,
   IF((('Effort Estimates'!$C$10)/Plan!$B$13)&gt;40*$B$6,
    40*$B$6,
    ('Effort Estimates'!$C$10)/$B$13
   ),
   IF(SUM($C$30:AD30)&lt;'Effort Estimates'!$C$10,
    IF((('Effort Estimates'!$C$10)/Plan!$B$13)&gt;40*$B$6,
     40*$B$6,
     ('Effort Estimates'!$C$10)/$B$13
    ),
    0
   )
  )
 )</f>
        <v>0</v>
      </c>
      <c r="AF30" s="66">
        <f xml:space="preserve"> IF(OR(SUM(AF25:AF28)&gt;=($B$5*40),SUM(AF25:AF28)&gt;0),
  0,
  IF(SUM($C$30:AE30)=0,
   IF((('Effort Estimates'!$C$10)/Plan!$B$13)&gt;40*$B$6,
    40*$B$6,
    ('Effort Estimates'!$C$10)/$B$13
   ),
   IF(SUM($C$30:AE30)&lt;'Effort Estimates'!$C$10,
    IF((('Effort Estimates'!$C$10)/Plan!$B$13)&gt;40*$B$6,
     40*$B$6,
     ('Effort Estimates'!$C$10)/$B$13
    ),
    0
   )
  )
 )</f>
        <v>0</v>
      </c>
      <c r="AG30" s="66">
        <f xml:space="preserve"> IF(OR(SUM(AG25:AG28)&gt;=($B$5*40),SUM(AG25:AG28)&gt;0),
  0,
  IF(SUM($C$30:AF30)=0,
   IF((('Effort Estimates'!$C$10)/Plan!$B$13)&gt;40*$B$6,
    40*$B$6,
    ('Effort Estimates'!$C$10)/$B$13
   ),
   IF(SUM($C$30:AF30)&lt;'Effort Estimates'!$C$10,
    IF((('Effort Estimates'!$C$10)/Plan!$B$13)&gt;40*$B$6,
     40*$B$6,
     ('Effort Estimates'!$C$10)/$B$13
    ),
    0
   )
  )
 )</f>
        <v>0</v>
      </c>
      <c r="AH30" s="66">
        <f xml:space="preserve"> IF(OR(SUM(AH25:AH28)&gt;=($B$5*40),SUM(AH25:AH28)&gt;0),
  0,
  IF(SUM($C$30:AG30)=0,
   IF((('Effort Estimates'!$C$10)/Plan!$B$13)&gt;40*$B$6,
    40*$B$6,
    ('Effort Estimates'!$C$10)/$B$13
   ),
   IF(SUM($C$30:AG30)&lt;'Effort Estimates'!$C$10,
    IF((('Effort Estimates'!$C$10)/Plan!$B$13)&gt;40*$B$6,
     40*$B$6,
     ('Effort Estimates'!$C$10)/$B$13
    ),
    0
   )
  )
 )</f>
        <v>0</v>
      </c>
    </row>
    <row r="31" spans="1:34" x14ac:dyDescent="0.2">
      <c r="A31" t="s">
        <v>192</v>
      </c>
      <c r="C31" s="66">
        <v>0</v>
      </c>
      <c r="D31" s="66">
        <f xml:space="preserve"> IF(OR(SUM(D25:D28)&gt;=($B$5*40),SUM(D25:D28)&gt;0),
  0,
  IF(SUM($C$31:C31)=0,
   IF((('Effort Estimates'!$C$9)/Plan!$B$13)&gt;40*$B$5,
    40*$B$5,
    ('Effort Estimates'!$C$9)/$B$13
   ),
   IF(SUM($C$31:C31)&lt;'Effort Estimates'!$C$9,
    IF((('Effort Estimates'!$C$9)/Plan!$B$13)&gt;40*$B$5,
     40*$B$5,
     ('Effort Estimates'!$C$9)/$B$13
    ),
    0
   )
  )
 )</f>
        <v>0</v>
      </c>
      <c r="E31" s="66">
        <f xml:space="preserve"> IF(OR(SUM(E25:E28)&gt;=($B$5*40),SUM(E25:E28)&gt;0),
  0,
  IF(SUM($C$31:D31)=0,
   IF((('Effort Estimates'!$C$9)/Plan!$B$13)&gt;40*$B$5,
    40*$B$5,
    ('Effort Estimates'!$C$9)/$B$13
   ),
   IF(SUM($C$31:D31)&lt;'Effort Estimates'!$C$9,
    IF((('Effort Estimates'!$C$9)/Plan!$B$13)&gt;40*$B$5,
     40*$B$5,
     ('Effort Estimates'!$C$9)/$B$13
    ),
    0
   )
  )
 )</f>
        <v>0</v>
      </c>
      <c r="F31" s="66">
        <f xml:space="preserve"> IF(OR(SUM(F25:F28)&gt;=($B$5*40),SUM(F25:F28)&gt;0),
  0,
  IF(SUM($C$31:E31)=0,
   IF((('Effort Estimates'!$C$9)/Plan!$B$13)&gt;40*$B$5,
    40*$B$5,
    ('Effort Estimates'!$C$9)/$B$13
   ),
   IF(SUM($C$31:E31)&lt;'Effort Estimates'!$C$9,
    IF((('Effort Estimates'!$C$9)/Plan!$B$13)&gt;40*$B$5,
     40*$B$5,
     ('Effort Estimates'!$C$9)/$B$13
    ),
    0
   )
  )
 )</f>
        <v>0</v>
      </c>
      <c r="G31" s="66">
        <f xml:space="preserve"> IF(OR(SUM(G25:G28)&gt;=($B$5*40),SUM(G25:G28)&gt;0),
  0,
  IF(SUM($C$31:F31)=0,
   IF((('Effort Estimates'!$C$9)/Plan!$B$13)&gt;40*$B$5,
    40*$B$5,
    ('Effort Estimates'!$C$9)/$B$13
   ),
   IF(SUM($C$31:F31)&lt;'Effort Estimates'!$C$9,
    IF((('Effort Estimates'!$C$9)/Plan!$B$13)&gt;40*$B$5,
     40*$B$5,
     ('Effort Estimates'!$C$9)/$B$13
    ),
    0
   )
  )
 )</f>
        <v>0</v>
      </c>
      <c r="H31" s="66">
        <f xml:space="preserve"> IF(OR(SUM(H25:H28)&gt;=($B$5*40),SUM(H25:H28)&gt;0),
  0,
  IF(SUM($C$31:G31)=0,
   IF((('Effort Estimates'!$C$9)/Plan!$B$13)&gt;40*$B$5,
    40*$B$5,
    ('Effort Estimates'!$C$9)/$B$13
   ),
   IF(SUM($C$31:G31)&lt;'Effort Estimates'!$C$9,
    IF((('Effort Estimates'!$C$9)/Plan!$B$13)&gt;40*$B$5,
     40*$B$5,
     ('Effort Estimates'!$C$9)/$B$13
    ),
    0
   )
  )
 )</f>
        <v>0</v>
      </c>
      <c r="I31" s="66">
        <f xml:space="preserve"> IF(OR(SUM(I25:I28)&gt;=($B$5*40),SUM(I25:I28)&gt;0),
  0,
  IF(SUM($C$31:H31)=0,
   IF((('Effort Estimates'!$C$9)/Plan!$B$13)&gt;40*$B$5,
    40*$B$5,
    ('Effort Estimates'!$C$9)/$B$13
   ),
   IF(SUM($C$31:H31)&lt;'Effort Estimates'!$C$9,
    IF((('Effort Estimates'!$C$9)/Plan!$B$13)&gt;40*$B$5,
     40*$B$5,
     ('Effort Estimates'!$C$9)/$B$13
    ),
    0
   )
  )
 )</f>
        <v>0</v>
      </c>
      <c r="J31" s="66">
        <f xml:space="preserve"> IF(OR(SUM(J25:J28)&gt;=($B$5*40),SUM(J25:J28)&gt;0),
  0,
  IF(SUM($C$31:I31)=0,
   IF((('Effort Estimates'!$C$9)/Plan!$B$13)&gt;40*$B$5,
    40*$B$5,
    ('Effort Estimates'!$C$9)/$B$13
   ),
   IF(SUM($C$31:I31)&lt;'Effort Estimates'!$C$9,
    IF((('Effort Estimates'!$C$9)/Plan!$B$13)&gt;40*$B$5,
     40*$B$5,
     ('Effort Estimates'!$C$9)/$B$13
    ),
    0
   )
  )
 )</f>
        <v>6.2092799999999988</v>
      </c>
      <c r="K31" s="66">
        <f xml:space="preserve"> IF(OR(SUM(K25:K28)&gt;=($B$5*40),SUM(K25:K28)&gt;0),
  0,
  IF(SUM($C$31:J31)=0,
   IF((('Effort Estimates'!$C$9)/Plan!$B$13)&gt;40*$B$5,
    40*$B$5,
    ('Effort Estimates'!$C$9)/$B$13
   ),
   IF(SUM($C$31:J31)&lt;'Effort Estimates'!$C$9,
    IF((('Effort Estimates'!$C$9)/Plan!$B$13)&gt;40*$B$5,
     40*$B$5,
     ('Effort Estimates'!$C$9)/$B$13
    ),
    0
   )
  )
 )</f>
        <v>0</v>
      </c>
      <c r="L31" s="66">
        <f xml:space="preserve"> IF(OR(SUM(L25:L28)&gt;=($B$5*40),SUM(L25:L28)&gt;0),
  0,
  IF(SUM($C$31:K31)=0,
   IF((('Effort Estimates'!$C$9)/Plan!$B$13)&gt;40*$B$5,
    40*$B$5,
    ('Effort Estimates'!$C$9)/$B$13
   ),
   IF(SUM($C$31:K31)&lt;'Effort Estimates'!$C$9,
    IF((('Effort Estimates'!$C$9)/Plan!$B$13)&gt;40*$B$5,
     40*$B$5,
     ('Effort Estimates'!$C$9)/$B$13
    ),
    0
   )
  )
 )</f>
        <v>0</v>
      </c>
      <c r="M31" s="66">
        <f xml:space="preserve"> IF(OR(SUM(M25:M28)&gt;=($B$5*40),SUM(M25:M28)&gt;0),
  0,
  IF(SUM($C$31:L31)=0,
   IF((('Effort Estimates'!$C$9)/Plan!$B$13)&gt;40*$B$5,
    40*$B$5,
    ('Effort Estimates'!$C$9)/$B$13
   ),
   IF(SUM($C$31:L31)&lt;'Effort Estimates'!$C$9,
    IF((('Effort Estimates'!$C$9)/Plan!$B$13)&gt;40*$B$5,
     40*$B$5,
     ('Effort Estimates'!$C$9)/$B$13
    ),
    0
   )
  )
 )</f>
        <v>0</v>
      </c>
      <c r="N31" s="66">
        <f xml:space="preserve"> IF(OR(SUM(N25:N28)&gt;=($B$5*40),SUM(N25:N28)&gt;0),
  0,
  IF(SUM($C$31:M31)=0,
   IF((('Effort Estimates'!$C$9)/Plan!$B$13)&gt;40*$B$5,
    40*$B$5,
    ('Effort Estimates'!$C$9)/$B$13
   ),
   IF(SUM($C$31:M31)&lt;'Effort Estimates'!$C$9,
    IF((('Effort Estimates'!$C$9)/Plan!$B$13)&gt;40*$B$5,
     40*$B$5,
     ('Effort Estimates'!$C$9)/$B$13
    ),
    0
   )
  )
 )</f>
        <v>0</v>
      </c>
      <c r="O31" s="66">
        <f xml:space="preserve"> IF(OR(SUM(O25:O28)&gt;=($B$5*40),SUM(O25:O28)&gt;0),
  0,
  IF(SUM($C$31:N31)=0,
   IF((('Effort Estimates'!$C$9)/Plan!$B$13)&gt;40*$B$5,
    40*$B$5,
    ('Effort Estimates'!$C$9)/$B$13
   ),
   IF(SUM($C$31:N31)&lt;'Effort Estimates'!$C$9,
    IF((('Effort Estimates'!$C$9)/Plan!$B$13)&gt;40*$B$5,
     40*$B$5,
     ('Effort Estimates'!$C$9)/$B$13
    ),
    0
   )
  )
 )</f>
        <v>0</v>
      </c>
      <c r="P31" s="66">
        <f xml:space="preserve"> IF(OR(SUM(P25:P28)&gt;=($B$5*40),SUM(P25:P28)&gt;0),
  0,
  IF(SUM($C$31:O31)=0,
   IF((('Effort Estimates'!$C$9)/Plan!$B$13)&gt;40*$B$5,
    40*$B$5,
    ('Effort Estimates'!$C$9)/$B$13
   ),
   IF(SUM($C$31:O31)&lt;'Effort Estimates'!$C$9,
    IF((('Effort Estimates'!$C$9)/Plan!$B$13)&gt;40*$B$5,
     40*$B$5,
     ('Effort Estimates'!$C$9)/$B$13
    ),
    0
   )
  )
 )</f>
        <v>0</v>
      </c>
      <c r="Q31" s="66">
        <f xml:space="preserve"> IF(OR(SUM(Q25:Q28)&gt;=($B$5*40),SUM(Q25:Q28)&gt;0),
  0,
  IF(SUM($C$31:P31)=0,
   IF((('Effort Estimates'!$C$9)/Plan!$B$13)&gt;40*$B$5,
    40*$B$5,
    ('Effort Estimates'!$C$9)/$B$13
   ),
   IF(SUM($C$31:P31)&lt;'Effort Estimates'!$C$9,
    IF((('Effort Estimates'!$C$9)/Plan!$B$13)&gt;40*$B$5,
     40*$B$5,
     ('Effort Estimates'!$C$9)/$B$13
    ),
    0
   )
  )
 )</f>
        <v>0</v>
      </c>
      <c r="R31" s="66">
        <f xml:space="preserve"> IF(OR(SUM(R25:R28)&gt;=($B$5*40),SUM(R25:R28)&gt;0),
  0,
  IF(SUM($C$31:Q31)=0,
   IF((('Effort Estimates'!$C$9)/Plan!$B$13)&gt;40*$B$5,
    40*$B$5,
    ('Effort Estimates'!$C$9)/$B$13
   ),
   IF(SUM($C$31:Q31)&lt;'Effort Estimates'!$C$9,
    IF((('Effort Estimates'!$C$9)/Plan!$B$13)&gt;40*$B$5,
     40*$B$5,
     ('Effort Estimates'!$C$9)/$B$13
    ),
    0
   )
  )
 )</f>
        <v>0</v>
      </c>
      <c r="S31" s="66">
        <f xml:space="preserve"> IF(OR(SUM(S25:S28)&gt;=($B$5*40),SUM(S25:S28)&gt;0),
  0,
  IF(SUM($C$31:R31)=0,
   IF((('Effort Estimates'!$C$9)/Plan!$B$13)&gt;40*$B$5,
    40*$B$5,
    ('Effort Estimates'!$C$9)/$B$13
   ),
   IF(SUM($C$31:R31)&lt;'Effort Estimates'!$C$9,
    IF((('Effort Estimates'!$C$9)/Plan!$B$13)&gt;40*$B$5,
     40*$B$5,
     ('Effort Estimates'!$C$9)/$B$13
    ),
    0
   )
  )
 )</f>
        <v>0</v>
      </c>
      <c r="T31" s="66">
        <f xml:space="preserve"> IF(OR(SUM(T25:T28)&gt;=($B$5*40),SUM(T25:T28)&gt;0),
  0,
  IF(SUM($C$31:S31)=0,
   IF((('Effort Estimates'!$C$9)/Plan!$B$13)&gt;40*$B$5,
    40*$B$5,
    ('Effort Estimates'!$C$9)/$B$13
   ),
   IF(SUM($C$31:S31)&lt;'Effort Estimates'!$C$9,
    IF((('Effort Estimates'!$C$9)/Plan!$B$13)&gt;40*$B$5,
     40*$B$5,
     ('Effort Estimates'!$C$9)/$B$13
    ),
    0
   )
  )
 )</f>
        <v>0</v>
      </c>
      <c r="U31" s="66">
        <f xml:space="preserve"> IF(OR(SUM(U25:U28)&gt;=($B$5*40),SUM(U25:U28)&gt;0),
  0,
  IF(SUM($C$31:T31)=0,
   IF((('Effort Estimates'!$C$9)/Plan!$B$13)&gt;40*$B$5,
    40*$B$5,
    ('Effort Estimates'!$C$9)/$B$13
   ),
   IF(SUM($C$31:T31)&lt;'Effort Estimates'!$C$9,
    IF((('Effort Estimates'!$C$9)/Plan!$B$13)&gt;40*$B$5,
     40*$B$5,
     ('Effort Estimates'!$C$9)/$B$13
    ),
    0
   )
  )
 )</f>
        <v>0</v>
      </c>
      <c r="V31" s="66">
        <f xml:space="preserve"> IF(OR(SUM(V25:V28)&gt;=($B$5*40),SUM(V25:V28)&gt;0),
  0,
  IF(SUM($C$31:U31)=0,
   IF((('Effort Estimates'!$C$9)/Plan!$B$13)&gt;40*$B$5,
    40*$B$5,
    ('Effort Estimates'!$C$9)/$B$13
   ),
   IF(SUM($C$31:U31)&lt;'Effort Estimates'!$C$9,
    IF((('Effort Estimates'!$C$9)/Plan!$B$13)&gt;40*$B$5,
     40*$B$5,
     ('Effort Estimates'!$C$9)/$B$13
    ),
    0
   )
  )
 )</f>
        <v>0</v>
      </c>
      <c r="W31" s="66">
        <f xml:space="preserve"> IF(OR(SUM(W25:W28)&gt;=($B$5*40),SUM(W25:W28)&gt;0),
  0,
  IF(SUM($C$31:V31)=0,
   IF((('Effort Estimates'!$C$9)/Plan!$B$13)&gt;40*$B$5,
    40*$B$5,
    ('Effort Estimates'!$C$9)/$B$13
   ),
   IF(SUM($C$31:V31)&lt;'Effort Estimates'!$C$9,
    IF((('Effort Estimates'!$C$9)/Plan!$B$13)&gt;40*$B$5,
     40*$B$5,
     ('Effort Estimates'!$C$9)/$B$13
    ),
    0
   )
  )
 )</f>
        <v>0</v>
      </c>
      <c r="X31" s="66">
        <f xml:space="preserve"> IF(OR(SUM(X25:X28)&gt;=($B$5*40),SUM(X25:X28)&gt;0),
  0,
  IF(SUM($C$31:W31)=0,
   IF((('Effort Estimates'!$C$9)/Plan!$B$13)&gt;40*$B$5,
    40*$B$5,
    ('Effort Estimates'!$C$9)/$B$13
   ),
   IF(SUM($C$31:W31)&lt;'Effort Estimates'!$C$9,
    IF((('Effort Estimates'!$C$9)/Plan!$B$13)&gt;40*$B$5,
     40*$B$5,
     ('Effort Estimates'!$C$9)/$B$13
    ),
    0
   )
  )
 )</f>
        <v>0</v>
      </c>
      <c r="Y31" s="66">
        <f xml:space="preserve"> IF(OR(SUM(Y25:Y28)&gt;=($B$5*40),SUM(Y25:Y28)&gt;0),
  0,
  IF(SUM($C$31:X31)=0,
   IF((('Effort Estimates'!$C$9)/Plan!$B$13)&gt;40*$B$5,
    40*$B$5,
    ('Effort Estimates'!$C$9)/$B$13
   ),
   IF(SUM($C$31:X31)&lt;'Effort Estimates'!$C$9,
    IF((('Effort Estimates'!$C$9)/Plan!$B$13)&gt;40*$B$5,
     40*$B$5,
     ('Effort Estimates'!$C$9)/$B$13
    ),
    0
   )
  )
 )</f>
        <v>0</v>
      </c>
      <c r="Z31" s="66">
        <f xml:space="preserve"> IF(OR(SUM(Z25:Z28)&gt;=($B$5*40),SUM(Z25:Z28)&gt;0),
  0,
  IF(SUM($C$31:Y31)=0,
   IF((('Effort Estimates'!$C$9)/Plan!$B$13)&gt;40*$B$5,
    40*$B$5,
    ('Effort Estimates'!$C$9)/$B$13
   ),
   IF(SUM($C$31:Y31)&lt;'Effort Estimates'!$C$9,
    IF((('Effort Estimates'!$C$9)/Plan!$B$13)&gt;40*$B$5,
     40*$B$5,
     ('Effort Estimates'!$C$9)/$B$13
    ),
    0
   )
  )
 )</f>
        <v>0</v>
      </c>
      <c r="AA31" s="66">
        <f xml:space="preserve"> IF(OR(SUM(AA25:AA28)&gt;=($B$5*40),SUM(AA25:AA28)&gt;0),
  0,
  IF(SUM($C$31:Z31)=0,
   IF((('Effort Estimates'!$C$9)/Plan!$B$13)&gt;40*$B$5,
    40*$B$5,
    ('Effort Estimates'!$C$9)/$B$13
   ),
   IF(SUM($C$31:Z31)&lt;'Effort Estimates'!$C$9,
    IF((('Effort Estimates'!$C$9)/Plan!$B$13)&gt;40*$B$5,
     40*$B$5,
     ('Effort Estimates'!$C$9)/$B$13
    ),
    0
   )
  )
 )</f>
        <v>0</v>
      </c>
      <c r="AB31" s="66">
        <f xml:space="preserve"> IF(OR(SUM(AB25:AB28)&gt;=($B$5*40),SUM(AB25:AB28)&gt;0),
  0,
  IF(SUM($C$31:AA31)=0,
   IF((('Effort Estimates'!$C$9)/Plan!$B$13)&gt;40*$B$5,
    40*$B$5,
    ('Effort Estimates'!$C$9)/$B$13
   ),
   IF(SUM($C$31:AA31)&lt;'Effort Estimates'!$C$9,
    IF((('Effort Estimates'!$C$9)/Plan!$B$13)&gt;40*$B$5,
     40*$B$5,
     ('Effort Estimates'!$C$9)/$B$13
    ),
    0
   )
  )
 )</f>
        <v>0</v>
      </c>
      <c r="AC31" s="66">
        <f xml:space="preserve"> IF(OR(SUM(AC25:AC28)&gt;=($B$5*40),SUM(AC25:AC28)&gt;0),
  0,
  IF(SUM($C$31:AB31)=0,
   IF((('Effort Estimates'!$C$9)/Plan!$B$13)&gt;40*$B$5,
    40*$B$5,
    ('Effort Estimates'!$C$9)/$B$13
   ),
   IF(SUM($C$31:AB31)&lt;'Effort Estimates'!$C$9,
    IF((('Effort Estimates'!$C$9)/Plan!$B$13)&gt;40*$B$5,
     40*$B$5,
     ('Effort Estimates'!$C$9)/$B$13
    ),
    0
   )
  )
 )</f>
        <v>0</v>
      </c>
      <c r="AD31" s="66">
        <f xml:space="preserve"> IF(OR(SUM(AD25:AD28)&gt;=($B$5*40),SUM(AD25:AD28)&gt;0),
  0,
  IF(SUM($C$31:AC31)=0,
   IF((('Effort Estimates'!$C$9)/Plan!$B$13)&gt;40*$B$5,
    40*$B$5,
    ('Effort Estimates'!$C$9)/$B$13
   ),
   IF(SUM($C$31:AC31)&lt;'Effort Estimates'!$C$9,
    IF((('Effort Estimates'!$C$9)/Plan!$B$13)&gt;40*$B$5,
     40*$B$5,
     ('Effort Estimates'!$C$9)/$B$13
    ),
    0
   )
  )
 )</f>
        <v>0</v>
      </c>
      <c r="AE31" s="66">
        <f xml:space="preserve"> IF(OR(SUM(AE25:AE28)&gt;=($B$5*40),SUM(AE25:AE28)&gt;0),
  0,
  IF(SUM($C$31:AD31)=0,
   IF((('Effort Estimates'!$C$9)/Plan!$B$13)&gt;40*$B$5,
    40*$B$5,
    ('Effort Estimates'!$C$9)/$B$13
   ),
   IF(SUM($C$31:AD31)&lt;'Effort Estimates'!$C$9,
    IF((('Effort Estimates'!$C$9)/Plan!$B$13)&gt;40*$B$5,
     40*$B$5,
     ('Effort Estimates'!$C$9)/$B$13
    ),
    0
   )
  )
 )</f>
        <v>0</v>
      </c>
      <c r="AF31" s="66">
        <f xml:space="preserve"> IF(OR(SUM(AF25:AF28)&gt;=($B$5*40),SUM(AF25:AF28)&gt;0),
  0,
  IF(SUM($C$31:AE31)=0,
   IF((('Effort Estimates'!$C$9)/Plan!$B$13)&gt;40*$B$5,
    40*$B$5,
    ('Effort Estimates'!$C$9)/$B$13
   ),
   IF(SUM($C$31:AE31)&lt;'Effort Estimates'!$C$9,
    IF((('Effort Estimates'!$C$9)/Plan!$B$13)&gt;40*$B$5,
     40*$B$5,
     ('Effort Estimates'!$C$9)/$B$13
    ),
    0
   )
  )
 )</f>
        <v>0</v>
      </c>
      <c r="AG31" s="66">
        <f xml:space="preserve"> IF(OR(SUM(AG25:AG28)&gt;=($B$5*40),SUM(AG25:AG28)&gt;0),
  0,
  IF(SUM($C$31:AF31)=0,
   IF((('Effort Estimates'!$C$9)/Plan!$B$13)&gt;40*$B$5,
    40*$B$5,
    ('Effort Estimates'!$C$9)/$B$13
   ),
   IF(SUM($C$31:AF31)&lt;'Effort Estimates'!$C$9,
    IF((('Effort Estimates'!$C$9)/Plan!$B$13)&gt;40*$B$5,
     40*$B$5,
     ('Effort Estimates'!$C$9)/$B$13
    ),
    0
   )
  )
 )</f>
        <v>0</v>
      </c>
      <c r="AH31" s="66">
        <f xml:space="preserve"> IF(OR(SUM(AH25:AH28)&gt;=($B$5*40),SUM(AH25:AH28)&gt;0),
  0,
  IF(SUM($C$31:AG31)=0,
   IF((('Effort Estimates'!$C$9)/Plan!$B$13)&gt;40*$B$5,
    40*$B$5,
    ('Effort Estimates'!$C$9)/$B$13
   ),
   IF(SUM($C$31:AG31)&lt;'Effort Estimates'!$C$9,
    IF((('Effort Estimates'!$C$9)/Plan!$B$13)&gt;40*$B$5,
     40*$B$5,
     ('Effort Estimates'!$C$9)/$B$13
    ),
    0
   )
  )
 )</f>
        <v>0</v>
      </c>
    </row>
    <row r="32" spans="1:34" x14ac:dyDescent="0.2">
      <c r="A32" t="s">
        <v>209</v>
      </c>
      <c r="C32" s="66">
        <v>0</v>
      </c>
      <c r="D32" s="66">
        <f>IF(OR(SUM(D25:D31)&gt;=($B$5*40),SUM(D25:D31)&gt;0),0,IF(SUM($C$32:C32)=0,IF((('Effort Estimates'!$C$11)/Plan!$B$5)&gt;40,40*$B$5,('Effort Estimates'!$C$11)),IF(SUM(C32:C32)&lt;(40*$B$5),0,IF(((('Effort Estimates'!$C$11)-SUM($C$32:C32))/Plan!$B$5)&gt;40,40*$B$5,(('Effort Estimates'!$C$11)-SUM($C$32:C32))))))</f>
        <v>0</v>
      </c>
      <c r="E32" s="66">
        <f>IF(OR(SUM(E25:E31)&gt;=($B$5*40),SUM(E25:E31)&gt;0),0,IF(SUM($C$32:D32)=0,IF((('Effort Estimates'!$C$11)/Plan!$B$5)&gt;40,40*$B$5,('Effort Estimates'!$C$11)),IF(SUM(D32:D32)&lt;(40*$B$5),0,IF(((('Effort Estimates'!$C$11)-SUM($C$32:D32))/Plan!$B$5)&gt;40,40*$B$5,(('Effort Estimates'!$C$11)-SUM($C$32:D32))))))</f>
        <v>0</v>
      </c>
      <c r="F32" s="66">
        <f>IF(OR(SUM(F25:F31)&gt;=($B$5*40),SUM(F25:F31)&gt;0),0,IF(SUM($C$32:E32)=0,IF((('Effort Estimates'!$C$11)/Plan!$B$5)&gt;40,40*$B$5,('Effort Estimates'!$C$11)),IF(SUM(E32:E32)&lt;(40*$B$5),0,IF(((('Effort Estimates'!$C$11)-SUM($C$32:E32))/Plan!$B$5)&gt;40,40*$B$5,(('Effort Estimates'!$C$11)-SUM($C$32:E32))))))</f>
        <v>0</v>
      </c>
      <c r="G32" s="66">
        <f>IF(OR(SUM(G25:G31)&gt;=($B$5*40),SUM(G25:G31)&gt;0),0,IF(SUM($C$32:F32)=0,IF((('Effort Estimates'!$C$11)/Plan!$B$5)&gt;40,40*$B$5,('Effort Estimates'!$C$11)),IF(SUM(F32:F32)&lt;(40*$B$5),0,IF(((('Effort Estimates'!$C$11)-SUM($C$32:F32))/Plan!$B$5)&gt;40,40*$B$5,(('Effort Estimates'!$C$11)-SUM($C$32:F32))))))</f>
        <v>0</v>
      </c>
      <c r="H32" s="66">
        <f>IF(OR(SUM(H25:H31)&gt;=($B$5*40),SUM(H25:H31)&gt;0),0,IF(SUM($C$32:G32)=0,IF((('Effort Estimates'!$C$11)/Plan!$B$5)&gt;40,40*$B$5,('Effort Estimates'!$C$11)),IF(SUM(G32:G32)&lt;(40*$B$5),0,IF(((('Effort Estimates'!$C$11)-SUM($C$32:G32))/Plan!$B$5)&gt;40,40*$B$5,(('Effort Estimates'!$C$11)-SUM($C$32:G32))))))</f>
        <v>0</v>
      </c>
      <c r="I32" s="66">
        <f>IF(OR(SUM(I25:I31)&gt;=($B$5*40),SUM(I25:I31)&gt;0),0,IF(SUM($C$32:H32)=0,IF((('Effort Estimates'!$C$11)/Plan!$B$5)&gt;40,40*$B$5,('Effort Estimates'!$C$11)),IF(SUM(H32:H32)&lt;(40*$B$5),0,IF(((('Effort Estimates'!$C$11)-SUM($C$32:H32))/Plan!$B$5)&gt;40,40*$B$5,(('Effort Estimates'!$C$11)-SUM($C$32:H32))))))</f>
        <v>0</v>
      </c>
      <c r="J32" s="66">
        <f>IF(OR(SUM(J25:J31)&gt;=($B$5*40),SUM(J25:J31)&gt;0),0,IF(SUM($C$32:I32)=0,IF((('Effort Estimates'!$C$11)/Plan!$B$5)&gt;40,40*$B$5,('Effort Estimates'!$C$11)),IF(SUM(I32:I32)&lt;(40*$B$5),0,IF(((('Effort Estimates'!$C$11)-SUM($C$32:I32))/Plan!$B$5)&gt;40,40*$B$5,(('Effort Estimates'!$C$11)-SUM($C$32:I32))))))</f>
        <v>0</v>
      </c>
      <c r="K32" s="66">
        <f>IF(OR(SUM(K25:K31)&gt;=($B$5*40),SUM(K25:K31)&gt;0),0,IF(SUM($C$32:J32)=0,IF((('Effort Estimates'!$C$11)/Plan!$B$5)&gt;40,40*$B$5,('Effort Estimates'!$C$11)),IF(SUM(J32:J32)&lt;(40*$B$5),0,IF(((('Effort Estimates'!$C$11)-SUM($C$32:J32))/Plan!$B$5)&gt;40,40*$B$5,(('Effort Estimates'!$C$11)-SUM($C$32:J32))))))</f>
        <v>2.4837119999999993</v>
      </c>
      <c r="L32" s="66">
        <f>IF(OR(SUM(L25:L31)&gt;=($B$5*40),SUM(L25:L31)&gt;0),0,IF(SUM($C$32:K32)=0,IF((('Effort Estimates'!$C$11)/Plan!$B$5)&gt;40,40*$B$5,('Effort Estimates'!$C$11)),IF(SUM(K32:K32)&lt;(40*$B$5),0,IF(((('Effort Estimates'!$C$11)-SUM($C$32:K32))/Plan!$B$5)&gt;40,40*$B$5,(('Effort Estimates'!$C$11)-SUM($C$32:K32))))))</f>
        <v>0</v>
      </c>
      <c r="M32" s="66">
        <f>IF(OR(SUM(M25:M31)&gt;=($B$5*40),SUM(M25:M31)&gt;0),0,IF(SUM($C$32:L32)=0,IF((('Effort Estimates'!$C$11)/Plan!$B$5)&gt;40,40*$B$5,('Effort Estimates'!$C$11)),IF(SUM(L32:L32)&lt;(40*$B$5),0,IF(((('Effort Estimates'!$C$11)-SUM($C$32:L32))/Plan!$B$5)&gt;40,40*$B$5,(('Effort Estimates'!$C$11)-SUM($C$32:L32))))))</f>
        <v>0</v>
      </c>
      <c r="N32" s="66">
        <f>IF(OR(SUM(N25:N31)&gt;=($B$5*40),SUM(N25:N31)&gt;0),0,IF(SUM($C$32:M32)=0,IF((('Effort Estimates'!$C$11)/Plan!$B$5)&gt;40,40*$B$5,('Effort Estimates'!$C$11)),IF(SUM(M32:M32)&lt;(40*$B$5),0,IF(((('Effort Estimates'!$C$11)-SUM($C$32:M32))/Plan!$B$5)&gt;40,40*$B$5,(('Effort Estimates'!$C$11)-SUM($C$32:M32))))))</f>
        <v>0</v>
      </c>
      <c r="O32" s="66">
        <f>IF(OR(SUM(O25:O31)&gt;=($B$5*40),SUM(O25:O31)&gt;0),0,IF(SUM($C$32:N32)=0,IF((('Effort Estimates'!$C$11)/Plan!$B$5)&gt;40,40*$B$5,('Effort Estimates'!$C$11)),IF(SUM(N32:N32)&lt;(40*$B$5),0,IF(((('Effort Estimates'!$C$11)-SUM($C$32:N32))/Plan!$B$5)&gt;40,40*$B$5,(('Effort Estimates'!$C$11)-SUM($C$32:N32))))))</f>
        <v>0</v>
      </c>
      <c r="P32" s="66">
        <f>IF(OR(SUM(P25:P31)&gt;=($B$5*40),SUM(P25:P31)&gt;0),0,IF(SUM($C$32:O32)=0,IF((('Effort Estimates'!$C$11)/Plan!$B$5)&gt;40,40*$B$5,('Effort Estimates'!$C$11)),IF(SUM(O32:O32)&lt;(40*$B$5),0,IF(((('Effort Estimates'!$C$11)-SUM($C$32:O32))/Plan!$B$5)&gt;40,40*$B$5,(('Effort Estimates'!$C$11)-SUM($C$32:O32))))))</f>
        <v>0</v>
      </c>
      <c r="Q32" s="66">
        <f>IF(OR(SUM(Q25:Q31)&gt;=($B$5*40),SUM(Q25:Q31)&gt;0),0,IF(SUM($C$32:P32)=0,IF((('Effort Estimates'!$C$11)/Plan!$B$5)&gt;40,40*$B$5,('Effort Estimates'!$C$11)),IF(SUM(P32:P32)&lt;(40*$B$5),0,IF(((('Effort Estimates'!$C$11)-SUM($C$32:P32))/Plan!$B$5)&gt;40,40*$B$5,(('Effort Estimates'!$C$11)-SUM($C$32:P32))))))</f>
        <v>0</v>
      </c>
      <c r="R32" s="66">
        <f>IF(OR(SUM(R25:R31)&gt;=($B$5*40),SUM(R25:R31)&gt;0),0,IF(SUM($C$32:Q32)=0,IF((('Effort Estimates'!$C$11)/Plan!$B$5)&gt;40,40*$B$5,('Effort Estimates'!$C$11)),IF(SUM(Q32:Q32)&lt;(40*$B$5),0,IF(((('Effort Estimates'!$C$11)-SUM($C$32:Q32))/Plan!$B$5)&gt;40,40*$B$5,(('Effort Estimates'!$C$11)-SUM($C$32:Q32))))))</f>
        <v>0</v>
      </c>
      <c r="S32" s="66">
        <f>IF(OR(SUM(S25:S31)&gt;=($B$5*40),SUM(S25:S31)&gt;0),0,IF(SUM($C$32:R32)=0,IF((('Effort Estimates'!$C$11)/Plan!$B$5)&gt;40,40*$B$5,('Effort Estimates'!$C$11)),IF(SUM(R32:R32)&lt;(40*$B$5),0,IF(((('Effort Estimates'!$C$11)-SUM($C$32:R32))/Plan!$B$5)&gt;40,40*$B$5,(('Effort Estimates'!$C$11)-SUM($C$32:R32))))))</f>
        <v>0</v>
      </c>
      <c r="T32" s="66">
        <f>IF(OR(SUM(T25:T31)&gt;=($B$5*40),SUM(T25:T31)&gt;0),0,IF(SUM($C$32:S32)=0,IF((('Effort Estimates'!$C$11)/Plan!$B$5)&gt;40,40*$B$5,('Effort Estimates'!$C$11)),IF(SUM(S32:S32)&lt;(40*$B$5),0,IF(((('Effort Estimates'!$C$11)-SUM($C$32:S32))/Plan!$B$5)&gt;40,40*$B$5,(('Effort Estimates'!$C$11)-SUM($C$32:S32))))))</f>
        <v>0</v>
      </c>
      <c r="U32" s="66">
        <f>IF(OR(SUM(U25:U31)&gt;=($B$5*40),SUM(U25:U31)&gt;0),0,IF(SUM($C$32:T32)=0,IF((('Effort Estimates'!$C$11)/Plan!$B$5)&gt;40,40*$B$5,('Effort Estimates'!$C$11)),IF(SUM(T32:T32)&lt;(40*$B$5),0,IF(((('Effort Estimates'!$C$11)-SUM($C$32:T32))/Plan!$B$5)&gt;40,40*$B$5,(('Effort Estimates'!$C$11)-SUM($C$32:T32))))))</f>
        <v>0</v>
      </c>
      <c r="V32" s="66">
        <f>IF(OR(SUM(V25:V31)&gt;=($B$5*40),SUM(V25:V31)&gt;0),0,IF(SUM($C$32:U32)=0,IF((('Effort Estimates'!$C$11)/Plan!$B$5)&gt;40,40*$B$5,('Effort Estimates'!$C$11)),IF(SUM(U32:U32)&lt;(40*$B$5),0,IF(((('Effort Estimates'!$C$11)-SUM($C$32:U32))/Plan!$B$5)&gt;40,40*$B$5,(('Effort Estimates'!$C$11)-SUM($C$32:U32))))))</f>
        <v>0</v>
      </c>
      <c r="W32" s="66">
        <f>IF(OR(SUM(W25:W31)&gt;=($B$5*40),SUM(W25:W31)&gt;0),0,IF(SUM($C$32:V32)=0,IF((('Effort Estimates'!$C$11)/Plan!$B$5)&gt;40,40*$B$5,('Effort Estimates'!$C$11)),IF(SUM(V32:V32)&lt;(40*$B$5),0,IF(((('Effort Estimates'!$C$11)-SUM($C$32:V32))/Plan!$B$5)&gt;40,40*$B$5,(('Effort Estimates'!$C$11)-SUM($C$32:V32))))))</f>
        <v>0</v>
      </c>
      <c r="X32" s="66">
        <f>IF(OR(SUM(X25:X31)&gt;=($B$5*40),SUM(X25:X31)&gt;0),0,IF(SUM($C$32:W32)=0,IF((('Effort Estimates'!$C$11)/Plan!$B$5)&gt;40,40*$B$5,('Effort Estimates'!$C$11)),IF(SUM(W32:W32)&lt;(40*$B$5),0,IF(((('Effort Estimates'!$C$11)-SUM($C$32:W32))/Plan!$B$5)&gt;40,40*$B$5,(('Effort Estimates'!$C$11)-SUM($C$32:W32))))))</f>
        <v>0</v>
      </c>
      <c r="Y32" s="66">
        <f>IF(OR(SUM(Y25:Y31)&gt;=($B$5*40),SUM(Y25:Y31)&gt;0),0,IF(SUM($C$32:X32)=0,IF((('Effort Estimates'!$C$11)/Plan!$B$5)&gt;40,40*$B$5,('Effort Estimates'!$C$11)),IF(SUM(X32:X32)&lt;(40*$B$5),0,IF(((('Effort Estimates'!$C$11)-SUM($C$32:X32))/Plan!$B$5)&gt;40,40*$B$5,(('Effort Estimates'!$C$11)-SUM($C$32:X32))))))</f>
        <v>0</v>
      </c>
      <c r="Z32" s="66">
        <f>IF(OR(SUM(Z25:Z31)&gt;=($B$5*40),SUM(Z25:Z31)&gt;0),0,IF(SUM($C$32:Y32)=0,IF((('Effort Estimates'!$C$11)/Plan!$B$5)&gt;40,40*$B$5,('Effort Estimates'!$C$11)),IF(SUM(Y32:Y32)&lt;(40*$B$5),0,IF(((('Effort Estimates'!$C$11)-SUM($C$32:Y32))/Plan!$B$5)&gt;40,40*$B$5,(('Effort Estimates'!$C$11)-SUM($C$32:Y32))))))</f>
        <v>0</v>
      </c>
      <c r="AA32" s="66">
        <f>IF(OR(SUM(AA25:AA31)&gt;=($B$5*40),SUM(AA25:AA31)&gt;0),0,IF(SUM($C$32:Z32)=0,IF((('Effort Estimates'!$C$11)/Plan!$B$5)&gt;40,40*$B$5,('Effort Estimates'!$C$11)),IF(SUM(Z32:Z32)&lt;(40*$B$5),0,IF(((('Effort Estimates'!$C$11)-SUM($C$32:Z32))/Plan!$B$5)&gt;40,40*$B$5,(('Effort Estimates'!$C$11)-SUM($C$32:Z32))))))</f>
        <v>0</v>
      </c>
      <c r="AB32" s="66">
        <f>IF(OR(SUM(AB25:AB31)&gt;=($B$5*40),SUM(AB25:AB31)&gt;0),0,IF(SUM($C$32:AA32)=0,IF((('Effort Estimates'!$C$11)/Plan!$B$5)&gt;40,40*$B$5,('Effort Estimates'!$C$11)),IF(SUM(AA32:AA32)&lt;(40*$B$5),0,IF(((('Effort Estimates'!$C$11)-SUM($C$32:AA32))/Plan!$B$5)&gt;40,40*$B$5,(('Effort Estimates'!$C$11)-SUM($C$32:AA32))))))</f>
        <v>0</v>
      </c>
      <c r="AC32" s="66">
        <f>IF(OR(SUM(AC25:AC31)&gt;=($B$5*40),SUM(AC25:AC31)&gt;0),0,IF(SUM($C$32:AB32)=0,IF((('Effort Estimates'!$C$11)/Plan!$B$5)&gt;40,40*$B$5,('Effort Estimates'!$C$11)),IF(SUM(AB32:AB32)&lt;(40*$B$5),0,IF(((('Effort Estimates'!$C$11)-SUM($C$32:AB32))/Plan!$B$5)&gt;40,40*$B$5,(('Effort Estimates'!$C$11)-SUM($C$32:AB32))))))</f>
        <v>0</v>
      </c>
      <c r="AD32" s="66">
        <f>IF(OR(SUM(AD25:AD31)&gt;=($B$5*40),SUM(AD25:AD31)&gt;0),0,IF(SUM($C$32:AC32)=0,IF((('Effort Estimates'!$C$11)/Plan!$B$5)&gt;40,40*$B$5,('Effort Estimates'!$C$11)),IF(SUM(AC32:AC32)&lt;(40*$B$5),0,IF(((('Effort Estimates'!$C$11)-SUM($C$32:AC32))/Plan!$B$5)&gt;40,40*$B$5,(('Effort Estimates'!$C$11)-SUM($C$32:AC32))))))</f>
        <v>0</v>
      </c>
      <c r="AE32" s="66">
        <f>IF(OR(SUM(AE25:AE31)&gt;=($B$5*40),SUM(AE25:AE31)&gt;0),0,IF(SUM($C$32:AD32)=0,IF((('Effort Estimates'!$C$11)/Plan!$B$5)&gt;40,40*$B$5,('Effort Estimates'!$C$11)),IF(SUM(AD32:AD32)&lt;(40*$B$5),0,IF(((('Effort Estimates'!$C$11)-SUM($C$32:AD32))/Plan!$B$5)&gt;40,40*$B$5,(('Effort Estimates'!$C$11)-SUM($C$32:AD32))))))</f>
        <v>0</v>
      </c>
      <c r="AF32" s="66">
        <f>IF(OR(SUM(AF25:AF31)&gt;=($B$5*40),SUM(AF25:AF31)&gt;0),0,IF(SUM($C$32:AE32)=0,IF((('Effort Estimates'!$C$11)/Plan!$B$5)&gt;40,40*$B$5,('Effort Estimates'!$C$11)),IF(SUM(AE32:AE32)&lt;(40*$B$5),0,IF(((('Effort Estimates'!$C$11)-SUM($C$32:AE32))/Plan!$B$5)&gt;40,40*$B$5,(('Effort Estimates'!$C$11)-SUM($C$32:AE32))))))</f>
        <v>0</v>
      </c>
      <c r="AG32" s="66">
        <f>IF(OR(SUM(AG25:AG31)&gt;=($B$5*40),SUM(AG25:AG31)&gt;0),0,IF(SUM($C$32:AF32)=0,IF((('Effort Estimates'!$C$11)/Plan!$B$5)&gt;40,40*$B$5,('Effort Estimates'!$C$11)),IF(SUM(AF32:AF32)&lt;(40*$B$5),0,IF(((('Effort Estimates'!$C$11)-SUM($C$32:AF32))/Plan!$B$5)&gt;40,40*$B$5,(('Effort Estimates'!$C$11)-SUM($C$32:AF32))))))</f>
        <v>0</v>
      </c>
      <c r="AH32" s="66">
        <f>IF(OR(SUM(AH25:AH31)&gt;=($B$5*40),SUM(AH25:AH31)&gt;0),0,IF(SUM($C$32:AG32)=0,IF((('Effort Estimates'!$C$11)/Plan!$B$5)&gt;40,40*$B$5,('Effort Estimates'!$C$11)),IF(SUM(AG32:AG32)&lt;(40*$B$5),0,IF(((('Effort Estimates'!$C$11)-SUM($C$32:AG32))/Plan!$B$5)&gt;40,40*$B$5,(('Effort Estimates'!$C$11)-SUM($C$32:AG32))))))</f>
        <v>0</v>
      </c>
    </row>
  </sheetData>
  <mergeCells count="4">
    <mergeCell ref="A22:AH22"/>
    <mergeCell ref="A1:AH1"/>
    <mergeCell ref="A9:AH9"/>
    <mergeCell ref="A18:AH18"/>
  </mergeCells>
  <conditionalFormatting sqref="C25:AH32">
    <cfRule type="cellIs" dxfId="6" priority="9" operator="greaterThan">
      <formula>0</formula>
    </cfRule>
  </conditionalFormatting>
  <conditionalFormatting sqref="C26:AH26">
    <cfRule type="cellIs" dxfId="5" priority="8" operator="greaterThan">
      <formula>0</formula>
    </cfRule>
  </conditionalFormatting>
  <conditionalFormatting sqref="C27:N27 C28:AH28">
    <cfRule type="cellIs" dxfId="4" priority="7" operator="greaterThan">
      <formula>0</formula>
    </cfRule>
  </conditionalFormatting>
  <conditionalFormatting sqref="O26:AH26">
    <cfRule type="cellIs" dxfId="3" priority="4" operator="greaterThan">
      <formula>0</formula>
    </cfRule>
  </conditionalFormatting>
  <conditionalFormatting sqref="O27:AH27">
    <cfRule type="cellIs" dxfId="2" priority="3" operator="greaterThan">
      <formula>0</formula>
    </cfRule>
  </conditionalFormatting>
  <conditionalFormatting sqref="C29:AH29">
    <cfRule type="cellIs" dxfId="1" priority="2" operator="greaterThan">
      <formula>0</formula>
    </cfRule>
  </conditionalFormatting>
  <conditionalFormatting sqref="C32:AH32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topLeftCell="W1" zoomScale="125" zoomScaleNormal="125" zoomScalePageLayoutView="125" workbookViewId="0">
      <selection activeCell="AF3" sqref="AF3"/>
    </sheetView>
  </sheetViews>
  <sheetFormatPr baseColWidth="10" defaultRowHeight="16" x14ac:dyDescent="0.2"/>
  <cols>
    <col min="1" max="1" width="16" bestFit="1" customWidth="1"/>
    <col min="3" max="3" width="14.1640625" bestFit="1" customWidth="1"/>
    <col min="4" max="4" width="12.83203125" bestFit="1" customWidth="1"/>
    <col min="5" max="5" width="18.5" bestFit="1" customWidth="1"/>
    <col min="7" max="7" width="18" bestFit="1" customWidth="1"/>
    <col min="8" max="8" width="17.83203125" bestFit="1" customWidth="1"/>
    <col min="9" max="9" width="14.6640625" bestFit="1" customWidth="1"/>
    <col min="10" max="10" width="14.83203125" bestFit="1" customWidth="1"/>
    <col min="11" max="11" width="21.5" bestFit="1" customWidth="1"/>
    <col min="12" max="12" width="14.83203125" bestFit="1" customWidth="1"/>
    <col min="13" max="14" width="15.6640625" customWidth="1"/>
    <col min="15" max="15" width="23.83203125" bestFit="1" customWidth="1"/>
    <col min="16" max="16" width="40.6640625" customWidth="1"/>
    <col min="21" max="21" width="18.33203125" customWidth="1"/>
    <col min="31" max="31" width="26.1640625" customWidth="1"/>
    <col min="34" max="34" width="19.33203125" bestFit="1" customWidth="1"/>
    <col min="35" max="35" width="8.6640625" customWidth="1"/>
    <col min="37" max="37" width="12.33203125" customWidth="1"/>
  </cols>
  <sheetData>
    <row r="1" spans="1:36" x14ac:dyDescent="0.2">
      <c r="A1" t="s">
        <v>3</v>
      </c>
      <c r="B1" t="s">
        <v>4</v>
      </c>
      <c r="C1" t="s">
        <v>7</v>
      </c>
      <c r="D1" t="s">
        <v>9</v>
      </c>
      <c r="E1" t="s">
        <v>16</v>
      </c>
      <c r="F1" t="s">
        <v>22</v>
      </c>
      <c r="G1" t="s">
        <v>34</v>
      </c>
      <c r="H1" t="s">
        <v>40</v>
      </c>
      <c r="I1" t="s">
        <v>41</v>
      </c>
      <c r="J1" t="s">
        <v>47</v>
      </c>
      <c r="K1" t="s">
        <v>51</v>
      </c>
      <c r="L1" t="s">
        <v>61</v>
      </c>
      <c r="M1" t="s">
        <v>66</v>
      </c>
      <c r="N1" t="s">
        <v>237</v>
      </c>
      <c r="O1" t="s">
        <v>98</v>
      </c>
      <c r="P1" t="s">
        <v>184</v>
      </c>
      <c r="Q1" s="54" t="s">
        <v>161</v>
      </c>
      <c r="R1" s="54" t="s">
        <v>162</v>
      </c>
      <c r="S1" s="54" t="s">
        <v>163</v>
      </c>
      <c r="V1" s="54" t="s">
        <v>23</v>
      </c>
      <c r="W1" s="54" t="s">
        <v>24</v>
      </c>
      <c r="X1" s="54" t="s">
        <v>25</v>
      </c>
      <c r="Y1" s="54" t="s">
        <v>26</v>
      </c>
      <c r="Z1" s="54" t="s">
        <v>27</v>
      </c>
      <c r="AH1" s="54" t="s">
        <v>232</v>
      </c>
      <c r="AI1" s="54" t="s">
        <v>233</v>
      </c>
      <c r="AJ1" s="54" t="s">
        <v>234</v>
      </c>
    </row>
    <row r="2" spans="1:36" x14ac:dyDescent="0.2">
      <c r="A2" t="s">
        <v>2</v>
      </c>
      <c r="B2" t="s">
        <v>5</v>
      </c>
      <c r="C2" t="s">
        <v>8</v>
      </c>
      <c r="D2" t="s">
        <v>10</v>
      </c>
      <c r="E2" t="s">
        <v>17</v>
      </c>
      <c r="F2" t="s">
        <v>23</v>
      </c>
      <c r="G2" t="s">
        <v>35</v>
      </c>
      <c r="H2" t="s">
        <v>83</v>
      </c>
      <c r="I2" t="s">
        <v>42</v>
      </c>
      <c r="J2" t="s">
        <v>42</v>
      </c>
      <c r="K2" t="s">
        <v>42</v>
      </c>
      <c r="L2" t="s">
        <v>62</v>
      </c>
      <c r="M2" t="s">
        <v>67</v>
      </c>
      <c r="N2" s="55">
        <v>1</v>
      </c>
      <c r="O2" t="s">
        <v>99</v>
      </c>
      <c r="U2" t="s">
        <v>17</v>
      </c>
      <c r="V2">
        <v>4</v>
      </c>
      <c r="W2">
        <v>8</v>
      </c>
      <c r="X2">
        <v>16</v>
      </c>
      <c r="Y2">
        <v>40</v>
      </c>
      <c r="Z2">
        <v>80</v>
      </c>
      <c r="AB2" t="s">
        <v>2</v>
      </c>
      <c r="AC2">
        <v>1</v>
      </c>
      <c r="AE2" s="12" t="s">
        <v>89</v>
      </c>
      <c r="AF2" s="12">
        <v>40</v>
      </c>
      <c r="AH2" t="s">
        <v>129</v>
      </c>
      <c r="AI2" t="s">
        <v>227</v>
      </c>
      <c r="AJ2">
        <v>140</v>
      </c>
    </row>
    <row r="3" spans="1:36" x14ac:dyDescent="0.2">
      <c r="A3" t="s">
        <v>39</v>
      </c>
      <c r="B3" t="s">
        <v>6</v>
      </c>
      <c r="C3" t="s">
        <v>13</v>
      </c>
      <c r="D3" t="s">
        <v>11</v>
      </c>
      <c r="E3" t="s">
        <v>18</v>
      </c>
      <c r="F3" t="s">
        <v>24</v>
      </c>
      <c r="G3" t="s">
        <v>36</v>
      </c>
      <c r="H3" t="s">
        <v>82</v>
      </c>
      <c r="I3" t="s">
        <v>43</v>
      </c>
      <c r="J3" t="s">
        <v>48</v>
      </c>
      <c r="K3" t="s">
        <v>52</v>
      </c>
      <c r="L3" t="s">
        <v>63</v>
      </c>
      <c r="M3" t="s">
        <v>69</v>
      </c>
      <c r="N3" s="55">
        <v>0.8</v>
      </c>
      <c r="O3" t="s">
        <v>100</v>
      </c>
      <c r="P3" t="s">
        <v>164</v>
      </c>
      <c r="Q3" s="55">
        <v>0.33</v>
      </c>
      <c r="R3" s="56">
        <v>40</v>
      </c>
      <c r="S3">
        <f>R3*Q3</f>
        <v>13.200000000000001</v>
      </c>
      <c r="U3" t="s">
        <v>18</v>
      </c>
      <c r="V3">
        <v>4</v>
      </c>
      <c r="W3">
        <v>8</v>
      </c>
      <c r="X3">
        <v>16</v>
      </c>
      <c r="Y3">
        <v>40</v>
      </c>
      <c r="Z3">
        <v>80</v>
      </c>
      <c r="AB3" t="s">
        <v>39</v>
      </c>
      <c r="AC3">
        <v>1.2</v>
      </c>
      <c r="AE3" s="9" t="s">
        <v>90</v>
      </c>
      <c r="AF3" s="10">
        <v>20</v>
      </c>
      <c r="AH3" t="s">
        <v>129</v>
      </c>
      <c r="AI3" t="s">
        <v>228</v>
      </c>
      <c r="AJ3">
        <v>40</v>
      </c>
    </row>
    <row r="4" spans="1:36" x14ac:dyDescent="0.2">
      <c r="A4" t="s">
        <v>78</v>
      </c>
      <c r="C4" t="s">
        <v>14</v>
      </c>
      <c r="D4" t="s">
        <v>12</v>
      </c>
      <c r="E4" t="s">
        <v>20</v>
      </c>
      <c r="F4" t="s">
        <v>25</v>
      </c>
      <c r="G4" t="s">
        <v>37</v>
      </c>
      <c r="H4" t="s">
        <v>19</v>
      </c>
      <c r="I4" t="s">
        <v>44</v>
      </c>
      <c r="J4" t="s">
        <v>49</v>
      </c>
      <c r="K4" t="s">
        <v>53</v>
      </c>
      <c r="L4" t="s">
        <v>64</v>
      </c>
      <c r="M4" t="s">
        <v>70</v>
      </c>
      <c r="N4" s="55">
        <v>0.2</v>
      </c>
      <c r="O4" t="s">
        <v>101</v>
      </c>
      <c r="P4" t="s">
        <v>165</v>
      </c>
      <c r="Q4" s="55">
        <v>0.4</v>
      </c>
      <c r="R4" s="57">
        <v>16</v>
      </c>
      <c r="S4">
        <f t="shared" ref="S4:S22" si="0">R4*Q4</f>
        <v>6.4</v>
      </c>
      <c r="U4" t="s">
        <v>20</v>
      </c>
      <c r="V4">
        <v>4</v>
      </c>
      <c r="W4">
        <v>8</v>
      </c>
      <c r="X4">
        <v>16</v>
      </c>
      <c r="Y4">
        <v>40</v>
      </c>
      <c r="Z4">
        <v>80</v>
      </c>
      <c r="AB4" t="s">
        <v>78</v>
      </c>
      <c r="AC4">
        <v>0.93</v>
      </c>
      <c r="AE4" s="11" t="s">
        <v>94</v>
      </c>
      <c r="AF4" s="11">
        <v>20</v>
      </c>
      <c r="AH4" t="s">
        <v>226</v>
      </c>
      <c r="AI4" t="s">
        <v>227</v>
      </c>
      <c r="AJ4">
        <v>120</v>
      </c>
    </row>
    <row r="5" spans="1:36" x14ac:dyDescent="0.2">
      <c r="A5" t="s">
        <v>77</v>
      </c>
      <c r="C5" t="s">
        <v>15</v>
      </c>
      <c r="D5" t="s">
        <v>15</v>
      </c>
      <c r="E5" t="s">
        <v>21</v>
      </c>
      <c r="F5" t="s">
        <v>26</v>
      </c>
      <c r="G5" t="s">
        <v>45</v>
      </c>
      <c r="H5" t="s">
        <v>46</v>
      </c>
      <c r="I5" t="s">
        <v>15</v>
      </c>
      <c r="J5" t="s">
        <v>50</v>
      </c>
      <c r="K5" t="s">
        <v>73</v>
      </c>
      <c r="L5" t="s">
        <v>65</v>
      </c>
      <c r="M5" t="s">
        <v>68</v>
      </c>
      <c r="N5" s="55">
        <v>0</v>
      </c>
      <c r="O5" t="s">
        <v>102</v>
      </c>
      <c r="P5" t="s">
        <v>166</v>
      </c>
      <c r="Q5" s="55">
        <v>0.6</v>
      </c>
      <c r="R5" s="57">
        <v>12</v>
      </c>
      <c r="S5">
        <f t="shared" si="0"/>
        <v>7.1999999999999993</v>
      </c>
      <c r="U5" t="s">
        <v>21</v>
      </c>
      <c r="V5">
        <v>4</v>
      </c>
      <c r="W5">
        <v>8</v>
      </c>
      <c r="X5">
        <v>16</v>
      </c>
      <c r="Y5">
        <v>40</v>
      </c>
      <c r="Z5">
        <v>80</v>
      </c>
      <c r="AB5" t="s">
        <v>77</v>
      </c>
      <c r="AC5">
        <v>0.95</v>
      </c>
      <c r="AE5" s="3" t="s">
        <v>96</v>
      </c>
      <c r="AF5" s="3">
        <v>20</v>
      </c>
      <c r="AH5" t="s">
        <v>226</v>
      </c>
      <c r="AI5" t="s">
        <v>228</v>
      </c>
      <c r="AJ5">
        <v>40</v>
      </c>
    </row>
    <row r="6" spans="1:36" x14ac:dyDescent="0.2">
      <c r="E6" t="s">
        <v>28</v>
      </c>
      <c r="F6" t="s">
        <v>27</v>
      </c>
      <c r="G6" t="s">
        <v>15</v>
      </c>
      <c r="H6" t="s">
        <v>42</v>
      </c>
      <c r="J6" t="s">
        <v>38</v>
      </c>
      <c r="K6" t="s">
        <v>74</v>
      </c>
      <c r="P6" t="s">
        <v>167</v>
      </c>
      <c r="Q6" s="55">
        <v>0.4</v>
      </c>
      <c r="R6" s="57">
        <v>80</v>
      </c>
      <c r="S6">
        <f t="shared" si="0"/>
        <v>32</v>
      </c>
      <c r="U6" t="s">
        <v>28</v>
      </c>
      <c r="V6">
        <v>4</v>
      </c>
      <c r="W6">
        <v>8</v>
      </c>
      <c r="X6">
        <v>16</v>
      </c>
      <c r="Y6">
        <v>40</v>
      </c>
      <c r="Z6">
        <v>80</v>
      </c>
      <c r="AE6" t="s">
        <v>207</v>
      </c>
      <c r="AF6">
        <v>2</v>
      </c>
      <c r="AH6" t="s">
        <v>229</v>
      </c>
      <c r="AI6" t="s">
        <v>227</v>
      </c>
      <c r="AJ6">
        <v>120</v>
      </c>
    </row>
    <row r="7" spans="1:36" x14ac:dyDescent="0.2">
      <c r="E7" t="s">
        <v>29</v>
      </c>
      <c r="G7" t="s">
        <v>42</v>
      </c>
      <c r="K7" t="s">
        <v>15</v>
      </c>
      <c r="P7" t="s">
        <v>168</v>
      </c>
      <c r="Q7" s="55">
        <v>0.5</v>
      </c>
      <c r="R7" s="57">
        <v>24</v>
      </c>
      <c r="S7">
        <f t="shared" si="0"/>
        <v>12</v>
      </c>
      <c r="U7" t="s">
        <v>29</v>
      </c>
      <c r="V7">
        <v>4</v>
      </c>
      <c r="W7">
        <v>8</v>
      </c>
      <c r="X7">
        <v>16</v>
      </c>
      <c r="Y7">
        <v>40</v>
      </c>
      <c r="Z7">
        <v>80</v>
      </c>
      <c r="AE7" t="s">
        <v>208</v>
      </c>
      <c r="AF7">
        <v>10</v>
      </c>
      <c r="AH7" t="s">
        <v>229</v>
      </c>
      <c r="AI7" t="s">
        <v>228</v>
      </c>
      <c r="AJ7">
        <v>40</v>
      </c>
    </row>
    <row r="8" spans="1:36" x14ac:dyDescent="0.2">
      <c r="E8" t="s">
        <v>30</v>
      </c>
      <c r="P8" t="s">
        <v>169</v>
      </c>
      <c r="Q8" s="55">
        <v>0.5</v>
      </c>
      <c r="R8" s="57">
        <v>16</v>
      </c>
      <c r="S8">
        <f t="shared" si="0"/>
        <v>8</v>
      </c>
      <c r="U8" t="s">
        <v>30</v>
      </c>
      <c r="V8">
        <v>40</v>
      </c>
      <c r="W8">
        <v>80</v>
      </c>
      <c r="X8">
        <v>160</v>
      </c>
      <c r="Y8">
        <v>400</v>
      </c>
      <c r="Z8">
        <v>800</v>
      </c>
      <c r="AE8" t="s">
        <v>192</v>
      </c>
      <c r="AF8">
        <v>5</v>
      </c>
      <c r="AH8" t="s">
        <v>230</v>
      </c>
      <c r="AI8" t="s">
        <v>227</v>
      </c>
      <c r="AJ8">
        <v>120</v>
      </c>
    </row>
    <row r="9" spans="1:36" x14ac:dyDescent="0.2">
      <c r="E9" t="s">
        <v>31</v>
      </c>
      <c r="P9" t="s">
        <v>170</v>
      </c>
      <c r="Q9" s="55">
        <v>0.4</v>
      </c>
      <c r="R9" s="57">
        <v>24</v>
      </c>
      <c r="S9">
        <f t="shared" si="0"/>
        <v>9.6000000000000014</v>
      </c>
      <c r="U9" t="s">
        <v>31</v>
      </c>
      <c r="V9">
        <v>4</v>
      </c>
      <c r="W9">
        <v>8</v>
      </c>
      <c r="X9">
        <v>16</v>
      </c>
      <c r="Y9">
        <v>40</v>
      </c>
      <c r="Z9">
        <v>80</v>
      </c>
      <c r="AE9" t="s">
        <v>193</v>
      </c>
      <c r="AF9">
        <v>5</v>
      </c>
      <c r="AH9" t="s">
        <v>230</v>
      </c>
      <c r="AI9" t="s">
        <v>228</v>
      </c>
      <c r="AJ9">
        <v>40</v>
      </c>
    </row>
    <row r="10" spans="1:36" x14ac:dyDescent="0.2">
      <c r="E10" t="s">
        <v>32</v>
      </c>
      <c r="P10" t="s">
        <v>171</v>
      </c>
      <c r="Q10" s="55">
        <v>0.7</v>
      </c>
      <c r="R10" s="57">
        <v>24</v>
      </c>
      <c r="S10">
        <f t="shared" si="0"/>
        <v>16.799999999999997</v>
      </c>
      <c r="U10" t="s">
        <v>32</v>
      </c>
      <c r="V10">
        <v>4</v>
      </c>
      <c r="W10">
        <v>8</v>
      </c>
      <c r="X10">
        <v>16</v>
      </c>
      <c r="Y10">
        <v>40</v>
      </c>
      <c r="Z10">
        <v>80</v>
      </c>
      <c r="AE10" t="s">
        <v>201</v>
      </c>
      <c r="AF10">
        <v>5</v>
      </c>
      <c r="AH10" t="s">
        <v>231</v>
      </c>
      <c r="AI10" t="s">
        <v>227</v>
      </c>
      <c r="AJ10">
        <v>120</v>
      </c>
    </row>
    <row r="11" spans="1:36" x14ac:dyDescent="0.2">
      <c r="E11" t="s">
        <v>33</v>
      </c>
      <c r="P11" t="s">
        <v>172</v>
      </c>
      <c r="Q11" s="55">
        <v>0.2</v>
      </c>
      <c r="R11" s="57">
        <v>20</v>
      </c>
      <c r="S11">
        <f t="shared" si="0"/>
        <v>4</v>
      </c>
      <c r="U11" t="s">
        <v>33</v>
      </c>
      <c r="V11">
        <v>4</v>
      </c>
      <c r="W11">
        <v>8</v>
      </c>
      <c r="X11">
        <v>16</v>
      </c>
      <c r="Y11">
        <v>40</v>
      </c>
      <c r="Z11">
        <v>80</v>
      </c>
      <c r="AH11" t="s">
        <v>231</v>
      </c>
      <c r="AI11" t="s">
        <v>228</v>
      </c>
      <c r="AJ11">
        <v>40</v>
      </c>
    </row>
    <row r="12" spans="1:36" x14ac:dyDescent="0.2">
      <c r="E12" t="s">
        <v>54</v>
      </c>
      <c r="P12" t="s">
        <v>173</v>
      </c>
      <c r="Q12" s="55">
        <v>0.2</v>
      </c>
      <c r="R12" s="57">
        <v>20</v>
      </c>
      <c r="S12">
        <f t="shared" si="0"/>
        <v>4</v>
      </c>
      <c r="U12" t="s">
        <v>54</v>
      </c>
      <c r="V12">
        <v>4</v>
      </c>
      <c r="W12">
        <v>8</v>
      </c>
      <c r="X12">
        <v>16</v>
      </c>
      <c r="Y12">
        <v>40</v>
      </c>
      <c r="Z12">
        <v>80</v>
      </c>
    </row>
    <row r="13" spans="1:36" x14ac:dyDescent="0.2">
      <c r="E13" t="s">
        <v>56</v>
      </c>
      <c r="P13" t="s">
        <v>174</v>
      </c>
      <c r="Q13" s="55">
        <v>0.2</v>
      </c>
      <c r="R13" s="57">
        <v>28</v>
      </c>
      <c r="S13">
        <f t="shared" si="0"/>
        <v>5.6000000000000005</v>
      </c>
      <c r="U13" t="s">
        <v>56</v>
      </c>
      <c r="V13">
        <v>4</v>
      </c>
      <c r="W13">
        <v>8</v>
      </c>
      <c r="X13">
        <v>16</v>
      </c>
      <c r="Y13">
        <v>40</v>
      </c>
      <c r="Z13">
        <v>80</v>
      </c>
    </row>
    <row r="14" spans="1:36" x14ac:dyDescent="0.2">
      <c r="E14" t="s">
        <v>55</v>
      </c>
      <c r="P14" t="s">
        <v>175</v>
      </c>
      <c r="Q14" s="55">
        <v>0.5</v>
      </c>
      <c r="R14" s="57">
        <v>24</v>
      </c>
      <c r="S14">
        <f t="shared" si="0"/>
        <v>12</v>
      </c>
      <c r="U14" t="s">
        <v>55</v>
      </c>
      <c r="V14">
        <v>10</v>
      </c>
      <c r="W14">
        <v>20</v>
      </c>
      <c r="X14">
        <v>30</v>
      </c>
      <c r="Y14">
        <v>50</v>
      </c>
      <c r="Z14">
        <v>60</v>
      </c>
    </row>
    <row r="15" spans="1:36" x14ac:dyDescent="0.2">
      <c r="E15" t="s">
        <v>57</v>
      </c>
      <c r="P15" t="s">
        <v>176</v>
      </c>
      <c r="Q15" s="55">
        <v>0.6</v>
      </c>
      <c r="R15" s="57">
        <v>30</v>
      </c>
      <c r="S15">
        <f t="shared" si="0"/>
        <v>18</v>
      </c>
      <c r="U15" t="s">
        <v>57</v>
      </c>
      <c r="V15">
        <v>4</v>
      </c>
      <c r="W15">
        <v>8</v>
      </c>
      <c r="X15">
        <v>16</v>
      </c>
      <c r="Y15">
        <v>40</v>
      </c>
      <c r="Z15">
        <v>80</v>
      </c>
    </row>
    <row r="16" spans="1:36" x14ac:dyDescent="0.2">
      <c r="E16" t="s">
        <v>58</v>
      </c>
      <c r="P16" t="s">
        <v>177</v>
      </c>
      <c r="Q16" s="55">
        <v>0.6</v>
      </c>
      <c r="R16" s="57">
        <v>16</v>
      </c>
      <c r="S16">
        <f t="shared" si="0"/>
        <v>9.6</v>
      </c>
      <c r="U16" t="s">
        <v>58</v>
      </c>
      <c r="V16">
        <v>4</v>
      </c>
      <c r="W16">
        <v>8</v>
      </c>
      <c r="X16">
        <v>16</v>
      </c>
      <c r="Y16">
        <v>40</v>
      </c>
      <c r="Z16">
        <v>80</v>
      </c>
    </row>
    <row r="17" spans="5:26" x14ac:dyDescent="0.2">
      <c r="E17" t="s">
        <v>59</v>
      </c>
      <c r="P17" t="s">
        <v>178</v>
      </c>
      <c r="Q17" s="55">
        <v>0.1</v>
      </c>
      <c r="R17" s="57">
        <v>12</v>
      </c>
      <c r="S17">
        <f t="shared" si="0"/>
        <v>1.2000000000000002</v>
      </c>
      <c r="U17" t="s">
        <v>59</v>
      </c>
      <c r="V17">
        <v>4</v>
      </c>
      <c r="W17">
        <v>8</v>
      </c>
      <c r="X17">
        <v>16</v>
      </c>
      <c r="Y17">
        <v>40</v>
      </c>
      <c r="Z17">
        <v>80</v>
      </c>
    </row>
    <row r="18" spans="5:26" x14ac:dyDescent="0.2">
      <c r="P18" t="s">
        <v>179</v>
      </c>
      <c r="Q18" s="55">
        <v>0.1</v>
      </c>
      <c r="R18" s="57">
        <v>12</v>
      </c>
      <c r="S18">
        <f t="shared" si="0"/>
        <v>1.2000000000000002</v>
      </c>
    </row>
    <row r="19" spans="5:26" x14ac:dyDescent="0.2">
      <c r="P19" t="s">
        <v>180</v>
      </c>
      <c r="Q19" s="55">
        <v>0.6</v>
      </c>
      <c r="R19" s="57">
        <v>24</v>
      </c>
      <c r="S19">
        <f t="shared" si="0"/>
        <v>14.399999999999999</v>
      </c>
    </row>
    <row r="20" spans="5:26" x14ac:dyDescent="0.2">
      <c r="P20" t="s">
        <v>181</v>
      </c>
      <c r="Q20" s="55">
        <v>0.8</v>
      </c>
      <c r="R20" s="57">
        <v>12</v>
      </c>
      <c r="S20">
        <f t="shared" si="0"/>
        <v>9.6000000000000014</v>
      </c>
    </row>
    <row r="21" spans="5:26" x14ac:dyDescent="0.2">
      <c r="P21" t="s">
        <v>182</v>
      </c>
      <c r="Q21" s="55">
        <v>0.8</v>
      </c>
      <c r="R21" s="57">
        <v>16</v>
      </c>
      <c r="S21">
        <f t="shared" si="0"/>
        <v>12.8</v>
      </c>
    </row>
    <row r="22" spans="5:26" x14ac:dyDescent="0.2">
      <c r="P22" t="s">
        <v>183</v>
      </c>
      <c r="Q22" s="55">
        <v>0.3</v>
      </c>
      <c r="R22" s="57">
        <v>20</v>
      </c>
      <c r="S22">
        <f t="shared" si="0"/>
        <v>6</v>
      </c>
    </row>
  </sheetData>
  <dataConsolidate/>
  <dataValidations disablePrompts="1" count="1">
    <dataValidation type="list" allowBlank="1" showInputMessage="1" showErrorMessage="1" sqref="A2:A4 AB2:AB4">
      <formula1>$A$2:$A$5</formula1>
    </dataValidation>
  </dataValidation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Project Parameters</vt:lpstr>
      <vt:lpstr>Requirements</vt:lpstr>
      <vt:lpstr>Effort Estimates</vt:lpstr>
      <vt:lpstr>Sprint Calculator</vt:lpstr>
      <vt:lpstr>Resource Plan</vt:lpstr>
      <vt:lpstr>Cost Estimates</vt:lpstr>
      <vt:lpstr>Plan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Schwartz</dc:creator>
  <cp:lastModifiedBy>Microsoft Office User</cp:lastModifiedBy>
  <dcterms:created xsi:type="dcterms:W3CDTF">2015-07-28T19:53:34Z</dcterms:created>
  <dcterms:modified xsi:type="dcterms:W3CDTF">2017-03-14T08:53:18Z</dcterms:modified>
</cp:coreProperties>
</file>