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b\GitHub\Finashe4ka\Эксель\Семинар 7-8\"/>
    </mc:Choice>
  </mc:AlternateContent>
  <xr:revisionPtr revIDLastSave="0" documentId="13_ncr:40009_{B068D3BF-1336-47CE-A5D7-56A16DAF86A7}" xr6:coauthVersionLast="47" xr6:coauthVersionMax="47" xr10:uidLastSave="{00000000-0000-0000-0000-000000000000}"/>
  <bookViews>
    <workbookView xWindow="-108" yWindow="492" windowWidth="23256" windowHeight="12576" activeTab="1"/>
  </bookViews>
  <sheets>
    <sheet name="Описательная статистика" sheetId="4" r:id="rId1"/>
    <sheet name="Кредиты_2000_0" sheetId="1" r:id="rId2"/>
  </sheets>
  <calcPr calcId="0"/>
  <pivotCaches>
    <pivotCache cacheId="8" r:id="rId3"/>
  </pivotCaches>
</workbook>
</file>

<file path=xl/calcChain.xml><?xml version="1.0" encoding="utf-8"?>
<calcChain xmlns="http://schemas.openxmlformats.org/spreadsheetml/2006/main">
  <c r="U2" i="1" l="1"/>
  <c r="U4" i="1"/>
  <c r="U5" i="1"/>
  <c r="U7" i="1"/>
  <c r="U8" i="1"/>
  <c r="U10" i="1"/>
  <c r="U11" i="1"/>
  <c r="U12" i="1"/>
  <c r="U14" i="1"/>
  <c r="U15" i="1"/>
  <c r="U16" i="1"/>
  <c r="U17" i="1"/>
  <c r="U19" i="1"/>
  <c r="U21" i="1"/>
  <c r="U22" i="1"/>
  <c r="U23" i="1"/>
  <c r="U24" i="1"/>
  <c r="U25" i="1"/>
  <c r="U26" i="1"/>
  <c r="U27" i="1"/>
  <c r="U28" i="1"/>
  <c r="U29" i="1"/>
  <c r="U30" i="1"/>
  <c r="U32" i="1"/>
  <c r="U33" i="1"/>
  <c r="U34" i="1"/>
  <c r="U35" i="1"/>
  <c r="U37" i="1"/>
  <c r="U38" i="1"/>
  <c r="U39" i="1"/>
  <c r="U41" i="1"/>
  <c r="U42" i="1"/>
  <c r="U45" i="1"/>
  <c r="U46" i="1"/>
  <c r="U47" i="1"/>
  <c r="U48" i="1"/>
  <c r="U49" i="1"/>
  <c r="U50" i="1"/>
  <c r="U51" i="1"/>
  <c r="U52" i="1"/>
  <c r="U53" i="1"/>
  <c r="U55" i="1"/>
  <c r="U56" i="1"/>
  <c r="U57" i="1"/>
  <c r="U58" i="1"/>
  <c r="U59" i="1"/>
  <c r="U60" i="1"/>
  <c r="U61" i="1"/>
  <c r="U62" i="1"/>
  <c r="U63" i="1"/>
  <c r="U65" i="1"/>
  <c r="U66" i="1"/>
  <c r="U67" i="1"/>
  <c r="U68" i="1"/>
  <c r="U71" i="1"/>
  <c r="U72" i="1"/>
  <c r="U73" i="1"/>
  <c r="U74" i="1"/>
  <c r="U75" i="1"/>
  <c r="U76" i="1"/>
  <c r="U78" i="1"/>
  <c r="U79" i="1"/>
  <c r="U80" i="1"/>
  <c r="U81" i="1"/>
  <c r="U82" i="1"/>
  <c r="U83" i="1"/>
  <c r="U84" i="1"/>
  <c r="U86" i="1"/>
  <c r="U87" i="1"/>
  <c r="U88" i="1"/>
  <c r="U89" i="1"/>
  <c r="U90" i="1"/>
  <c r="U91" i="1"/>
  <c r="U95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4" i="1"/>
  <c r="U125" i="1"/>
  <c r="U127" i="1"/>
  <c r="U128" i="1"/>
  <c r="U130" i="1"/>
  <c r="U131" i="1"/>
  <c r="U132" i="1"/>
  <c r="U134" i="1"/>
  <c r="U135" i="1"/>
  <c r="U136" i="1"/>
  <c r="U140" i="1"/>
  <c r="U142" i="1"/>
  <c r="U143" i="1"/>
  <c r="U144" i="1"/>
  <c r="U145" i="1"/>
  <c r="U146" i="1"/>
  <c r="U147" i="1"/>
  <c r="U148" i="1"/>
  <c r="U149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6" i="1"/>
  <c r="U197" i="1"/>
  <c r="U198" i="1"/>
  <c r="U199" i="1"/>
  <c r="U200" i="1"/>
  <c r="U201" i="1"/>
  <c r="U202" i="1"/>
  <c r="U203" i="1"/>
  <c r="U204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3" i="1"/>
  <c r="U244" i="1"/>
  <c r="U245" i="1"/>
  <c r="U247" i="1"/>
  <c r="U248" i="1"/>
  <c r="U249" i="1"/>
  <c r="U250" i="1"/>
  <c r="U251" i="1"/>
  <c r="U252" i="1"/>
  <c r="U253" i="1"/>
  <c r="U255" i="1"/>
  <c r="U256" i="1"/>
  <c r="U257" i="1"/>
  <c r="U258" i="1"/>
  <c r="U259" i="1"/>
  <c r="U260" i="1"/>
  <c r="U261" i="1"/>
  <c r="U263" i="1"/>
  <c r="U265" i="1"/>
  <c r="U266" i="1"/>
  <c r="U267" i="1"/>
  <c r="U268" i="1"/>
  <c r="U269" i="1"/>
  <c r="U270" i="1"/>
  <c r="U271" i="1"/>
  <c r="U272" i="1"/>
  <c r="U273" i="1"/>
  <c r="U274" i="1"/>
  <c r="U277" i="1"/>
  <c r="U278" i="1"/>
  <c r="U279" i="1"/>
  <c r="U280" i="1"/>
  <c r="U281" i="1"/>
  <c r="U283" i="1"/>
  <c r="U284" i="1"/>
  <c r="U285" i="1"/>
  <c r="U287" i="1"/>
  <c r="U289" i="1"/>
  <c r="U290" i="1"/>
  <c r="U291" i="1"/>
  <c r="U292" i="1"/>
  <c r="U293" i="1"/>
  <c r="U294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4" i="1"/>
  <c r="U315" i="1"/>
  <c r="U317" i="1"/>
  <c r="U319" i="1"/>
  <c r="U320" i="1"/>
  <c r="U321" i="1"/>
  <c r="U322" i="1"/>
  <c r="U323" i="1"/>
  <c r="U324" i="1"/>
  <c r="U325" i="1"/>
  <c r="U326" i="1"/>
  <c r="U327" i="1"/>
  <c r="U329" i="1"/>
  <c r="U330" i="1"/>
  <c r="U331" i="1"/>
  <c r="U333" i="1"/>
  <c r="U334" i="1"/>
  <c r="U335" i="1"/>
  <c r="U336" i="1"/>
  <c r="U337" i="1"/>
  <c r="U338" i="1"/>
  <c r="U339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8" i="1"/>
  <c r="U379" i="1"/>
  <c r="U380" i="1"/>
  <c r="U381" i="1"/>
  <c r="U382" i="1"/>
  <c r="U383" i="1"/>
  <c r="U384" i="1"/>
  <c r="U385" i="1"/>
  <c r="U387" i="1"/>
  <c r="U388" i="1"/>
  <c r="U389" i="1"/>
  <c r="U390" i="1"/>
  <c r="U391" i="1"/>
  <c r="U393" i="1"/>
  <c r="U394" i="1"/>
  <c r="U395" i="1"/>
  <c r="U397" i="1"/>
  <c r="U398" i="1"/>
  <c r="U400" i="1"/>
  <c r="U401" i="1"/>
  <c r="U405" i="1"/>
  <c r="U406" i="1"/>
  <c r="U408" i="1"/>
  <c r="U410" i="1"/>
  <c r="U411" i="1"/>
  <c r="U412" i="1"/>
  <c r="U413" i="1"/>
  <c r="U414" i="1"/>
  <c r="U415" i="1"/>
  <c r="U417" i="1"/>
  <c r="U419" i="1"/>
  <c r="U420" i="1"/>
  <c r="U421" i="1"/>
  <c r="U422" i="1"/>
  <c r="U424" i="1"/>
  <c r="U427" i="1"/>
  <c r="U428" i="1"/>
  <c r="U429" i="1"/>
  <c r="U430" i="1"/>
  <c r="U431" i="1"/>
  <c r="U432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5" i="1"/>
  <c r="U456" i="1"/>
  <c r="U458" i="1"/>
  <c r="U459" i="1"/>
  <c r="U460" i="1"/>
  <c r="U461" i="1"/>
  <c r="U462" i="1"/>
  <c r="U463" i="1"/>
  <c r="U465" i="1"/>
  <c r="U466" i="1"/>
  <c r="U467" i="1"/>
  <c r="U468" i="1"/>
  <c r="U469" i="1"/>
  <c r="U470" i="1"/>
  <c r="U471" i="1"/>
  <c r="U472" i="1"/>
  <c r="U473" i="1"/>
  <c r="U475" i="1"/>
  <c r="U476" i="1"/>
  <c r="U477" i="1"/>
  <c r="U478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5" i="1"/>
  <c r="U496" i="1"/>
  <c r="U497" i="1"/>
  <c r="U498" i="1"/>
  <c r="U499" i="1"/>
  <c r="U500" i="1"/>
  <c r="U501" i="1"/>
  <c r="U504" i="1"/>
  <c r="U505" i="1"/>
  <c r="U506" i="1"/>
  <c r="U507" i="1"/>
  <c r="U508" i="1"/>
  <c r="U509" i="1"/>
  <c r="U510" i="1"/>
  <c r="U511" i="1"/>
  <c r="U513" i="1"/>
  <c r="U516" i="1"/>
  <c r="U519" i="1"/>
  <c r="U520" i="1"/>
  <c r="U521" i="1"/>
  <c r="U524" i="1"/>
  <c r="U526" i="1"/>
  <c r="U529" i="1"/>
  <c r="U530" i="1"/>
  <c r="U531" i="1"/>
  <c r="U532" i="1"/>
  <c r="U533" i="1"/>
  <c r="U534" i="1"/>
  <c r="U535" i="1"/>
  <c r="U537" i="1"/>
  <c r="U538" i="1"/>
  <c r="U539" i="1"/>
  <c r="U542" i="1"/>
  <c r="U543" i="1"/>
  <c r="U544" i="1"/>
  <c r="U545" i="1"/>
  <c r="U546" i="1"/>
  <c r="U548" i="1"/>
  <c r="U549" i="1"/>
  <c r="U550" i="1"/>
  <c r="U551" i="1"/>
  <c r="U552" i="1"/>
  <c r="U553" i="1"/>
  <c r="U554" i="1"/>
  <c r="U555" i="1"/>
  <c r="U556" i="1"/>
  <c r="U558" i="1"/>
  <c r="U560" i="1"/>
  <c r="U561" i="1"/>
  <c r="U562" i="1"/>
  <c r="U563" i="1"/>
  <c r="U565" i="1"/>
  <c r="U566" i="1"/>
  <c r="U567" i="1"/>
  <c r="U570" i="1"/>
  <c r="U571" i="1"/>
  <c r="U572" i="1"/>
  <c r="U575" i="1"/>
  <c r="U577" i="1"/>
  <c r="U578" i="1"/>
  <c r="U579" i="1"/>
  <c r="U580" i="1"/>
  <c r="U581" i="1"/>
  <c r="U583" i="1"/>
  <c r="U585" i="1"/>
  <c r="U586" i="1"/>
  <c r="U587" i="1"/>
  <c r="U588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3" i="1"/>
  <c r="U604" i="1"/>
  <c r="U606" i="1"/>
  <c r="U607" i="1"/>
  <c r="U608" i="1"/>
  <c r="U609" i="1"/>
  <c r="U610" i="1"/>
  <c r="U611" i="1"/>
  <c r="U612" i="1"/>
  <c r="U615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3" i="1"/>
  <c r="U634" i="1"/>
  <c r="U636" i="1"/>
  <c r="U637" i="1"/>
  <c r="U638" i="1"/>
  <c r="U639" i="1"/>
  <c r="U641" i="1"/>
  <c r="U642" i="1"/>
  <c r="U643" i="1"/>
  <c r="U645" i="1"/>
  <c r="U646" i="1"/>
  <c r="U647" i="1"/>
  <c r="U649" i="1"/>
  <c r="U650" i="1"/>
  <c r="U652" i="1"/>
  <c r="U653" i="1"/>
  <c r="U654" i="1"/>
  <c r="U655" i="1"/>
  <c r="U656" i="1"/>
  <c r="U659" i="1"/>
  <c r="U660" i="1"/>
  <c r="U661" i="1"/>
  <c r="U662" i="1"/>
  <c r="U665" i="1"/>
  <c r="U668" i="1"/>
  <c r="U669" i="1"/>
  <c r="U670" i="1"/>
  <c r="U671" i="1"/>
  <c r="U672" i="1"/>
  <c r="U673" i="1"/>
  <c r="U674" i="1"/>
  <c r="U675" i="1"/>
  <c r="U678" i="1"/>
  <c r="U679" i="1"/>
  <c r="U680" i="1"/>
  <c r="U681" i="1"/>
  <c r="U682" i="1"/>
  <c r="U683" i="1"/>
  <c r="U685" i="1"/>
  <c r="U686" i="1"/>
  <c r="U687" i="1"/>
  <c r="U688" i="1"/>
  <c r="U689" i="1"/>
  <c r="U690" i="1"/>
  <c r="U691" i="1"/>
  <c r="U692" i="1"/>
  <c r="U693" i="1"/>
  <c r="U694" i="1"/>
  <c r="U695" i="1"/>
  <c r="U697" i="1"/>
  <c r="U698" i="1"/>
  <c r="U700" i="1"/>
  <c r="U702" i="1"/>
  <c r="U703" i="1"/>
  <c r="U704" i="1"/>
  <c r="U705" i="1"/>
  <c r="U706" i="1"/>
  <c r="U707" i="1"/>
  <c r="U708" i="1"/>
  <c r="U710" i="1"/>
  <c r="U712" i="1"/>
  <c r="U713" i="1"/>
  <c r="U715" i="1"/>
  <c r="U716" i="1"/>
  <c r="U717" i="1"/>
  <c r="U718" i="1"/>
  <c r="U719" i="1"/>
  <c r="U720" i="1"/>
  <c r="U721" i="1"/>
  <c r="U723" i="1"/>
  <c r="U724" i="1"/>
  <c r="U725" i="1"/>
  <c r="U727" i="1"/>
  <c r="U728" i="1"/>
  <c r="U729" i="1"/>
  <c r="U730" i="1"/>
  <c r="U731" i="1"/>
  <c r="U732" i="1"/>
  <c r="U733" i="1"/>
  <c r="U734" i="1"/>
  <c r="U735" i="1"/>
  <c r="U736" i="1"/>
  <c r="U737" i="1"/>
  <c r="U740" i="1"/>
  <c r="U741" i="1"/>
  <c r="U743" i="1"/>
  <c r="U746" i="1"/>
  <c r="U747" i="1"/>
  <c r="U748" i="1"/>
  <c r="U749" i="1"/>
  <c r="U750" i="1"/>
  <c r="U751" i="1"/>
  <c r="U753" i="1"/>
  <c r="U754" i="1"/>
  <c r="U755" i="1"/>
  <c r="U756" i="1"/>
  <c r="U757" i="1"/>
  <c r="U758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6" i="1"/>
  <c r="U777" i="1"/>
  <c r="U778" i="1"/>
  <c r="U779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1" i="1"/>
  <c r="U822" i="1"/>
  <c r="U823" i="1"/>
  <c r="U824" i="1"/>
  <c r="U825" i="1"/>
  <c r="U826" i="1"/>
  <c r="U827" i="1"/>
  <c r="U828" i="1"/>
  <c r="U829" i="1"/>
  <c r="U831" i="1"/>
  <c r="U832" i="1"/>
  <c r="U835" i="1"/>
  <c r="U836" i="1"/>
  <c r="U838" i="1"/>
  <c r="U839" i="1"/>
  <c r="U840" i="1"/>
  <c r="U842" i="1"/>
  <c r="U843" i="1"/>
  <c r="U844" i="1"/>
  <c r="U845" i="1"/>
  <c r="U848" i="1"/>
  <c r="U849" i="1"/>
  <c r="U850" i="1"/>
  <c r="U852" i="1"/>
  <c r="U853" i="1"/>
  <c r="U855" i="1"/>
  <c r="U857" i="1"/>
  <c r="U858" i="1"/>
  <c r="U860" i="1"/>
  <c r="U861" i="1"/>
  <c r="U862" i="1"/>
  <c r="U863" i="1"/>
  <c r="U865" i="1"/>
  <c r="U867" i="1"/>
  <c r="U870" i="1"/>
  <c r="U872" i="1"/>
  <c r="U873" i="1"/>
  <c r="U874" i="1"/>
  <c r="U875" i="1"/>
  <c r="U876" i="1"/>
  <c r="U877" i="1"/>
  <c r="U880" i="1"/>
  <c r="U881" i="1"/>
  <c r="U883" i="1"/>
  <c r="U884" i="1"/>
  <c r="U885" i="1"/>
  <c r="U886" i="1"/>
  <c r="U888" i="1"/>
  <c r="U889" i="1"/>
  <c r="U890" i="1"/>
  <c r="U891" i="1"/>
  <c r="U892" i="1"/>
  <c r="U893" i="1"/>
  <c r="U894" i="1"/>
  <c r="U895" i="1"/>
  <c r="U896" i="1"/>
  <c r="U897" i="1"/>
  <c r="U900" i="1"/>
  <c r="U901" i="1"/>
  <c r="U903" i="1"/>
  <c r="U904" i="1"/>
  <c r="U905" i="1"/>
  <c r="U906" i="1"/>
  <c r="U907" i="1"/>
  <c r="U908" i="1"/>
  <c r="U909" i="1"/>
  <c r="U910" i="1"/>
  <c r="U911" i="1"/>
  <c r="U913" i="1"/>
  <c r="U914" i="1"/>
  <c r="U915" i="1"/>
  <c r="U916" i="1"/>
  <c r="U917" i="1"/>
  <c r="U918" i="1"/>
  <c r="U919" i="1"/>
  <c r="U921" i="1"/>
  <c r="U923" i="1"/>
  <c r="U924" i="1"/>
  <c r="U926" i="1"/>
  <c r="U928" i="1"/>
  <c r="U930" i="1"/>
  <c r="U932" i="1"/>
  <c r="U933" i="1"/>
  <c r="U935" i="1"/>
  <c r="U936" i="1"/>
  <c r="U939" i="1"/>
  <c r="U940" i="1"/>
  <c r="U941" i="1"/>
  <c r="U942" i="1"/>
  <c r="U943" i="1"/>
  <c r="U945" i="1"/>
  <c r="U947" i="1"/>
  <c r="U948" i="1"/>
  <c r="U949" i="1"/>
  <c r="U951" i="1"/>
  <c r="U953" i="1"/>
  <c r="U955" i="1"/>
  <c r="U956" i="1"/>
  <c r="U959" i="1"/>
  <c r="U960" i="1"/>
  <c r="U961" i="1"/>
  <c r="U962" i="1"/>
  <c r="U963" i="1"/>
  <c r="U964" i="1"/>
  <c r="U966" i="1"/>
  <c r="U967" i="1"/>
  <c r="U968" i="1"/>
  <c r="U969" i="1"/>
  <c r="U970" i="1"/>
  <c r="U973" i="1"/>
  <c r="U974" i="1"/>
  <c r="U976" i="1"/>
  <c r="U977" i="1"/>
  <c r="U978" i="1"/>
  <c r="U979" i="1"/>
  <c r="U980" i="1"/>
  <c r="U981" i="1"/>
  <c r="U982" i="1"/>
  <c r="U983" i="1"/>
  <c r="U986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5" i="1"/>
  <c r="U1006" i="1"/>
  <c r="U1007" i="1"/>
  <c r="U1008" i="1"/>
  <c r="U1010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6" i="1"/>
  <c r="U1027" i="1"/>
  <c r="U1028" i="1"/>
  <c r="U1030" i="1"/>
  <c r="U1032" i="1"/>
  <c r="U1035" i="1"/>
  <c r="U1036" i="1"/>
  <c r="U1040" i="1"/>
  <c r="U1042" i="1"/>
  <c r="U1043" i="1"/>
  <c r="U1044" i="1"/>
  <c r="U1048" i="1"/>
  <c r="U1051" i="1"/>
  <c r="U1052" i="1"/>
  <c r="U1053" i="1"/>
  <c r="U1054" i="1"/>
  <c r="U1055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1" i="1"/>
  <c r="U1072" i="1"/>
  <c r="U1073" i="1"/>
  <c r="U1075" i="1"/>
  <c r="U1077" i="1"/>
  <c r="U1078" i="1"/>
  <c r="U1079" i="1"/>
  <c r="U1081" i="1"/>
  <c r="U1082" i="1"/>
  <c r="U1085" i="1"/>
  <c r="U1087" i="1"/>
  <c r="U1088" i="1"/>
  <c r="U1089" i="1"/>
  <c r="U1091" i="1"/>
  <c r="U1092" i="1"/>
  <c r="U1093" i="1"/>
  <c r="U1094" i="1"/>
  <c r="U1095" i="1"/>
  <c r="U1096" i="1"/>
  <c r="U1097" i="1"/>
  <c r="U1098" i="1"/>
  <c r="U1100" i="1"/>
  <c r="U1101" i="1"/>
  <c r="U1102" i="1"/>
  <c r="U1103" i="1"/>
  <c r="U1104" i="1"/>
  <c r="U1105" i="1"/>
  <c r="U1106" i="1"/>
  <c r="U1107" i="1"/>
  <c r="U1109" i="1"/>
  <c r="U1110" i="1"/>
  <c r="U1111" i="1"/>
  <c r="U1112" i="1"/>
  <c r="U1113" i="1"/>
  <c r="U1114" i="1"/>
  <c r="U1115" i="1"/>
  <c r="U1116" i="1"/>
  <c r="U1118" i="1"/>
  <c r="U1119" i="1"/>
  <c r="U1120" i="1"/>
  <c r="U1123" i="1"/>
  <c r="U1124" i="1"/>
  <c r="U1125" i="1"/>
  <c r="U1126" i="1"/>
  <c r="U1127" i="1"/>
  <c r="U1128" i="1"/>
  <c r="U1129" i="1"/>
  <c r="U1130" i="1"/>
  <c r="U1131" i="1"/>
  <c r="U1132" i="1"/>
  <c r="U1134" i="1"/>
  <c r="U1135" i="1"/>
  <c r="U1136" i="1"/>
  <c r="U1140" i="1"/>
  <c r="U1141" i="1"/>
  <c r="U1143" i="1"/>
  <c r="U1145" i="1"/>
  <c r="U1146" i="1"/>
  <c r="U1147" i="1"/>
  <c r="U1148" i="1"/>
  <c r="U1149" i="1"/>
  <c r="U1150" i="1"/>
  <c r="U1152" i="1"/>
  <c r="U1154" i="1"/>
  <c r="U1155" i="1"/>
  <c r="U1157" i="1"/>
  <c r="U1158" i="1"/>
  <c r="U1160" i="1"/>
  <c r="U1162" i="1"/>
  <c r="U1164" i="1"/>
  <c r="U1167" i="1"/>
  <c r="U1168" i="1"/>
  <c r="U1169" i="1"/>
  <c r="U1170" i="1"/>
  <c r="U1171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5" i="1"/>
  <c r="U1196" i="1"/>
  <c r="U1197" i="1"/>
  <c r="U1199" i="1"/>
  <c r="U1200" i="1"/>
  <c r="U1202" i="1"/>
  <c r="U1204" i="1"/>
  <c r="U1205" i="1"/>
  <c r="U1208" i="1"/>
  <c r="U1211" i="1"/>
  <c r="U1212" i="1"/>
  <c r="U1213" i="1"/>
  <c r="U1214" i="1"/>
  <c r="U1215" i="1"/>
  <c r="U1216" i="1"/>
  <c r="U1217" i="1"/>
  <c r="U1219" i="1"/>
  <c r="U1220" i="1"/>
  <c r="U1221" i="1"/>
  <c r="U1222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6" i="1"/>
  <c r="U1247" i="1"/>
  <c r="U1248" i="1"/>
  <c r="U1249" i="1"/>
  <c r="U1250" i="1"/>
  <c r="U1251" i="1"/>
  <c r="U1252" i="1"/>
  <c r="U1253" i="1"/>
  <c r="U1254" i="1"/>
  <c r="U1255" i="1"/>
  <c r="U1256" i="1"/>
  <c r="U1258" i="1"/>
  <c r="U1260" i="1"/>
  <c r="U1261" i="1"/>
  <c r="U1262" i="1"/>
  <c r="U1263" i="1"/>
  <c r="U1267" i="1"/>
  <c r="U1268" i="1"/>
  <c r="U1269" i="1"/>
  <c r="U1270" i="1"/>
  <c r="U1272" i="1"/>
  <c r="U1273" i="1"/>
  <c r="U1274" i="1"/>
  <c r="U1275" i="1"/>
  <c r="U1276" i="1"/>
  <c r="U1278" i="1"/>
  <c r="U1279" i="1"/>
  <c r="U1280" i="1"/>
  <c r="U1281" i="1"/>
  <c r="U1283" i="1"/>
  <c r="U1284" i="1"/>
  <c r="U1285" i="1"/>
  <c r="U1286" i="1"/>
  <c r="U1288" i="1"/>
  <c r="U1289" i="1"/>
  <c r="U1291" i="1"/>
  <c r="U1292" i="1"/>
  <c r="U1293" i="1"/>
  <c r="U1294" i="1"/>
  <c r="U1295" i="1"/>
  <c r="U1297" i="1"/>
  <c r="U1298" i="1"/>
  <c r="U1299" i="1"/>
  <c r="U1300" i="1"/>
  <c r="U1301" i="1"/>
  <c r="U1302" i="1"/>
  <c r="U1304" i="1"/>
  <c r="U1305" i="1"/>
  <c r="U1307" i="1"/>
  <c r="U1308" i="1"/>
  <c r="U1309" i="1"/>
  <c r="U1310" i="1"/>
  <c r="U1311" i="1"/>
  <c r="U1312" i="1"/>
  <c r="U1313" i="1"/>
  <c r="U1314" i="1"/>
  <c r="U1315" i="1"/>
  <c r="U1317" i="1"/>
  <c r="U1318" i="1"/>
  <c r="U1319" i="1"/>
  <c r="U1321" i="1"/>
  <c r="U1322" i="1"/>
  <c r="U1324" i="1"/>
  <c r="U1325" i="1"/>
  <c r="U1326" i="1"/>
  <c r="U1328" i="1"/>
  <c r="U1329" i="1"/>
  <c r="U1331" i="1"/>
  <c r="U1332" i="1"/>
  <c r="U1333" i="1"/>
  <c r="U1334" i="1"/>
  <c r="U1335" i="1"/>
  <c r="U1336" i="1"/>
  <c r="U1337" i="1"/>
  <c r="U1338" i="1"/>
  <c r="U1339" i="1"/>
  <c r="U1340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1" i="1"/>
  <c r="U1364" i="1"/>
  <c r="U1366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10" i="1"/>
  <c r="U1411" i="1"/>
  <c r="U1412" i="1"/>
  <c r="U1413" i="1"/>
  <c r="U1414" i="1"/>
  <c r="U1417" i="1"/>
  <c r="U1418" i="1"/>
  <c r="U1419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4" i="1"/>
  <c r="U1446" i="1"/>
  <c r="U1447" i="1"/>
  <c r="U1448" i="1"/>
  <c r="U1449" i="1"/>
  <c r="U1451" i="1"/>
  <c r="U1452" i="1"/>
  <c r="U1453" i="1"/>
  <c r="U1455" i="1"/>
  <c r="U1456" i="1"/>
  <c r="U1458" i="1"/>
  <c r="U1459" i="1"/>
  <c r="U1460" i="1"/>
  <c r="U1461" i="1"/>
  <c r="U1463" i="1"/>
  <c r="U1466" i="1"/>
  <c r="U1467" i="1"/>
  <c r="U1468" i="1"/>
  <c r="U1469" i="1"/>
  <c r="U1471" i="1"/>
  <c r="U1472" i="1"/>
  <c r="U1473" i="1"/>
  <c r="U1475" i="1"/>
  <c r="U1476" i="1"/>
  <c r="U1477" i="1"/>
  <c r="U1479" i="1"/>
  <c r="U1481" i="1"/>
  <c r="U1483" i="1"/>
  <c r="U1484" i="1"/>
  <c r="U1485" i="1"/>
  <c r="U1486" i="1"/>
  <c r="U1487" i="1"/>
  <c r="U1489" i="1"/>
  <c r="U1491" i="1"/>
  <c r="U1492" i="1"/>
  <c r="U1493" i="1"/>
  <c r="U1495" i="1"/>
  <c r="U1496" i="1"/>
  <c r="U1497" i="1"/>
  <c r="U1498" i="1"/>
  <c r="U1500" i="1"/>
  <c r="U1502" i="1"/>
  <c r="U1503" i="1"/>
  <c r="U1504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22" i="1"/>
  <c r="U1523" i="1"/>
  <c r="U1524" i="1"/>
  <c r="U1525" i="1"/>
  <c r="U1527" i="1"/>
  <c r="U1528" i="1"/>
  <c r="U1529" i="1"/>
  <c r="U1530" i="1"/>
  <c r="U1532" i="1"/>
  <c r="U1533" i="1"/>
  <c r="U1534" i="1"/>
  <c r="U1535" i="1"/>
  <c r="U1536" i="1"/>
  <c r="U1537" i="1"/>
  <c r="U1539" i="1"/>
  <c r="U1540" i="1"/>
  <c r="U1541" i="1"/>
  <c r="U1543" i="1"/>
  <c r="U1544" i="1"/>
  <c r="U1546" i="1"/>
  <c r="U1547" i="1"/>
  <c r="U1548" i="1"/>
  <c r="U1549" i="1"/>
  <c r="U1550" i="1"/>
  <c r="U1551" i="1"/>
  <c r="U1553" i="1"/>
  <c r="U1554" i="1"/>
  <c r="U1556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4" i="1"/>
  <c r="U1576" i="1"/>
  <c r="U1577" i="1"/>
  <c r="U1578" i="1"/>
  <c r="U1579" i="1"/>
  <c r="U1580" i="1"/>
  <c r="U1581" i="1"/>
  <c r="U1582" i="1"/>
  <c r="U1583" i="1"/>
  <c r="U1584" i="1"/>
  <c r="U1585" i="1"/>
  <c r="U1587" i="1"/>
  <c r="U1588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5" i="1"/>
  <c r="U1606" i="1"/>
  <c r="U1607" i="1"/>
  <c r="U1608" i="1"/>
  <c r="U1610" i="1"/>
  <c r="U1611" i="1"/>
  <c r="U1612" i="1"/>
  <c r="U1613" i="1"/>
  <c r="U1614" i="1"/>
  <c r="U1615" i="1"/>
  <c r="U1616" i="1"/>
  <c r="U1618" i="1"/>
  <c r="U1619" i="1"/>
  <c r="U1620" i="1"/>
  <c r="U1621" i="1"/>
  <c r="U1622" i="1"/>
  <c r="U1623" i="1"/>
  <c r="U1624" i="1"/>
  <c r="U1625" i="1"/>
  <c r="U1626" i="1"/>
  <c r="U1627" i="1"/>
  <c r="U1629" i="1"/>
  <c r="U1630" i="1"/>
  <c r="U1631" i="1"/>
  <c r="U1633" i="1"/>
  <c r="U1634" i="1"/>
  <c r="U1635" i="1"/>
  <c r="U1636" i="1"/>
  <c r="U1637" i="1"/>
  <c r="U1638" i="1"/>
  <c r="U1639" i="1"/>
  <c r="U1640" i="1"/>
  <c r="U1641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60" i="1"/>
  <c r="U1661" i="1"/>
  <c r="U1662" i="1"/>
  <c r="U1663" i="1"/>
  <c r="U1664" i="1"/>
  <c r="U1665" i="1"/>
  <c r="U1666" i="1"/>
  <c r="U1667" i="1"/>
  <c r="U1668" i="1"/>
  <c r="U1669" i="1"/>
  <c r="U1672" i="1"/>
  <c r="U1673" i="1"/>
  <c r="U1674" i="1"/>
  <c r="U1675" i="1"/>
  <c r="U1677" i="1"/>
  <c r="U1678" i="1"/>
  <c r="U1679" i="1"/>
  <c r="U1681" i="1"/>
  <c r="U1682" i="1"/>
  <c r="U1683" i="1"/>
  <c r="U1684" i="1"/>
  <c r="U1685" i="1"/>
  <c r="U1686" i="1"/>
  <c r="U1687" i="1"/>
  <c r="U1688" i="1"/>
  <c r="U1689" i="1"/>
  <c r="U1691" i="1"/>
  <c r="U1692" i="1"/>
  <c r="U1693" i="1"/>
  <c r="U1694" i="1"/>
  <c r="U1695" i="1"/>
  <c r="U1696" i="1"/>
  <c r="U1697" i="1"/>
  <c r="U1698" i="1"/>
  <c r="U1700" i="1"/>
  <c r="U1701" i="1"/>
  <c r="U1702" i="1"/>
  <c r="U1703" i="1"/>
  <c r="U1704" i="1"/>
  <c r="U1705" i="1"/>
  <c r="U1707" i="1"/>
  <c r="U1708" i="1"/>
  <c r="U1709" i="1"/>
  <c r="U1710" i="1"/>
  <c r="U1711" i="1"/>
  <c r="U1714" i="1"/>
  <c r="U1715" i="1"/>
  <c r="U1716" i="1"/>
  <c r="U1717" i="1"/>
  <c r="U1718" i="1"/>
  <c r="U1719" i="1"/>
  <c r="U1721" i="1"/>
  <c r="U1722" i="1"/>
  <c r="U1723" i="1"/>
  <c r="U1725" i="1"/>
  <c r="U1726" i="1"/>
  <c r="U1727" i="1"/>
  <c r="U1728" i="1"/>
  <c r="U1730" i="1"/>
  <c r="U1731" i="1"/>
  <c r="U1732" i="1"/>
  <c r="U1733" i="1"/>
  <c r="U1734" i="1"/>
  <c r="U1735" i="1"/>
  <c r="U1736" i="1"/>
  <c r="U1737" i="1"/>
  <c r="U1738" i="1"/>
  <c r="U1739" i="1"/>
  <c r="U1740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6" i="1"/>
  <c r="U1757" i="1"/>
  <c r="U1758" i="1"/>
  <c r="U1759" i="1"/>
  <c r="U1760" i="1"/>
  <c r="U1761" i="1"/>
  <c r="U1762" i="1"/>
  <c r="U1763" i="1"/>
  <c r="U1764" i="1"/>
  <c r="U1765" i="1"/>
  <c r="U1766" i="1"/>
  <c r="U1768" i="1"/>
  <c r="U1769" i="1"/>
  <c r="U1770" i="1"/>
  <c r="U1771" i="1"/>
  <c r="U1772" i="1"/>
  <c r="U1773" i="1"/>
  <c r="U1774" i="1"/>
  <c r="U1775" i="1"/>
  <c r="U1776" i="1"/>
  <c r="U1777" i="1"/>
  <c r="U1778" i="1"/>
  <c r="U1780" i="1"/>
  <c r="U1783" i="1"/>
  <c r="U1784" i="1"/>
  <c r="U1785" i="1"/>
  <c r="U1787" i="1"/>
  <c r="U1788" i="1"/>
  <c r="U1789" i="1"/>
  <c r="U1790" i="1"/>
  <c r="U1791" i="1"/>
  <c r="U1792" i="1"/>
  <c r="U1794" i="1"/>
  <c r="U1795" i="1"/>
  <c r="U1796" i="1"/>
  <c r="U1797" i="1"/>
  <c r="U1798" i="1"/>
  <c r="U1799" i="1"/>
  <c r="U1800" i="1"/>
  <c r="U1801" i="1"/>
  <c r="U1802" i="1"/>
  <c r="U1803" i="1"/>
  <c r="U1804" i="1"/>
  <c r="U1806" i="1"/>
  <c r="U1807" i="1"/>
  <c r="U1809" i="1"/>
  <c r="U1810" i="1"/>
  <c r="U1811" i="1"/>
  <c r="U1812" i="1"/>
  <c r="U1813" i="1"/>
  <c r="U1814" i="1"/>
  <c r="U1816" i="1"/>
  <c r="U1817" i="1"/>
  <c r="U1819" i="1"/>
  <c r="U1820" i="1"/>
  <c r="U1821" i="1"/>
  <c r="U1823" i="1"/>
  <c r="U1824" i="1"/>
  <c r="U1825" i="1"/>
  <c r="U1826" i="1"/>
  <c r="U1828" i="1"/>
  <c r="U1830" i="1"/>
  <c r="U1833" i="1"/>
  <c r="U1834" i="1"/>
  <c r="U1836" i="1"/>
  <c r="U1837" i="1"/>
  <c r="U1838" i="1"/>
  <c r="U1839" i="1"/>
  <c r="U1840" i="1"/>
  <c r="U1841" i="1"/>
  <c r="U1842" i="1"/>
  <c r="U1843" i="1"/>
  <c r="U1846" i="1"/>
  <c r="U1847" i="1"/>
  <c r="U1848" i="1"/>
  <c r="U1851" i="1"/>
  <c r="U1852" i="1"/>
  <c r="U1853" i="1"/>
  <c r="U1854" i="1"/>
  <c r="U1856" i="1"/>
  <c r="U1857" i="1"/>
  <c r="U1859" i="1"/>
  <c r="U1860" i="1"/>
  <c r="U1862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80" i="1"/>
  <c r="U1881" i="1"/>
  <c r="U1882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2" i="1"/>
  <c r="U1913" i="1"/>
  <c r="U1914" i="1"/>
  <c r="U1915" i="1"/>
  <c r="U1916" i="1"/>
  <c r="U1917" i="1"/>
  <c r="U1918" i="1"/>
  <c r="U1919" i="1"/>
  <c r="U1920" i="1"/>
  <c r="U1921" i="1"/>
  <c r="U1922" i="1"/>
  <c r="U1924" i="1"/>
  <c r="U1926" i="1"/>
  <c r="U1927" i="1"/>
  <c r="U1928" i="1"/>
  <c r="U1930" i="1"/>
  <c r="U1931" i="1"/>
  <c r="U1932" i="1"/>
  <c r="U1934" i="1"/>
  <c r="U1935" i="1"/>
  <c r="U1936" i="1"/>
  <c r="U1937" i="1"/>
  <c r="U1938" i="1"/>
  <c r="U1939" i="1"/>
  <c r="U1940" i="1"/>
  <c r="U1941" i="1"/>
  <c r="U1942" i="1"/>
  <c r="U1944" i="1"/>
  <c r="U1946" i="1"/>
  <c r="U1947" i="1"/>
  <c r="U1948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1" i="1"/>
  <c r="U1982" i="1"/>
  <c r="U1983" i="1"/>
  <c r="U1984" i="1"/>
  <c r="U1985" i="1"/>
  <c r="U1986" i="1"/>
  <c r="U1987" i="1"/>
  <c r="U1988" i="1"/>
  <c r="U1989" i="1"/>
  <c r="U1990" i="1"/>
  <c r="U1992" i="1"/>
  <c r="U1993" i="1"/>
  <c r="U1994" i="1"/>
  <c r="U1995" i="1"/>
  <c r="U1996" i="1"/>
  <c r="U1997" i="1"/>
  <c r="U1999" i="1"/>
  <c r="U2000" i="1"/>
  <c r="U2001" i="1"/>
  <c r="S2" i="1"/>
  <c r="T2" i="1"/>
  <c r="T4" i="1"/>
  <c r="T5" i="1"/>
  <c r="T7" i="1"/>
  <c r="T8" i="1"/>
  <c r="T10" i="1"/>
  <c r="T11" i="1"/>
  <c r="T12" i="1"/>
  <c r="T14" i="1"/>
  <c r="T15" i="1"/>
  <c r="T16" i="1"/>
  <c r="T19" i="1"/>
  <c r="T21" i="1"/>
  <c r="T22" i="1"/>
  <c r="T23" i="1"/>
  <c r="T24" i="1"/>
  <c r="T25" i="1"/>
  <c r="T26" i="1"/>
  <c r="T27" i="1"/>
  <c r="T28" i="1"/>
  <c r="T29" i="1"/>
  <c r="T30" i="1"/>
  <c r="T32" i="1"/>
  <c r="T33" i="1"/>
  <c r="T34" i="1"/>
  <c r="T35" i="1"/>
  <c r="T37" i="1"/>
  <c r="T38" i="1"/>
  <c r="T39" i="1"/>
  <c r="T41" i="1"/>
  <c r="T42" i="1"/>
  <c r="T45" i="1"/>
  <c r="T46" i="1"/>
  <c r="T47" i="1"/>
  <c r="T48" i="1"/>
  <c r="T49" i="1"/>
  <c r="T50" i="1"/>
  <c r="T51" i="1"/>
  <c r="T52" i="1"/>
  <c r="T53" i="1"/>
  <c r="T55" i="1"/>
  <c r="T56" i="1"/>
  <c r="T57" i="1"/>
  <c r="T58" i="1"/>
  <c r="T59" i="1"/>
  <c r="T60" i="1"/>
  <c r="T61" i="1"/>
  <c r="T62" i="1"/>
  <c r="T63" i="1"/>
  <c r="T65" i="1"/>
  <c r="T66" i="1"/>
  <c r="T67" i="1"/>
  <c r="T68" i="1"/>
  <c r="T71" i="1"/>
  <c r="T72" i="1"/>
  <c r="T73" i="1"/>
  <c r="T74" i="1"/>
  <c r="T75" i="1"/>
  <c r="T76" i="1"/>
  <c r="T78" i="1"/>
  <c r="T79" i="1"/>
  <c r="T80" i="1"/>
  <c r="T81" i="1"/>
  <c r="T82" i="1"/>
  <c r="T83" i="1"/>
  <c r="T84" i="1"/>
  <c r="T86" i="1"/>
  <c r="T87" i="1"/>
  <c r="T88" i="1"/>
  <c r="T89" i="1"/>
  <c r="T90" i="1"/>
  <c r="T91" i="1"/>
  <c r="T95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4" i="1"/>
  <c r="T125" i="1"/>
  <c r="T128" i="1"/>
  <c r="T130" i="1"/>
  <c r="T131" i="1"/>
  <c r="T132" i="1"/>
  <c r="T134" i="1"/>
  <c r="T135" i="1"/>
  <c r="T136" i="1"/>
  <c r="T140" i="1"/>
  <c r="T142" i="1"/>
  <c r="T143" i="1"/>
  <c r="T144" i="1"/>
  <c r="T145" i="1"/>
  <c r="T146" i="1"/>
  <c r="T147" i="1"/>
  <c r="T148" i="1"/>
  <c r="T149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1" i="1"/>
  <c r="T182" i="1"/>
  <c r="T183" i="1"/>
  <c r="T184" i="1"/>
  <c r="T185" i="1"/>
  <c r="T186" i="1"/>
  <c r="T187" i="1"/>
  <c r="T188" i="1"/>
  <c r="T189" i="1"/>
  <c r="T191" i="1"/>
  <c r="T192" i="1"/>
  <c r="T193" i="1"/>
  <c r="T196" i="1"/>
  <c r="T197" i="1"/>
  <c r="T198" i="1"/>
  <c r="T199" i="1"/>
  <c r="T200" i="1"/>
  <c r="T201" i="1"/>
  <c r="T202" i="1"/>
  <c r="T203" i="1"/>
  <c r="T204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3" i="1"/>
  <c r="T244" i="1"/>
  <c r="T245" i="1"/>
  <c r="T247" i="1"/>
  <c r="T248" i="1"/>
  <c r="T249" i="1"/>
  <c r="T250" i="1"/>
  <c r="T251" i="1"/>
  <c r="T252" i="1"/>
  <c r="T253" i="1"/>
  <c r="T255" i="1"/>
  <c r="T256" i="1"/>
  <c r="T257" i="1"/>
  <c r="T258" i="1"/>
  <c r="T259" i="1"/>
  <c r="T260" i="1"/>
  <c r="T261" i="1"/>
  <c r="T263" i="1"/>
  <c r="T265" i="1"/>
  <c r="T266" i="1"/>
  <c r="T267" i="1"/>
  <c r="T268" i="1"/>
  <c r="T269" i="1"/>
  <c r="T270" i="1"/>
  <c r="T271" i="1"/>
  <c r="T272" i="1"/>
  <c r="T273" i="1"/>
  <c r="T274" i="1"/>
  <c r="T277" i="1"/>
  <c r="T278" i="1"/>
  <c r="T279" i="1"/>
  <c r="T280" i="1"/>
  <c r="T281" i="1"/>
  <c r="T283" i="1"/>
  <c r="T284" i="1"/>
  <c r="T285" i="1"/>
  <c r="T287" i="1"/>
  <c r="T289" i="1"/>
  <c r="T290" i="1"/>
  <c r="T291" i="1"/>
  <c r="T292" i="1"/>
  <c r="T293" i="1"/>
  <c r="T294" i="1"/>
  <c r="T296" i="1"/>
  <c r="T297" i="1"/>
  <c r="T298" i="1"/>
  <c r="T299" i="1"/>
  <c r="T300" i="1"/>
  <c r="T301" i="1"/>
  <c r="T303" i="1"/>
  <c r="T304" i="1"/>
  <c r="T305" i="1"/>
  <c r="T306" i="1"/>
  <c r="T307" i="1"/>
  <c r="T308" i="1"/>
  <c r="T309" i="1"/>
  <c r="T310" i="1"/>
  <c r="T311" i="1"/>
  <c r="T312" i="1"/>
  <c r="T314" i="1"/>
  <c r="T315" i="1"/>
  <c r="T317" i="1"/>
  <c r="T319" i="1"/>
  <c r="T320" i="1"/>
  <c r="T321" i="1"/>
  <c r="T322" i="1"/>
  <c r="T323" i="1"/>
  <c r="T324" i="1"/>
  <c r="T325" i="1"/>
  <c r="T326" i="1"/>
  <c r="T327" i="1"/>
  <c r="T329" i="1"/>
  <c r="T330" i="1"/>
  <c r="T331" i="1"/>
  <c r="T333" i="1"/>
  <c r="T334" i="1"/>
  <c r="T336" i="1"/>
  <c r="T337" i="1"/>
  <c r="T338" i="1"/>
  <c r="T339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8" i="1"/>
  <c r="T379" i="1"/>
  <c r="T380" i="1"/>
  <c r="T381" i="1"/>
  <c r="T382" i="1"/>
  <c r="T383" i="1"/>
  <c r="T384" i="1"/>
  <c r="T385" i="1"/>
  <c r="T387" i="1"/>
  <c r="T388" i="1"/>
  <c r="T389" i="1"/>
  <c r="T390" i="1"/>
  <c r="T391" i="1"/>
  <c r="T393" i="1"/>
  <c r="T394" i="1"/>
  <c r="T395" i="1"/>
  <c r="T397" i="1"/>
  <c r="T398" i="1"/>
  <c r="T400" i="1"/>
  <c r="T401" i="1"/>
  <c r="T405" i="1"/>
  <c r="T406" i="1"/>
  <c r="T408" i="1"/>
  <c r="T410" i="1"/>
  <c r="T411" i="1"/>
  <c r="T412" i="1"/>
  <c r="T413" i="1"/>
  <c r="T414" i="1"/>
  <c r="T415" i="1"/>
  <c r="T417" i="1"/>
  <c r="T419" i="1"/>
  <c r="T420" i="1"/>
  <c r="T421" i="1"/>
  <c r="T422" i="1"/>
  <c r="T424" i="1"/>
  <c r="T427" i="1"/>
  <c r="T428" i="1"/>
  <c r="T429" i="1"/>
  <c r="T430" i="1"/>
  <c r="T431" i="1"/>
  <c r="T432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5" i="1"/>
  <c r="T456" i="1"/>
  <c r="T458" i="1"/>
  <c r="T459" i="1"/>
  <c r="T460" i="1"/>
  <c r="T461" i="1"/>
  <c r="T462" i="1"/>
  <c r="T463" i="1"/>
  <c r="T465" i="1"/>
  <c r="T466" i="1"/>
  <c r="T467" i="1"/>
  <c r="T468" i="1"/>
  <c r="T469" i="1"/>
  <c r="T470" i="1"/>
  <c r="T471" i="1"/>
  <c r="T472" i="1"/>
  <c r="T473" i="1"/>
  <c r="T475" i="1"/>
  <c r="T476" i="1"/>
  <c r="T477" i="1"/>
  <c r="T478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5" i="1"/>
  <c r="T496" i="1"/>
  <c r="T497" i="1"/>
  <c r="T498" i="1"/>
  <c r="T499" i="1"/>
  <c r="T500" i="1"/>
  <c r="T501" i="1"/>
  <c r="T504" i="1"/>
  <c r="T505" i="1"/>
  <c r="T506" i="1"/>
  <c r="T507" i="1"/>
  <c r="T508" i="1"/>
  <c r="T509" i="1"/>
  <c r="T510" i="1"/>
  <c r="T511" i="1"/>
  <c r="T513" i="1"/>
  <c r="T516" i="1"/>
  <c r="T519" i="1"/>
  <c r="T520" i="1"/>
  <c r="T521" i="1"/>
  <c r="T524" i="1"/>
  <c r="T526" i="1"/>
  <c r="T529" i="1"/>
  <c r="T530" i="1"/>
  <c r="T531" i="1"/>
  <c r="T532" i="1"/>
  <c r="T533" i="1"/>
  <c r="T534" i="1"/>
  <c r="T535" i="1"/>
  <c r="T537" i="1"/>
  <c r="T538" i="1"/>
  <c r="T539" i="1"/>
  <c r="T542" i="1"/>
  <c r="T543" i="1"/>
  <c r="T544" i="1"/>
  <c r="T545" i="1"/>
  <c r="T546" i="1"/>
  <c r="T548" i="1"/>
  <c r="T549" i="1"/>
  <c r="T550" i="1"/>
  <c r="T551" i="1"/>
  <c r="T552" i="1"/>
  <c r="T553" i="1"/>
  <c r="T554" i="1"/>
  <c r="T555" i="1"/>
  <c r="T556" i="1"/>
  <c r="T558" i="1"/>
  <c r="T560" i="1"/>
  <c r="T561" i="1"/>
  <c r="T562" i="1"/>
  <c r="T563" i="1"/>
  <c r="T565" i="1"/>
  <c r="T566" i="1"/>
  <c r="T567" i="1"/>
  <c r="T570" i="1"/>
  <c r="T571" i="1"/>
  <c r="T572" i="1"/>
  <c r="T575" i="1"/>
  <c r="T577" i="1"/>
  <c r="T578" i="1"/>
  <c r="T579" i="1"/>
  <c r="T580" i="1"/>
  <c r="T581" i="1"/>
  <c r="T583" i="1"/>
  <c r="T585" i="1"/>
  <c r="T586" i="1"/>
  <c r="T587" i="1"/>
  <c r="T588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3" i="1"/>
  <c r="T604" i="1"/>
  <c r="T606" i="1"/>
  <c r="T607" i="1"/>
  <c r="T608" i="1"/>
  <c r="T609" i="1"/>
  <c r="T610" i="1"/>
  <c r="T611" i="1"/>
  <c r="T612" i="1"/>
  <c r="T615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3" i="1"/>
  <c r="T634" i="1"/>
  <c r="T636" i="1"/>
  <c r="T637" i="1"/>
  <c r="T638" i="1"/>
  <c r="T639" i="1"/>
  <c r="T641" i="1"/>
  <c r="T642" i="1"/>
  <c r="T643" i="1"/>
  <c r="T645" i="1"/>
  <c r="T646" i="1"/>
  <c r="T647" i="1"/>
  <c r="T649" i="1"/>
  <c r="T650" i="1"/>
  <c r="T652" i="1"/>
  <c r="T653" i="1"/>
  <c r="T654" i="1"/>
  <c r="T655" i="1"/>
  <c r="T656" i="1"/>
  <c r="T659" i="1"/>
  <c r="T660" i="1"/>
  <c r="T661" i="1"/>
  <c r="T662" i="1"/>
  <c r="T665" i="1"/>
  <c r="T668" i="1"/>
  <c r="T669" i="1"/>
  <c r="T670" i="1"/>
  <c r="T671" i="1"/>
  <c r="T672" i="1"/>
  <c r="T673" i="1"/>
  <c r="T674" i="1"/>
  <c r="T675" i="1"/>
  <c r="T678" i="1"/>
  <c r="T679" i="1"/>
  <c r="T680" i="1"/>
  <c r="T681" i="1"/>
  <c r="T682" i="1"/>
  <c r="T683" i="1"/>
  <c r="T685" i="1"/>
  <c r="T686" i="1"/>
  <c r="T687" i="1"/>
  <c r="T689" i="1"/>
  <c r="T690" i="1"/>
  <c r="T691" i="1"/>
  <c r="T692" i="1"/>
  <c r="T693" i="1"/>
  <c r="T694" i="1"/>
  <c r="T695" i="1"/>
  <c r="T697" i="1"/>
  <c r="T698" i="1"/>
  <c r="T700" i="1"/>
  <c r="T702" i="1"/>
  <c r="T703" i="1"/>
  <c r="T704" i="1"/>
  <c r="T705" i="1"/>
  <c r="T706" i="1"/>
  <c r="T707" i="1"/>
  <c r="T708" i="1"/>
  <c r="T710" i="1"/>
  <c r="T712" i="1"/>
  <c r="T713" i="1"/>
  <c r="T715" i="1"/>
  <c r="T716" i="1"/>
  <c r="T717" i="1"/>
  <c r="T718" i="1"/>
  <c r="T723" i="1"/>
  <c r="T724" i="1"/>
  <c r="T725" i="1"/>
  <c r="T727" i="1"/>
  <c r="T728" i="1"/>
  <c r="T729" i="1"/>
  <c r="T730" i="1"/>
  <c r="T731" i="1"/>
  <c r="T732" i="1"/>
  <c r="T733" i="1"/>
  <c r="T734" i="1"/>
  <c r="T735" i="1"/>
  <c r="T736" i="1"/>
  <c r="T737" i="1"/>
  <c r="T740" i="1"/>
  <c r="T741" i="1"/>
  <c r="T743" i="1"/>
  <c r="T746" i="1"/>
  <c r="T747" i="1"/>
  <c r="T749" i="1"/>
  <c r="T750" i="1"/>
  <c r="T751" i="1"/>
  <c r="T753" i="1"/>
  <c r="T754" i="1"/>
  <c r="T755" i="1"/>
  <c r="T756" i="1"/>
  <c r="T757" i="1"/>
  <c r="T758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6" i="1"/>
  <c r="T777" i="1"/>
  <c r="T778" i="1"/>
  <c r="T779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800" i="1"/>
  <c r="T801" i="1"/>
  <c r="T802" i="1"/>
  <c r="T803" i="1"/>
  <c r="T804" i="1"/>
  <c r="T805" i="1"/>
  <c r="T806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1" i="1"/>
  <c r="T822" i="1"/>
  <c r="T823" i="1"/>
  <c r="T824" i="1"/>
  <c r="T825" i="1"/>
  <c r="T826" i="1"/>
  <c r="T827" i="1"/>
  <c r="T828" i="1"/>
  <c r="T829" i="1"/>
  <c r="T831" i="1"/>
  <c r="T832" i="1"/>
  <c r="T835" i="1"/>
  <c r="T836" i="1"/>
  <c r="T838" i="1"/>
  <c r="T839" i="1"/>
  <c r="T840" i="1"/>
  <c r="T842" i="1"/>
  <c r="T843" i="1"/>
  <c r="T844" i="1"/>
  <c r="T845" i="1"/>
  <c r="T848" i="1"/>
  <c r="T849" i="1"/>
  <c r="T850" i="1"/>
  <c r="T852" i="1"/>
  <c r="T853" i="1"/>
  <c r="T855" i="1"/>
  <c r="T857" i="1"/>
  <c r="T858" i="1"/>
  <c r="T860" i="1"/>
  <c r="T861" i="1"/>
  <c r="T862" i="1"/>
  <c r="T863" i="1"/>
  <c r="T865" i="1"/>
  <c r="T867" i="1"/>
  <c r="T870" i="1"/>
  <c r="T872" i="1"/>
  <c r="T873" i="1"/>
  <c r="T874" i="1"/>
  <c r="T875" i="1"/>
  <c r="T876" i="1"/>
  <c r="T877" i="1"/>
  <c r="T880" i="1"/>
  <c r="T881" i="1"/>
  <c r="T883" i="1"/>
  <c r="T884" i="1"/>
  <c r="T885" i="1"/>
  <c r="T886" i="1"/>
  <c r="T888" i="1"/>
  <c r="T889" i="1"/>
  <c r="T890" i="1"/>
  <c r="T891" i="1"/>
  <c r="T892" i="1"/>
  <c r="T893" i="1"/>
  <c r="T894" i="1"/>
  <c r="T895" i="1"/>
  <c r="T896" i="1"/>
  <c r="T897" i="1"/>
  <c r="T900" i="1"/>
  <c r="T901" i="1"/>
  <c r="T903" i="1"/>
  <c r="T904" i="1"/>
  <c r="T905" i="1"/>
  <c r="T906" i="1"/>
  <c r="T907" i="1"/>
  <c r="T908" i="1"/>
  <c r="T909" i="1"/>
  <c r="T910" i="1"/>
  <c r="T911" i="1"/>
  <c r="T913" i="1"/>
  <c r="T914" i="1"/>
  <c r="T915" i="1"/>
  <c r="T916" i="1"/>
  <c r="T917" i="1"/>
  <c r="T918" i="1"/>
  <c r="T919" i="1"/>
  <c r="T921" i="1"/>
  <c r="T923" i="1"/>
  <c r="T924" i="1"/>
  <c r="T926" i="1"/>
  <c r="T928" i="1"/>
  <c r="T930" i="1"/>
  <c r="T932" i="1"/>
  <c r="T933" i="1"/>
  <c r="T935" i="1"/>
  <c r="T936" i="1"/>
  <c r="T939" i="1"/>
  <c r="T940" i="1"/>
  <c r="T941" i="1"/>
  <c r="T942" i="1"/>
  <c r="T943" i="1"/>
  <c r="T945" i="1"/>
  <c r="T947" i="1"/>
  <c r="T948" i="1"/>
  <c r="T949" i="1"/>
  <c r="T951" i="1"/>
  <c r="T953" i="1"/>
  <c r="T955" i="1"/>
  <c r="T956" i="1"/>
  <c r="T959" i="1"/>
  <c r="T960" i="1"/>
  <c r="T961" i="1"/>
  <c r="T962" i="1"/>
  <c r="T963" i="1"/>
  <c r="T964" i="1"/>
  <c r="T966" i="1"/>
  <c r="T967" i="1"/>
  <c r="T968" i="1"/>
  <c r="T969" i="1"/>
  <c r="T970" i="1"/>
  <c r="T973" i="1"/>
  <c r="T974" i="1"/>
  <c r="T976" i="1"/>
  <c r="T977" i="1"/>
  <c r="T978" i="1"/>
  <c r="T979" i="1"/>
  <c r="T980" i="1"/>
  <c r="T981" i="1"/>
  <c r="T982" i="1"/>
  <c r="T983" i="1"/>
  <c r="T986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5" i="1"/>
  <c r="T1006" i="1"/>
  <c r="T1007" i="1"/>
  <c r="T1008" i="1"/>
  <c r="T1010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6" i="1"/>
  <c r="T1027" i="1"/>
  <c r="T1028" i="1"/>
  <c r="T1030" i="1"/>
  <c r="T1032" i="1"/>
  <c r="T1035" i="1"/>
  <c r="T1036" i="1"/>
  <c r="T1040" i="1"/>
  <c r="T1042" i="1"/>
  <c r="T1043" i="1"/>
  <c r="T1044" i="1"/>
  <c r="T1048" i="1"/>
  <c r="T1051" i="1"/>
  <c r="T1052" i="1"/>
  <c r="T1053" i="1"/>
  <c r="T1054" i="1"/>
  <c r="T1055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1" i="1"/>
  <c r="T1072" i="1"/>
  <c r="T1073" i="1"/>
  <c r="T1075" i="1"/>
  <c r="T1077" i="1"/>
  <c r="T1078" i="1"/>
  <c r="T1079" i="1"/>
  <c r="T1081" i="1"/>
  <c r="T1082" i="1"/>
  <c r="T1085" i="1"/>
  <c r="T1087" i="1"/>
  <c r="T1088" i="1"/>
  <c r="T1089" i="1"/>
  <c r="T1091" i="1"/>
  <c r="T1092" i="1"/>
  <c r="T1093" i="1"/>
  <c r="T1094" i="1"/>
  <c r="T1095" i="1"/>
  <c r="T1096" i="1"/>
  <c r="T1097" i="1"/>
  <c r="T1098" i="1"/>
  <c r="T1100" i="1"/>
  <c r="T1101" i="1"/>
  <c r="T1102" i="1"/>
  <c r="T1104" i="1"/>
  <c r="T1106" i="1"/>
  <c r="T1107" i="1"/>
  <c r="T1109" i="1"/>
  <c r="T1110" i="1"/>
  <c r="T1111" i="1"/>
  <c r="T1112" i="1"/>
  <c r="T1113" i="1"/>
  <c r="T1114" i="1"/>
  <c r="T1115" i="1"/>
  <c r="T1116" i="1"/>
  <c r="T1118" i="1"/>
  <c r="T1119" i="1"/>
  <c r="T1120" i="1"/>
  <c r="T1123" i="1"/>
  <c r="T1124" i="1"/>
  <c r="T1125" i="1"/>
  <c r="T1126" i="1"/>
  <c r="T1127" i="1"/>
  <c r="T1128" i="1"/>
  <c r="T1129" i="1"/>
  <c r="T1130" i="1"/>
  <c r="T1131" i="1"/>
  <c r="T1132" i="1"/>
  <c r="T1134" i="1"/>
  <c r="T1135" i="1"/>
  <c r="T1136" i="1"/>
  <c r="T1140" i="1"/>
  <c r="T1141" i="1"/>
  <c r="T1143" i="1"/>
  <c r="T1145" i="1"/>
  <c r="T1146" i="1"/>
  <c r="T1147" i="1"/>
  <c r="T1148" i="1"/>
  <c r="T1149" i="1"/>
  <c r="T1150" i="1"/>
  <c r="T1152" i="1"/>
  <c r="T1154" i="1"/>
  <c r="T1155" i="1"/>
  <c r="T1157" i="1"/>
  <c r="T1158" i="1"/>
  <c r="T1160" i="1"/>
  <c r="T1162" i="1"/>
  <c r="T1164" i="1"/>
  <c r="T1167" i="1"/>
  <c r="T1168" i="1"/>
  <c r="T1169" i="1"/>
  <c r="T1170" i="1"/>
  <c r="T1171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5" i="1"/>
  <c r="T1196" i="1"/>
  <c r="T1197" i="1"/>
  <c r="T1199" i="1"/>
  <c r="T1200" i="1"/>
  <c r="T1202" i="1"/>
  <c r="T1204" i="1"/>
  <c r="T1205" i="1"/>
  <c r="T1208" i="1"/>
  <c r="T1211" i="1"/>
  <c r="T1212" i="1"/>
  <c r="T1213" i="1"/>
  <c r="T1214" i="1"/>
  <c r="T1215" i="1"/>
  <c r="T1216" i="1"/>
  <c r="T1217" i="1"/>
  <c r="T1219" i="1"/>
  <c r="T1220" i="1"/>
  <c r="T1221" i="1"/>
  <c r="T1222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6" i="1"/>
  <c r="T1247" i="1"/>
  <c r="T1248" i="1"/>
  <c r="T1249" i="1"/>
  <c r="T1250" i="1"/>
  <c r="T1251" i="1"/>
  <c r="T1252" i="1"/>
  <c r="T1253" i="1"/>
  <c r="T1254" i="1"/>
  <c r="T1255" i="1"/>
  <c r="T1256" i="1"/>
  <c r="T1258" i="1"/>
  <c r="T1260" i="1"/>
  <c r="T1261" i="1"/>
  <c r="T1262" i="1"/>
  <c r="T1263" i="1"/>
  <c r="T1267" i="1"/>
  <c r="T1268" i="1"/>
  <c r="T1269" i="1"/>
  <c r="T1270" i="1"/>
  <c r="T1272" i="1"/>
  <c r="T1273" i="1"/>
  <c r="T1274" i="1"/>
  <c r="T1275" i="1"/>
  <c r="T1276" i="1"/>
  <c r="T1278" i="1"/>
  <c r="T1279" i="1"/>
  <c r="T1280" i="1"/>
  <c r="T1281" i="1"/>
  <c r="T1283" i="1"/>
  <c r="T1284" i="1"/>
  <c r="T1285" i="1"/>
  <c r="T1286" i="1"/>
  <c r="T1288" i="1"/>
  <c r="T1289" i="1"/>
  <c r="T1291" i="1"/>
  <c r="T1292" i="1"/>
  <c r="T1293" i="1"/>
  <c r="T1294" i="1"/>
  <c r="T1295" i="1"/>
  <c r="T1297" i="1"/>
  <c r="T1298" i="1"/>
  <c r="T1299" i="1"/>
  <c r="T1300" i="1"/>
  <c r="T1301" i="1"/>
  <c r="T1302" i="1"/>
  <c r="T1304" i="1"/>
  <c r="T1305" i="1"/>
  <c r="T1307" i="1"/>
  <c r="T1308" i="1"/>
  <c r="T1309" i="1"/>
  <c r="T1310" i="1"/>
  <c r="T1311" i="1"/>
  <c r="T1312" i="1"/>
  <c r="T1314" i="1"/>
  <c r="T1315" i="1"/>
  <c r="T1317" i="1"/>
  <c r="T1318" i="1"/>
  <c r="T1319" i="1"/>
  <c r="T1321" i="1"/>
  <c r="T1322" i="1"/>
  <c r="T1325" i="1"/>
  <c r="T1326" i="1"/>
  <c r="T1328" i="1"/>
  <c r="T1329" i="1"/>
  <c r="T1331" i="1"/>
  <c r="T1332" i="1"/>
  <c r="T1333" i="1"/>
  <c r="T1334" i="1"/>
  <c r="T1335" i="1"/>
  <c r="T1336" i="1"/>
  <c r="T1337" i="1"/>
  <c r="T1338" i="1"/>
  <c r="T1339" i="1"/>
  <c r="T1340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1" i="1"/>
  <c r="T1364" i="1"/>
  <c r="T1366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10" i="1"/>
  <c r="T1411" i="1"/>
  <c r="T1412" i="1"/>
  <c r="T1413" i="1"/>
  <c r="T1414" i="1"/>
  <c r="T1417" i="1"/>
  <c r="T1418" i="1"/>
  <c r="T1419" i="1"/>
  <c r="T1421" i="1"/>
  <c r="T1422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4" i="1"/>
  <c r="T1446" i="1"/>
  <c r="T1447" i="1"/>
  <c r="T1448" i="1"/>
  <c r="T1449" i="1"/>
  <c r="T1451" i="1"/>
  <c r="T1452" i="1"/>
  <c r="T1453" i="1"/>
  <c r="T1455" i="1"/>
  <c r="T1456" i="1"/>
  <c r="T1458" i="1"/>
  <c r="T1459" i="1"/>
  <c r="T1460" i="1"/>
  <c r="T1461" i="1"/>
  <c r="T1463" i="1"/>
  <c r="T1466" i="1"/>
  <c r="T1467" i="1"/>
  <c r="T1468" i="1"/>
  <c r="T1469" i="1"/>
  <c r="T1471" i="1"/>
  <c r="T1472" i="1"/>
  <c r="T1473" i="1"/>
  <c r="T1475" i="1"/>
  <c r="T1476" i="1"/>
  <c r="T1477" i="1"/>
  <c r="T1479" i="1"/>
  <c r="T1481" i="1"/>
  <c r="T1483" i="1"/>
  <c r="T1484" i="1"/>
  <c r="T1485" i="1"/>
  <c r="T1486" i="1"/>
  <c r="T1487" i="1"/>
  <c r="T1489" i="1"/>
  <c r="T1491" i="1"/>
  <c r="T1492" i="1"/>
  <c r="T1493" i="1"/>
  <c r="T1495" i="1"/>
  <c r="T1496" i="1"/>
  <c r="T1497" i="1"/>
  <c r="T1498" i="1"/>
  <c r="T1500" i="1"/>
  <c r="T1502" i="1"/>
  <c r="T1503" i="1"/>
  <c r="T1504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20" i="1"/>
  <c r="T1522" i="1"/>
  <c r="T1523" i="1"/>
  <c r="T1524" i="1"/>
  <c r="T1525" i="1"/>
  <c r="T1527" i="1"/>
  <c r="T1528" i="1"/>
  <c r="T1529" i="1"/>
  <c r="T1530" i="1"/>
  <c r="T1532" i="1"/>
  <c r="T1533" i="1"/>
  <c r="T1534" i="1"/>
  <c r="T1535" i="1"/>
  <c r="T1536" i="1"/>
  <c r="T1537" i="1"/>
  <c r="T1539" i="1"/>
  <c r="T1540" i="1"/>
  <c r="T1541" i="1"/>
  <c r="T1543" i="1"/>
  <c r="T1544" i="1"/>
  <c r="T1546" i="1"/>
  <c r="T1547" i="1"/>
  <c r="T1548" i="1"/>
  <c r="T1549" i="1"/>
  <c r="T1550" i="1"/>
  <c r="T1551" i="1"/>
  <c r="T1553" i="1"/>
  <c r="T1554" i="1"/>
  <c r="T1556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4" i="1"/>
  <c r="T1576" i="1"/>
  <c r="T1577" i="1"/>
  <c r="T1578" i="1"/>
  <c r="T1579" i="1"/>
  <c r="T1580" i="1"/>
  <c r="T1581" i="1"/>
  <c r="T1582" i="1"/>
  <c r="T1583" i="1"/>
  <c r="T1584" i="1"/>
  <c r="T1585" i="1"/>
  <c r="T1587" i="1"/>
  <c r="T1588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5" i="1"/>
  <c r="T1606" i="1"/>
  <c r="T1607" i="1"/>
  <c r="T1608" i="1"/>
  <c r="T1610" i="1"/>
  <c r="T1611" i="1"/>
  <c r="T1612" i="1"/>
  <c r="T1613" i="1"/>
  <c r="T1614" i="1"/>
  <c r="T1615" i="1"/>
  <c r="T1616" i="1"/>
  <c r="T1618" i="1"/>
  <c r="T1619" i="1"/>
  <c r="T1620" i="1"/>
  <c r="T1621" i="1"/>
  <c r="T1622" i="1"/>
  <c r="T1623" i="1"/>
  <c r="T1624" i="1"/>
  <c r="T1625" i="1"/>
  <c r="T1626" i="1"/>
  <c r="T1627" i="1"/>
  <c r="T1629" i="1"/>
  <c r="T1630" i="1"/>
  <c r="T1631" i="1"/>
  <c r="T1632" i="1"/>
  <c r="T1634" i="1"/>
  <c r="T1635" i="1"/>
  <c r="T1636" i="1"/>
  <c r="T1637" i="1"/>
  <c r="T1638" i="1"/>
  <c r="T1639" i="1"/>
  <c r="T1640" i="1"/>
  <c r="T1641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60" i="1"/>
  <c r="T1661" i="1"/>
  <c r="T1662" i="1"/>
  <c r="T1663" i="1"/>
  <c r="T1664" i="1"/>
  <c r="T1666" i="1"/>
  <c r="T1667" i="1"/>
  <c r="T1668" i="1"/>
  <c r="T1669" i="1"/>
  <c r="T1672" i="1"/>
  <c r="T1673" i="1"/>
  <c r="T1674" i="1"/>
  <c r="T1675" i="1"/>
  <c r="T1677" i="1"/>
  <c r="T1678" i="1"/>
  <c r="T1679" i="1"/>
  <c r="T1681" i="1"/>
  <c r="T1682" i="1"/>
  <c r="T1683" i="1"/>
  <c r="T1684" i="1"/>
  <c r="T1685" i="1"/>
  <c r="T1686" i="1"/>
  <c r="T1687" i="1"/>
  <c r="T1688" i="1"/>
  <c r="T1689" i="1"/>
  <c r="T1691" i="1"/>
  <c r="T1692" i="1"/>
  <c r="T1693" i="1"/>
  <c r="T1694" i="1"/>
  <c r="T1695" i="1"/>
  <c r="T1696" i="1"/>
  <c r="T1697" i="1"/>
  <c r="T1698" i="1"/>
  <c r="T1700" i="1"/>
  <c r="T1701" i="1"/>
  <c r="T1702" i="1"/>
  <c r="T1703" i="1"/>
  <c r="T1704" i="1"/>
  <c r="T1705" i="1"/>
  <c r="T1707" i="1"/>
  <c r="T1708" i="1"/>
  <c r="T1709" i="1"/>
  <c r="T1710" i="1"/>
  <c r="T1711" i="1"/>
  <c r="T1714" i="1"/>
  <c r="T1715" i="1"/>
  <c r="T1716" i="1"/>
  <c r="T1717" i="1"/>
  <c r="T1718" i="1"/>
  <c r="T1719" i="1"/>
  <c r="T1721" i="1"/>
  <c r="T1722" i="1"/>
  <c r="T1723" i="1"/>
  <c r="T1725" i="1"/>
  <c r="T1726" i="1"/>
  <c r="T1727" i="1"/>
  <c r="T1728" i="1"/>
  <c r="T1730" i="1"/>
  <c r="T1731" i="1"/>
  <c r="T1732" i="1"/>
  <c r="T1733" i="1"/>
  <c r="T1734" i="1"/>
  <c r="T1735" i="1"/>
  <c r="T1736" i="1"/>
  <c r="T1737" i="1"/>
  <c r="T1738" i="1"/>
  <c r="T1739" i="1"/>
  <c r="T1740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6" i="1"/>
  <c r="T1757" i="1"/>
  <c r="T1758" i="1"/>
  <c r="T1759" i="1"/>
  <c r="T1760" i="1"/>
  <c r="T1761" i="1"/>
  <c r="T1762" i="1"/>
  <c r="T1763" i="1"/>
  <c r="T1764" i="1"/>
  <c r="T1765" i="1"/>
  <c r="T1766" i="1"/>
  <c r="T1768" i="1"/>
  <c r="T1769" i="1"/>
  <c r="T1770" i="1"/>
  <c r="T1771" i="1"/>
  <c r="T1772" i="1"/>
  <c r="T1773" i="1"/>
  <c r="T1774" i="1"/>
  <c r="T1775" i="1"/>
  <c r="T1776" i="1"/>
  <c r="T1777" i="1"/>
  <c r="T1778" i="1"/>
  <c r="T1780" i="1"/>
  <c r="T1783" i="1"/>
  <c r="T1784" i="1"/>
  <c r="T1785" i="1"/>
  <c r="T1787" i="1"/>
  <c r="T1788" i="1"/>
  <c r="T1789" i="1"/>
  <c r="T1791" i="1"/>
  <c r="T1794" i="1"/>
  <c r="T1795" i="1"/>
  <c r="T1796" i="1"/>
  <c r="T1797" i="1"/>
  <c r="T1798" i="1"/>
  <c r="T1799" i="1"/>
  <c r="T1800" i="1"/>
  <c r="T1801" i="1"/>
  <c r="T1802" i="1"/>
  <c r="T1803" i="1"/>
  <c r="T1804" i="1"/>
  <c r="T1806" i="1"/>
  <c r="T1807" i="1"/>
  <c r="T1809" i="1"/>
  <c r="T1810" i="1"/>
  <c r="T1811" i="1"/>
  <c r="T1812" i="1"/>
  <c r="T1813" i="1"/>
  <c r="T1814" i="1"/>
  <c r="T1816" i="1"/>
  <c r="T1817" i="1"/>
  <c r="T1819" i="1"/>
  <c r="T1820" i="1"/>
  <c r="T1821" i="1"/>
  <c r="T1823" i="1"/>
  <c r="T1824" i="1"/>
  <c r="T1825" i="1"/>
  <c r="T1826" i="1"/>
  <c r="T1828" i="1"/>
  <c r="T1830" i="1"/>
  <c r="T1833" i="1"/>
  <c r="T1834" i="1"/>
  <c r="T1836" i="1"/>
  <c r="T1837" i="1"/>
  <c r="T1838" i="1"/>
  <c r="T1839" i="1"/>
  <c r="T1840" i="1"/>
  <c r="T1841" i="1"/>
  <c r="T1842" i="1"/>
  <c r="T1843" i="1"/>
  <c r="T1846" i="1"/>
  <c r="T1847" i="1"/>
  <c r="T1848" i="1"/>
  <c r="T1851" i="1"/>
  <c r="T1852" i="1"/>
  <c r="T1854" i="1"/>
  <c r="T1856" i="1"/>
  <c r="T1857" i="1"/>
  <c r="T1859" i="1"/>
  <c r="T1860" i="1"/>
  <c r="T1862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80" i="1"/>
  <c r="T1881" i="1"/>
  <c r="T1882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8" i="1"/>
  <c r="T1899" i="1"/>
  <c r="T1900" i="1"/>
  <c r="T1902" i="1"/>
  <c r="T1903" i="1"/>
  <c r="T1904" i="1"/>
  <c r="T1905" i="1"/>
  <c r="T1906" i="1"/>
  <c r="T1907" i="1"/>
  <c r="T1908" i="1"/>
  <c r="T1909" i="1"/>
  <c r="T1910" i="1"/>
  <c r="T1912" i="1"/>
  <c r="T1913" i="1"/>
  <c r="T1914" i="1"/>
  <c r="T1915" i="1"/>
  <c r="T1916" i="1"/>
  <c r="T1917" i="1"/>
  <c r="T1918" i="1"/>
  <c r="T1919" i="1"/>
  <c r="T1920" i="1"/>
  <c r="T1921" i="1"/>
  <c r="T1922" i="1"/>
  <c r="T1924" i="1"/>
  <c r="T1926" i="1"/>
  <c r="T1927" i="1"/>
  <c r="T1928" i="1"/>
  <c r="T1930" i="1"/>
  <c r="T1931" i="1"/>
  <c r="T1932" i="1"/>
  <c r="T1934" i="1"/>
  <c r="T1935" i="1"/>
  <c r="T1936" i="1"/>
  <c r="T1937" i="1"/>
  <c r="T1938" i="1"/>
  <c r="T1939" i="1"/>
  <c r="T1940" i="1"/>
  <c r="T1941" i="1"/>
  <c r="T1942" i="1"/>
  <c r="T1944" i="1"/>
  <c r="T1946" i="1"/>
  <c r="T1947" i="1"/>
  <c r="T1948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1" i="1"/>
  <c r="T1982" i="1"/>
  <c r="T1983" i="1"/>
  <c r="T1984" i="1"/>
  <c r="T1985" i="1"/>
  <c r="T1986" i="1"/>
  <c r="T1987" i="1"/>
  <c r="T1988" i="1"/>
  <c r="T1989" i="1"/>
  <c r="T1990" i="1"/>
  <c r="T1992" i="1"/>
  <c r="T1993" i="1"/>
  <c r="T1994" i="1"/>
  <c r="T1995" i="1"/>
  <c r="T1996" i="1"/>
  <c r="T1997" i="1"/>
  <c r="T1999" i="1"/>
  <c r="T2000" i="1"/>
  <c r="T2001" i="1"/>
  <c r="AT5" i="1"/>
  <c r="S3" i="1"/>
  <c r="S5" i="1"/>
  <c r="S6" i="1"/>
  <c r="S7" i="1"/>
  <c r="S8" i="1"/>
  <c r="S9" i="1"/>
  <c r="S10" i="1"/>
  <c r="S11" i="1"/>
  <c r="S13" i="1"/>
  <c r="S16" i="1"/>
  <c r="S17" i="1"/>
  <c r="S18" i="1"/>
  <c r="S19" i="1"/>
  <c r="S20" i="1"/>
  <c r="S21" i="1"/>
  <c r="S22" i="1"/>
  <c r="S23" i="1"/>
  <c r="S24" i="1"/>
  <c r="S25" i="1"/>
  <c r="S26" i="1"/>
  <c r="S27" i="1"/>
  <c r="S29" i="1"/>
  <c r="S31" i="1"/>
  <c r="S33" i="1"/>
  <c r="S34" i="1"/>
  <c r="S35" i="1"/>
  <c r="S36" i="1"/>
  <c r="S37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5" i="1"/>
  <c r="S76" i="1"/>
  <c r="S77" i="1"/>
  <c r="S78" i="1"/>
  <c r="S79" i="1"/>
  <c r="S80" i="1"/>
  <c r="S83" i="1"/>
  <c r="S84" i="1"/>
  <c r="S85" i="1"/>
  <c r="S86" i="1"/>
  <c r="S87" i="1"/>
  <c r="S88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7" i="1"/>
  <c r="S118" i="1"/>
  <c r="S119" i="1"/>
  <c r="S120" i="1"/>
  <c r="S122" i="1"/>
  <c r="S123" i="1"/>
  <c r="S124" i="1"/>
  <c r="S125" i="1"/>
  <c r="S126" i="1"/>
  <c r="S127" i="1"/>
  <c r="S128" i="1"/>
  <c r="S129" i="1"/>
  <c r="S131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1" i="1"/>
  <c r="S162" i="1"/>
  <c r="S163" i="1"/>
  <c r="S164" i="1"/>
  <c r="S165" i="1"/>
  <c r="S167" i="1"/>
  <c r="S168" i="1"/>
  <c r="S169" i="1"/>
  <c r="S170" i="1"/>
  <c r="S171" i="1"/>
  <c r="S172" i="1"/>
  <c r="S173" i="1"/>
  <c r="S175" i="1"/>
  <c r="S176" i="1"/>
  <c r="S177" i="1"/>
  <c r="S178" i="1"/>
  <c r="S179" i="1"/>
  <c r="S180" i="1"/>
  <c r="S182" i="1"/>
  <c r="S183" i="1"/>
  <c r="S184" i="1"/>
  <c r="S185" i="1"/>
  <c r="S186" i="1"/>
  <c r="S187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2" i="1"/>
  <c r="S233" i="1"/>
  <c r="S234" i="1"/>
  <c r="S236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2" i="1"/>
  <c r="S303" i="1"/>
  <c r="S305" i="1"/>
  <c r="S306" i="1"/>
  <c r="S307" i="1"/>
  <c r="S308" i="1"/>
  <c r="S309" i="1"/>
  <c r="S311" i="1"/>
  <c r="S312" i="1"/>
  <c r="S313" i="1"/>
  <c r="S314" i="1"/>
  <c r="S315" i="1"/>
  <c r="S316" i="1"/>
  <c r="S318" i="1"/>
  <c r="S319" i="1"/>
  <c r="S320" i="1"/>
  <c r="S321" i="1"/>
  <c r="S323" i="1"/>
  <c r="S324" i="1"/>
  <c r="S325" i="1"/>
  <c r="S326" i="1"/>
  <c r="S327" i="1"/>
  <c r="S328" i="1"/>
  <c r="S329" i="1"/>
  <c r="S332" i="1"/>
  <c r="S333" i="1"/>
  <c r="S335" i="1"/>
  <c r="S336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4" i="1"/>
  <c r="S365" i="1"/>
  <c r="S367" i="1"/>
  <c r="S368" i="1"/>
  <c r="S369" i="1"/>
  <c r="S370" i="1"/>
  <c r="S371" i="1"/>
  <c r="S372" i="1"/>
  <c r="S373" i="1"/>
  <c r="S374" i="1"/>
  <c r="S376" i="1"/>
  <c r="S377" i="1"/>
  <c r="S378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5" i="1"/>
  <c r="S396" i="1"/>
  <c r="S397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9" i="1"/>
  <c r="S430" i="1"/>
  <c r="S431" i="1"/>
  <c r="S433" i="1"/>
  <c r="S435" i="1"/>
  <c r="S436" i="1"/>
  <c r="S437" i="1"/>
  <c r="S438" i="1"/>
  <c r="S439" i="1"/>
  <c r="S440" i="1"/>
  <c r="S441" i="1"/>
  <c r="S442" i="1"/>
  <c r="S443" i="1"/>
  <c r="S444" i="1"/>
  <c r="S445" i="1"/>
  <c r="S447" i="1"/>
  <c r="S448" i="1"/>
  <c r="S450" i="1"/>
  <c r="S451" i="1"/>
  <c r="S452" i="1"/>
  <c r="S453" i="1"/>
  <c r="S454" i="1"/>
  <c r="S455" i="1"/>
  <c r="S457" i="1"/>
  <c r="S459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6" i="1"/>
  <c r="S477" i="1"/>
  <c r="S479" i="1"/>
  <c r="S481" i="1"/>
  <c r="S483" i="1"/>
  <c r="S484" i="1"/>
  <c r="S485" i="1"/>
  <c r="S487" i="1"/>
  <c r="S489" i="1"/>
  <c r="S490" i="1"/>
  <c r="S491" i="1"/>
  <c r="S492" i="1"/>
  <c r="S493" i="1"/>
  <c r="S494" i="1"/>
  <c r="S496" i="1"/>
  <c r="S497" i="1"/>
  <c r="S498" i="1"/>
  <c r="S499" i="1"/>
  <c r="S500" i="1"/>
  <c r="S501" i="1"/>
  <c r="S502" i="1"/>
  <c r="S503" i="1"/>
  <c r="S504" i="1"/>
  <c r="S505" i="1"/>
  <c r="S507" i="1"/>
  <c r="S508" i="1"/>
  <c r="S509" i="1"/>
  <c r="S510" i="1"/>
  <c r="S511" i="1"/>
  <c r="S512" i="1"/>
  <c r="S513" i="1"/>
  <c r="S514" i="1"/>
  <c r="S515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6" i="1"/>
  <c r="S547" i="1"/>
  <c r="S548" i="1"/>
  <c r="S551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7" i="1"/>
  <c r="S568" i="1"/>
  <c r="S569" i="1"/>
  <c r="S570" i="1"/>
  <c r="S571" i="1"/>
  <c r="S572" i="1"/>
  <c r="S573" i="1"/>
  <c r="S574" i="1"/>
  <c r="S575" i="1"/>
  <c r="S576" i="1"/>
  <c r="S577" i="1"/>
  <c r="S579" i="1"/>
  <c r="S580" i="1"/>
  <c r="S581" i="1"/>
  <c r="S582" i="1"/>
  <c r="S583" i="1"/>
  <c r="S584" i="1"/>
  <c r="S585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3" i="1"/>
  <c r="S614" i="1"/>
  <c r="S615" i="1"/>
  <c r="S616" i="1"/>
  <c r="S617" i="1"/>
  <c r="S619" i="1"/>
  <c r="S621" i="1"/>
  <c r="S622" i="1"/>
  <c r="S623" i="1"/>
  <c r="S624" i="1"/>
  <c r="S625" i="1"/>
  <c r="S626" i="1"/>
  <c r="S627" i="1"/>
  <c r="S629" i="1"/>
  <c r="S630" i="1"/>
  <c r="S631" i="1"/>
  <c r="S632" i="1"/>
  <c r="S633" i="1"/>
  <c r="S635" i="1"/>
  <c r="S636" i="1"/>
  <c r="S637" i="1"/>
  <c r="S639" i="1"/>
  <c r="S640" i="1"/>
  <c r="S643" i="1"/>
  <c r="S644" i="1"/>
  <c r="S647" i="1"/>
  <c r="S648" i="1"/>
  <c r="S651" i="1"/>
  <c r="S652" i="1"/>
  <c r="S653" i="1"/>
  <c r="S654" i="1"/>
  <c r="S655" i="1"/>
  <c r="S656" i="1"/>
  <c r="S657" i="1"/>
  <c r="S658" i="1"/>
  <c r="S659" i="1"/>
  <c r="S661" i="1"/>
  <c r="S662" i="1"/>
  <c r="S663" i="1"/>
  <c r="S664" i="1"/>
  <c r="S665" i="1"/>
  <c r="S666" i="1"/>
  <c r="S667" i="1"/>
  <c r="S668" i="1"/>
  <c r="S669" i="1"/>
  <c r="S670" i="1"/>
  <c r="S671" i="1"/>
  <c r="S673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1" i="1"/>
  <c r="S692" i="1"/>
  <c r="S694" i="1"/>
  <c r="S695" i="1"/>
  <c r="S696" i="1"/>
  <c r="S697" i="1"/>
  <c r="S698" i="1"/>
  <c r="S699" i="1"/>
  <c r="S700" i="1"/>
  <c r="S701" i="1"/>
  <c r="S702" i="1"/>
  <c r="S703" i="1"/>
  <c r="S705" i="1"/>
  <c r="S706" i="1"/>
  <c r="S707" i="1"/>
  <c r="S708" i="1"/>
  <c r="S709" i="1"/>
  <c r="S710" i="1"/>
  <c r="S711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6" i="1"/>
  <c r="S767" i="1"/>
  <c r="S768" i="1"/>
  <c r="S770" i="1"/>
  <c r="S771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7" i="1"/>
  <c r="S788" i="1"/>
  <c r="S789" i="1"/>
  <c r="S790" i="1"/>
  <c r="S791" i="1"/>
  <c r="S792" i="1"/>
  <c r="S793" i="1"/>
  <c r="S794" i="1"/>
  <c r="S795" i="1"/>
  <c r="S796" i="1"/>
  <c r="S798" i="1"/>
  <c r="S799" i="1"/>
  <c r="S800" i="1"/>
  <c r="S801" i="1"/>
  <c r="S802" i="1"/>
  <c r="S804" i="1"/>
  <c r="S805" i="1"/>
  <c r="S807" i="1"/>
  <c r="S808" i="1"/>
  <c r="S809" i="1"/>
  <c r="S810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6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7" i="1"/>
  <c r="S878" i="1"/>
  <c r="S879" i="1"/>
  <c r="S880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6" i="1"/>
  <c r="S947" i="1"/>
  <c r="S948" i="1"/>
  <c r="S949" i="1"/>
  <c r="S950" i="1"/>
  <c r="S951" i="1"/>
  <c r="S952" i="1"/>
  <c r="S953" i="1"/>
  <c r="S954" i="1"/>
  <c r="S955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3" i="1"/>
  <c r="S984" i="1"/>
  <c r="S985" i="1"/>
  <c r="S986" i="1"/>
  <c r="S987" i="1"/>
  <c r="S988" i="1"/>
  <c r="S990" i="1"/>
  <c r="S991" i="1"/>
  <c r="S992" i="1"/>
  <c r="S994" i="1"/>
  <c r="S995" i="1"/>
  <c r="S998" i="1"/>
  <c r="S999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3" i="1"/>
  <c r="S1034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61" i="1"/>
  <c r="S1062" i="1"/>
  <c r="S1063" i="1"/>
  <c r="S1064" i="1"/>
  <c r="S1065" i="1"/>
  <c r="S1066" i="1"/>
  <c r="S1067" i="1"/>
  <c r="S1068" i="1"/>
  <c r="S1070" i="1"/>
  <c r="S1071" i="1"/>
  <c r="S1072" i="1"/>
  <c r="S1073" i="1"/>
  <c r="S1074" i="1"/>
  <c r="S1075" i="1"/>
  <c r="S1076" i="1"/>
  <c r="S1077" i="1"/>
  <c r="S1078" i="1"/>
  <c r="S1080" i="1"/>
  <c r="S1081" i="1"/>
  <c r="S1082" i="1"/>
  <c r="S1083" i="1"/>
  <c r="S1084" i="1"/>
  <c r="S1085" i="1"/>
  <c r="S1086" i="1"/>
  <c r="S1087" i="1"/>
  <c r="S1088" i="1"/>
  <c r="S1089" i="1"/>
  <c r="S1090" i="1"/>
  <c r="S1092" i="1"/>
  <c r="S1093" i="1"/>
  <c r="S1094" i="1"/>
  <c r="S1095" i="1"/>
  <c r="S1096" i="1"/>
  <c r="S1097" i="1"/>
  <c r="S1098" i="1"/>
  <c r="S1099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1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1" i="1"/>
  <c r="S1172" i="1"/>
  <c r="S1173" i="1"/>
  <c r="S1174" i="1"/>
  <c r="S1175" i="1"/>
  <c r="S1176" i="1"/>
  <c r="S1177" i="1"/>
  <c r="S1178" i="1"/>
  <c r="S1179" i="1"/>
  <c r="S1180" i="1"/>
  <c r="S1182" i="1"/>
  <c r="S1183" i="1"/>
  <c r="S1184" i="1"/>
  <c r="S1185" i="1"/>
  <c r="S1186" i="1"/>
  <c r="S1187" i="1"/>
  <c r="S1189" i="1"/>
  <c r="S1190" i="1"/>
  <c r="S1191" i="1"/>
  <c r="S1194" i="1"/>
  <c r="S1195" i="1"/>
  <c r="S1197" i="1"/>
  <c r="S1198" i="1"/>
  <c r="S1201" i="1"/>
  <c r="S1202" i="1"/>
  <c r="S1203" i="1"/>
  <c r="S1204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3" i="1"/>
  <c r="S1244" i="1"/>
  <c r="S1245" i="1"/>
  <c r="S1246" i="1"/>
  <c r="S1247" i="1"/>
  <c r="S1248" i="1"/>
  <c r="S1249" i="1"/>
  <c r="S1250" i="1"/>
  <c r="S1251" i="1"/>
  <c r="S1252" i="1"/>
  <c r="S1253" i="1"/>
  <c r="S1255" i="1"/>
  <c r="S1256" i="1"/>
  <c r="S1257" i="1"/>
  <c r="S1258" i="1"/>
  <c r="S1259" i="1"/>
  <c r="S1260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2" i="1"/>
  <c r="S1313" i="1"/>
  <c r="S1314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6" i="1"/>
  <c r="S1337" i="1"/>
  <c r="S1338" i="1"/>
  <c r="S1339" i="1"/>
  <c r="S1340" i="1"/>
  <c r="S1341" i="1"/>
  <c r="S1342" i="1"/>
  <c r="S1343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5" i="1"/>
  <c r="S1376" i="1"/>
  <c r="S1377" i="1"/>
  <c r="S1379" i="1"/>
  <c r="S1383" i="1"/>
  <c r="S1387" i="1"/>
  <c r="S1388" i="1"/>
  <c r="S1389" i="1"/>
  <c r="S1390" i="1"/>
  <c r="S1391" i="1"/>
  <c r="S1392" i="1"/>
  <c r="S1393" i="1"/>
  <c r="S1394" i="1"/>
  <c r="S1396" i="1"/>
  <c r="S1397" i="1"/>
  <c r="S1399" i="1"/>
  <c r="S1400" i="1"/>
  <c r="S1401" i="1"/>
  <c r="S1402" i="1"/>
  <c r="S1403" i="1"/>
  <c r="S1404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2" i="1"/>
  <c r="S1443" i="1"/>
  <c r="S1444" i="1"/>
  <c r="S1445" i="1"/>
  <c r="S1446" i="1"/>
  <c r="S1447" i="1"/>
  <c r="S1449" i="1"/>
  <c r="S1450" i="1"/>
  <c r="S1452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8" i="1"/>
  <c r="S1470" i="1"/>
  <c r="S1472" i="1"/>
  <c r="S1473" i="1"/>
  <c r="S1474" i="1"/>
  <c r="S1475" i="1"/>
  <c r="S1477" i="1"/>
  <c r="S1478" i="1"/>
  <c r="S1480" i="1"/>
  <c r="S1482" i="1"/>
  <c r="S1483" i="1"/>
  <c r="S1484" i="1"/>
  <c r="S1486" i="1"/>
  <c r="S1488" i="1"/>
  <c r="S1489" i="1"/>
  <c r="S1490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3" i="1"/>
  <c r="S1524" i="1"/>
  <c r="S1525" i="1"/>
  <c r="S1526" i="1"/>
  <c r="S1527" i="1"/>
  <c r="S1528" i="1"/>
  <c r="S1531" i="1"/>
  <c r="S1532" i="1"/>
  <c r="S1533" i="1"/>
  <c r="S1534" i="1"/>
  <c r="S1535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50" i="1"/>
  <c r="S1551" i="1"/>
  <c r="S1552" i="1"/>
  <c r="S1553" i="1"/>
  <c r="S1554" i="1"/>
  <c r="S1555" i="1"/>
  <c r="S1556" i="1"/>
  <c r="S1557" i="1"/>
  <c r="S1558" i="1"/>
  <c r="S1560" i="1"/>
  <c r="S1561" i="1"/>
  <c r="S1562" i="1"/>
  <c r="S1563" i="1"/>
  <c r="S1565" i="1"/>
  <c r="S1566" i="1"/>
  <c r="S1568" i="1"/>
  <c r="S1570" i="1"/>
  <c r="S1571" i="1"/>
  <c r="S1572" i="1"/>
  <c r="S1573" i="1"/>
  <c r="S1574" i="1"/>
  <c r="S1575" i="1"/>
  <c r="S1576" i="1"/>
  <c r="S1577" i="1"/>
  <c r="S1578" i="1"/>
  <c r="S1579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7" i="1"/>
  <c r="S1598" i="1"/>
  <c r="S1599" i="1"/>
  <c r="S1600" i="1"/>
  <c r="S1601" i="1"/>
  <c r="S1602" i="1"/>
  <c r="S1603" i="1"/>
  <c r="S1604" i="1"/>
  <c r="S1605" i="1"/>
  <c r="S1606" i="1"/>
  <c r="S1607" i="1"/>
  <c r="S1609" i="1"/>
  <c r="S1610" i="1"/>
  <c r="S1611" i="1"/>
  <c r="S1612" i="1"/>
  <c r="S1613" i="1"/>
  <c r="S1615" i="1"/>
  <c r="S1616" i="1"/>
  <c r="S1617" i="1"/>
  <c r="S1618" i="1"/>
  <c r="S1619" i="1"/>
  <c r="S1620" i="1"/>
  <c r="S1621" i="1"/>
  <c r="S1622" i="1"/>
  <c r="S1623" i="1"/>
  <c r="S1624" i="1"/>
  <c r="S1625" i="1"/>
  <c r="S1627" i="1"/>
  <c r="S1628" i="1"/>
  <c r="S1629" i="1"/>
  <c r="S1631" i="1"/>
  <c r="S1632" i="1"/>
  <c r="S1633" i="1"/>
  <c r="S1634" i="1"/>
  <c r="S1636" i="1"/>
  <c r="S1637" i="1"/>
  <c r="S1639" i="1"/>
  <c r="S1640" i="1"/>
  <c r="S1641" i="1"/>
  <c r="S1642" i="1"/>
  <c r="S1643" i="1"/>
  <c r="S1644" i="1"/>
  <c r="S1645" i="1"/>
  <c r="S1646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90" i="1"/>
  <c r="S1691" i="1"/>
  <c r="S1692" i="1"/>
  <c r="S1693" i="1"/>
  <c r="S1694" i="1"/>
  <c r="S1695" i="1"/>
  <c r="S1696" i="1"/>
  <c r="S1697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3" i="1"/>
  <c r="S1744" i="1"/>
  <c r="S1745" i="1"/>
  <c r="S1746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7" i="1"/>
  <c r="S1769" i="1"/>
  <c r="S1770" i="1"/>
  <c r="S1771" i="1"/>
  <c r="S1772" i="1"/>
  <c r="S1773" i="1"/>
  <c r="S1774" i="1"/>
  <c r="S1775" i="1"/>
  <c r="S1776" i="1"/>
  <c r="S1777" i="1"/>
  <c r="S1778" i="1"/>
  <c r="S1779" i="1"/>
  <c r="S1781" i="1"/>
  <c r="S1782" i="1"/>
  <c r="S1783" i="1"/>
  <c r="S1784" i="1"/>
  <c r="S1786" i="1"/>
  <c r="S1788" i="1"/>
  <c r="S1789" i="1"/>
  <c r="S1790" i="1"/>
  <c r="S1791" i="1"/>
  <c r="S1792" i="1"/>
  <c r="S1793" i="1"/>
  <c r="S1794" i="1"/>
  <c r="S1795" i="1"/>
  <c r="S1796" i="1"/>
  <c r="S1797" i="1"/>
  <c r="S1798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3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5" i="1"/>
  <c r="S1946" i="1"/>
  <c r="S1947" i="1"/>
  <c r="S1948" i="1"/>
  <c r="S1949" i="1"/>
  <c r="S1951" i="1"/>
  <c r="S1952" i="1"/>
  <c r="S1954" i="1"/>
  <c r="S1956" i="1"/>
  <c r="S1957" i="1"/>
  <c r="S1958" i="1"/>
  <c r="S1959" i="1"/>
  <c r="S1960" i="1"/>
  <c r="S1961" i="1"/>
  <c r="S1963" i="1"/>
  <c r="S1964" i="1"/>
  <c r="S1965" i="1"/>
  <c r="S1966" i="1"/>
  <c r="S1967" i="1"/>
  <c r="S1968" i="1"/>
  <c r="S1969" i="1"/>
  <c r="S1970" i="1"/>
  <c r="S1971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AW3" i="1"/>
  <c r="AW2" i="1"/>
  <c r="AW4" i="1"/>
  <c r="AW5" i="1"/>
  <c r="AW6" i="1"/>
  <c r="AW7" i="1"/>
  <c r="AW8" i="1"/>
  <c r="AW9" i="1"/>
  <c r="AW10" i="1"/>
  <c r="AW11" i="1"/>
  <c r="AT3" i="1"/>
  <c r="AQ8" i="1"/>
  <c r="Z7" i="1"/>
  <c r="AC7" i="1"/>
  <c r="AD7" i="1"/>
  <c r="AE7" i="1"/>
  <c r="AF7" i="1"/>
  <c r="AG7" i="1"/>
  <c r="AH7" i="1"/>
  <c r="Y7" i="1"/>
  <c r="E1998" i="1"/>
  <c r="U1998" i="1" s="1"/>
  <c r="E1991" i="1"/>
  <c r="U1991" i="1" s="1"/>
  <c r="E1980" i="1"/>
  <c r="U1980" i="1" s="1"/>
  <c r="E1966" i="1"/>
  <c r="U1966" i="1" s="1"/>
  <c r="E1949" i="1"/>
  <c r="U1949" i="1" s="1"/>
  <c r="E1945" i="1"/>
  <c r="U1945" i="1" s="1"/>
  <c r="E1943" i="1"/>
  <c r="U1943" i="1" s="1"/>
  <c r="E1933" i="1"/>
  <c r="U1933" i="1" s="1"/>
  <c r="E1929" i="1"/>
  <c r="U1929" i="1" s="1"/>
  <c r="E1925" i="1"/>
  <c r="U1925" i="1" s="1"/>
  <c r="E1923" i="1"/>
  <c r="U1923" i="1" s="1"/>
  <c r="E1911" i="1"/>
  <c r="U1911" i="1" s="1"/>
  <c r="E1901" i="1"/>
  <c r="E1897" i="1"/>
  <c r="U1897" i="1" s="1"/>
  <c r="E1896" i="1"/>
  <c r="U1896" i="1" s="1"/>
  <c r="E1883" i="1"/>
  <c r="U1883" i="1" s="1"/>
  <c r="E1879" i="1"/>
  <c r="U1879" i="1" s="1"/>
  <c r="E1863" i="1"/>
  <c r="U1863" i="1" s="1"/>
  <c r="E1861" i="1"/>
  <c r="U1861" i="1" s="1"/>
  <c r="E1858" i="1"/>
  <c r="U1858" i="1" s="1"/>
  <c r="E1855" i="1"/>
  <c r="U1855" i="1" s="1"/>
  <c r="E1853" i="1"/>
  <c r="E1850" i="1"/>
  <c r="U1850" i="1" s="1"/>
  <c r="E1849" i="1"/>
  <c r="U1849" i="1" s="1"/>
  <c r="E1845" i="1"/>
  <c r="U1845" i="1" s="1"/>
  <c r="E1844" i="1"/>
  <c r="U1844" i="1" s="1"/>
  <c r="E1835" i="1"/>
  <c r="U1835" i="1" s="1"/>
  <c r="E1832" i="1"/>
  <c r="U1832" i="1" s="1"/>
  <c r="E1831" i="1"/>
  <c r="U1831" i="1" s="1"/>
  <c r="E1829" i="1"/>
  <c r="U1829" i="1" s="1"/>
  <c r="E1827" i="1"/>
  <c r="U1827" i="1" s="1"/>
  <c r="E1822" i="1"/>
  <c r="U1822" i="1" s="1"/>
  <c r="E1818" i="1"/>
  <c r="U1818" i="1" s="1"/>
  <c r="E1815" i="1"/>
  <c r="U1815" i="1" s="1"/>
  <c r="E1808" i="1"/>
  <c r="U1808" i="1" s="1"/>
  <c r="E1805" i="1"/>
  <c r="U1805" i="1" s="1"/>
  <c r="E1793" i="1"/>
  <c r="U1793" i="1" s="1"/>
  <c r="E1792" i="1"/>
  <c r="E1790" i="1"/>
  <c r="E1786" i="1"/>
  <c r="U1786" i="1" s="1"/>
  <c r="E1782" i="1"/>
  <c r="U1782" i="1" s="1"/>
  <c r="E1781" i="1"/>
  <c r="U1781" i="1" s="1"/>
  <c r="E1779" i="1"/>
  <c r="U1779" i="1" s="1"/>
  <c r="E1767" i="1"/>
  <c r="U1767" i="1" s="1"/>
  <c r="E1755" i="1"/>
  <c r="U1755" i="1" s="1"/>
  <c r="E1741" i="1"/>
  <c r="U1741" i="1" s="1"/>
  <c r="E1729" i="1"/>
  <c r="U1729" i="1" s="1"/>
  <c r="E1724" i="1"/>
  <c r="U1724" i="1" s="1"/>
  <c r="E1720" i="1"/>
  <c r="U1720" i="1" s="1"/>
  <c r="E1713" i="1"/>
  <c r="U1713" i="1" s="1"/>
  <c r="E1712" i="1"/>
  <c r="U1712" i="1" s="1"/>
  <c r="E1706" i="1"/>
  <c r="U1706" i="1" s="1"/>
  <c r="E1699" i="1"/>
  <c r="U1699" i="1" s="1"/>
  <c r="E1690" i="1"/>
  <c r="U1690" i="1" s="1"/>
  <c r="E1680" i="1"/>
  <c r="U1680" i="1" s="1"/>
  <c r="E1676" i="1"/>
  <c r="U1676" i="1" s="1"/>
  <c r="E1671" i="1"/>
  <c r="U1671" i="1" s="1"/>
  <c r="E1670" i="1"/>
  <c r="U1670" i="1" s="1"/>
  <c r="E1665" i="1"/>
  <c r="E1659" i="1"/>
  <c r="U1659" i="1" s="1"/>
  <c r="E1642" i="1"/>
  <c r="U1642" i="1" s="1"/>
  <c r="E1633" i="1"/>
  <c r="E1632" i="1"/>
  <c r="U1632" i="1" s="1"/>
  <c r="E1628" i="1"/>
  <c r="U1628" i="1" s="1"/>
  <c r="E1617" i="1"/>
  <c r="U1617" i="1" s="1"/>
  <c r="E1609" i="1"/>
  <c r="U1609" i="1" s="1"/>
  <c r="E1604" i="1"/>
  <c r="U1604" i="1" s="1"/>
  <c r="E1589" i="1"/>
  <c r="U1589" i="1" s="1"/>
  <c r="E1586" i="1"/>
  <c r="U1586" i="1" s="1"/>
  <c r="E1575" i="1"/>
  <c r="U1575" i="1" s="1"/>
  <c r="E1573" i="1"/>
  <c r="U1573" i="1" s="1"/>
  <c r="E1557" i="1"/>
  <c r="U1557" i="1" s="1"/>
  <c r="E1555" i="1"/>
  <c r="U1555" i="1" s="1"/>
  <c r="E1552" i="1"/>
  <c r="U1552" i="1" s="1"/>
  <c r="E1545" i="1"/>
  <c r="U1545" i="1" s="1"/>
  <c r="E1542" i="1"/>
  <c r="U1542" i="1" s="1"/>
  <c r="E1538" i="1"/>
  <c r="U1538" i="1" s="1"/>
  <c r="E1531" i="1"/>
  <c r="U1531" i="1" s="1"/>
  <c r="E1526" i="1"/>
  <c r="U1526" i="1" s="1"/>
  <c r="E1521" i="1"/>
  <c r="U1521" i="1" s="1"/>
  <c r="E1520" i="1"/>
  <c r="U1520" i="1" s="1"/>
  <c r="E1519" i="1"/>
  <c r="U1519" i="1" s="1"/>
  <c r="E1506" i="1"/>
  <c r="U1506" i="1" s="1"/>
  <c r="E1505" i="1"/>
  <c r="U1505" i="1" s="1"/>
  <c r="E1501" i="1"/>
  <c r="U1501" i="1" s="1"/>
  <c r="E1499" i="1"/>
  <c r="U1499" i="1" s="1"/>
  <c r="E1494" i="1"/>
  <c r="U1494" i="1" s="1"/>
  <c r="E1490" i="1"/>
  <c r="U1490" i="1" s="1"/>
  <c r="E1488" i="1"/>
  <c r="U1488" i="1" s="1"/>
  <c r="E1482" i="1"/>
  <c r="U1482" i="1" s="1"/>
  <c r="E1480" i="1"/>
  <c r="U1480" i="1" s="1"/>
  <c r="E1478" i="1"/>
  <c r="U1478" i="1" s="1"/>
  <c r="E1474" i="1"/>
  <c r="U1474" i="1" s="1"/>
  <c r="E1470" i="1"/>
  <c r="U1470" i="1" s="1"/>
  <c r="E1465" i="1"/>
  <c r="U1465" i="1" s="1"/>
  <c r="E1464" i="1"/>
  <c r="U1464" i="1" s="1"/>
  <c r="E1462" i="1"/>
  <c r="U1462" i="1" s="1"/>
  <c r="E1457" i="1"/>
  <c r="U1457" i="1" s="1"/>
  <c r="E1454" i="1"/>
  <c r="U1454" i="1" s="1"/>
  <c r="E1450" i="1"/>
  <c r="U1450" i="1" s="1"/>
  <c r="E1445" i="1"/>
  <c r="U1445" i="1" s="1"/>
  <c r="E1443" i="1"/>
  <c r="U1443" i="1" s="1"/>
  <c r="E1442" i="1"/>
  <c r="U1442" i="1" s="1"/>
  <c r="E1423" i="1"/>
  <c r="E1420" i="1"/>
  <c r="U1420" i="1" s="1"/>
  <c r="E1416" i="1"/>
  <c r="U1416" i="1" s="1"/>
  <c r="E1415" i="1"/>
  <c r="U1415" i="1" s="1"/>
  <c r="E1409" i="1"/>
  <c r="U1409" i="1" s="1"/>
  <c r="E1367" i="1"/>
  <c r="U1367" i="1" s="1"/>
  <c r="E1365" i="1"/>
  <c r="U1365" i="1" s="1"/>
  <c r="E1363" i="1"/>
  <c r="U1363" i="1" s="1"/>
  <c r="E1362" i="1"/>
  <c r="U1362" i="1" s="1"/>
  <c r="E1360" i="1"/>
  <c r="U1360" i="1" s="1"/>
  <c r="E1342" i="1"/>
  <c r="U1342" i="1" s="1"/>
  <c r="E1341" i="1"/>
  <c r="U1341" i="1" s="1"/>
  <c r="E1330" i="1"/>
  <c r="U1330" i="1" s="1"/>
  <c r="E1327" i="1"/>
  <c r="U1327" i="1" s="1"/>
  <c r="E1324" i="1"/>
  <c r="E1323" i="1"/>
  <c r="U1323" i="1" s="1"/>
  <c r="E1320" i="1"/>
  <c r="U1320" i="1" s="1"/>
  <c r="E1316" i="1"/>
  <c r="U1316" i="1" s="1"/>
  <c r="E1313" i="1"/>
  <c r="E1306" i="1"/>
  <c r="U1306" i="1" s="1"/>
  <c r="E1303" i="1"/>
  <c r="U1303" i="1" s="1"/>
  <c r="E1296" i="1"/>
  <c r="U1296" i="1" s="1"/>
  <c r="E1290" i="1"/>
  <c r="U1290" i="1" s="1"/>
  <c r="E1287" i="1"/>
  <c r="U1287" i="1" s="1"/>
  <c r="E1282" i="1"/>
  <c r="U1282" i="1" s="1"/>
  <c r="E1277" i="1"/>
  <c r="U1277" i="1" s="1"/>
  <c r="E1271" i="1"/>
  <c r="U1271" i="1" s="1"/>
  <c r="E1266" i="1"/>
  <c r="U1266" i="1" s="1"/>
  <c r="E1265" i="1"/>
  <c r="U1265" i="1" s="1"/>
  <c r="E1264" i="1"/>
  <c r="U1264" i="1" s="1"/>
  <c r="E1259" i="1"/>
  <c r="U1259" i="1" s="1"/>
  <c r="E1257" i="1"/>
  <c r="U1257" i="1" s="1"/>
  <c r="E1245" i="1"/>
  <c r="U1245" i="1" s="1"/>
  <c r="E1244" i="1"/>
  <c r="U1244" i="1" s="1"/>
  <c r="E1223" i="1"/>
  <c r="U1223" i="1" s="1"/>
  <c r="E1218" i="1"/>
  <c r="U1218" i="1" s="1"/>
  <c r="E1210" i="1"/>
  <c r="U1210" i="1" s="1"/>
  <c r="E1209" i="1"/>
  <c r="U1209" i="1" s="1"/>
  <c r="E1207" i="1"/>
  <c r="U1207" i="1" s="1"/>
  <c r="E1206" i="1"/>
  <c r="U1206" i="1" s="1"/>
  <c r="E1203" i="1"/>
  <c r="U1203" i="1" s="1"/>
  <c r="E1201" i="1"/>
  <c r="U1201" i="1" s="1"/>
  <c r="E1198" i="1"/>
  <c r="U1198" i="1" s="1"/>
  <c r="E1194" i="1"/>
  <c r="U1194" i="1" s="1"/>
  <c r="E1172" i="1"/>
  <c r="U1172" i="1" s="1"/>
  <c r="E1166" i="1"/>
  <c r="U1166" i="1" s="1"/>
  <c r="E1165" i="1"/>
  <c r="U1165" i="1" s="1"/>
  <c r="E1163" i="1"/>
  <c r="U1163" i="1" s="1"/>
  <c r="E1161" i="1"/>
  <c r="U1161" i="1" s="1"/>
  <c r="E1159" i="1"/>
  <c r="U1159" i="1" s="1"/>
  <c r="E1156" i="1"/>
  <c r="U1156" i="1" s="1"/>
  <c r="E1153" i="1"/>
  <c r="U1153" i="1" s="1"/>
  <c r="E1151" i="1"/>
  <c r="U1151" i="1" s="1"/>
  <c r="E1144" i="1"/>
  <c r="U1144" i="1" s="1"/>
  <c r="E1142" i="1"/>
  <c r="U1142" i="1" s="1"/>
  <c r="E1139" i="1"/>
  <c r="U1139" i="1" s="1"/>
  <c r="E1138" i="1"/>
  <c r="U1138" i="1" s="1"/>
  <c r="E1137" i="1"/>
  <c r="U1137" i="1" s="1"/>
  <c r="E1133" i="1"/>
  <c r="U1133" i="1" s="1"/>
  <c r="E1122" i="1"/>
  <c r="U1122" i="1" s="1"/>
  <c r="E1121" i="1"/>
  <c r="U1121" i="1" s="1"/>
  <c r="E1117" i="1"/>
  <c r="U1117" i="1" s="1"/>
  <c r="E1108" i="1"/>
  <c r="U1108" i="1" s="1"/>
  <c r="E1105" i="1"/>
  <c r="E1103" i="1"/>
  <c r="E1099" i="1"/>
  <c r="U1099" i="1" s="1"/>
  <c r="E1090" i="1"/>
  <c r="U1090" i="1" s="1"/>
  <c r="E1086" i="1"/>
  <c r="U1086" i="1" s="1"/>
  <c r="E1084" i="1"/>
  <c r="U1084" i="1" s="1"/>
  <c r="E1083" i="1"/>
  <c r="U1083" i="1" s="1"/>
  <c r="E1080" i="1"/>
  <c r="U1080" i="1" s="1"/>
  <c r="E1076" i="1"/>
  <c r="U1076" i="1" s="1"/>
  <c r="E1074" i="1"/>
  <c r="U1074" i="1" s="1"/>
  <c r="E1070" i="1"/>
  <c r="U1070" i="1" s="1"/>
  <c r="E1057" i="1"/>
  <c r="U1057" i="1" s="1"/>
  <c r="E1056" i="1"/>
  <c r="U1056" i="1" s="1"/>
  <c r="E1050" i="1"/>
  <c r="U1050" i="1" s="1"/>
  <c r="E1049" i="1"/>
  <c r="U1049" i="1" s="1"/>
  <c r="E1047" i="1"/>
  <c r="U1047" i="1" s="1"/>
  <c r="E1046" i="1"/>
  <c r="U1046" i="1" s="1"/>
  <c r="E1045" i="1"/>
  <c r="U1045" i="1" s="1"/>
  <c r="E1041" i="1"/>
  <c r="U1041" i="1" s="1"/>
  <c r="E1039" i="1"/>
  <c r="U1039" i="1" s="1"/>
  <c r="E1038" i="1"/>
  <c r="U1038" i="1" s="1"/>
  <c r="E1037" i="1"/>
  <c r="U1037" i="1" s="1"/>
  <c r="E1034" i="1"/>
  <c r="U1034" i="1" s="1"/>
  <c r="E1033" i="1"/>
  <c r="U1033" i="1" s="1"/>
  <c r="E1031" i="1"/>
  <c r="U1031" i="1" s="1"/>
  <c r="E1029" i="1"/>
  <c r="U1029" i="1" s="1"/>
  <c r="E1025" i="1"/>
  <c r="U1025" i="1" s="1"/>
  <c r="E1012" i="1"/>
  <c r="U1012" i="1" s="1"/>
  <c r="E1011" i="1"/>
  <c r="U1011" i="1" s="1"/>
  <c r="E1009" i="1"/>
  <c r="U1009" i="1" s="1"/>
  <c r="E1004" i="1"/>
  <c r="U1004" i="1" s="1"/>
  <c r="E988" i="1"/>
  <c r="E987" i="1"/>
  <c r="U987" i="1" s="1"/>
  <c r="E985" i="1"/>
  <c r="U985" i="1" s="1"/>
  <c r="E984" i="1"/>
  <c r="U984" i="1" s="1"/>
  <c r="E975" i="1"/>
  <c r="U975" i="1" s="1"/>
  <c r="E972" i="1"/>
  <c r="U972" i="1" s="1"/>
  <c r="E971" i="1"/>
  <c r="U971" i="1" s="1"/>
  <c r="E965" i="1"/>
  <c r="U965" i="1" s="1"/>
  <c r="E958" i="1"/>
  <c r="U958" i="1" s="1"/>
  <c r="E957" i="1"/>
  <c r="U957" i="1" s="1"/>
  <c r="E954" i="1"/>
  <c r="U954" i="1" s="1"/>
  <c r="E952" i="1"/>
  <c r="U952" i="1" s="1"/>
  <c r="E950" i="1"/>
  <c r="U950" i="1" s="1"/>
  <c r="E946" i="1"/>
  <c r="U946" i="1" s="1"/>
  <c r="E944" i="1"/>
  <c r="U944" i="1" s="1"/>
  <c r="E938" i="1"/>
  <c r="U938" i="1" s="1"/>
  <c r="E937" i="1"/>
  <c r="U937" i="1" s="1"/>
  <c r="E934" i="1"/>
  <c r="U934" i="1" s="1"/>
  <c r="E931" i="1"/>
  <c r="U931" i="1" s="1"/>
  <c r="E929" i="1"/>
  <c r="U929" i="1" s="1"/>
  <c r="E927" i="1"/>
  <c r="U927" i="1" s="1"/>
  <c r="E925" i="1"/>
  <c r="U925" i="1" s="1"/>
  <c r="E922" i="1"/>
  <c r="U922" i="1" s="1"/>
  <c r="E920" i="1"/>
  <c r="U920" i="1" s="1"/>
  <c r="E912" i="1"/>
  <c r="U912" i="1" s="1"/>
  <c r="E902" i="1"/>
  <c r="U902" i="1" s="1"/>
  <c r="E899" i="1"/>
  <c r="U899" i="1" s="1"/>
  <c r="E898" i="1"/>
  <c r="U898" i="1" s="1"/>
  <c r="E887" i="1"/>
  <c r="U887" i="1" s="1"/>
  <c r="E882" i="1"/>
  <c r="U882" i="1" s="1"/>
  <c r="E879" i="1"/>
  <c r="U879" i="1" s="1"/>
  <c r="E878" i="1"/>
  <c r="U878" i="1" s="1"/>
  <c r="E871" i="1"/>
  <c r="U871" i="1" s="1"/>
  <c r="E869" i="1"/>
  <c r="U869" i="1" s="1"/>
  <c r="E868" i="1"/>
  <c r="U868" i="1" s="1"/>
  <c r="E866" i="1"/>
  <c r="U866" i="1" s="1"/>
  <c r="E864" i="1"/>
  <c r="U864" i="1" s="1"/>
  <c r="E859" i="1"/>
  <c r="U859" i="1" s="1"/>
  <c r="E856" i="1"/>
  <c r="U856" i="1" s="1"/>
  <c r="E854" i="1"/>
  <c r="U854" i="1" s="1"/>
  <c r="E851" i="1"/>
  <c r="U851" i="1" s="1"/>
  <c r="E847" i="1"/>
  <c r="U847" i="1" s="1"/>
  <c r="E846" i="1"/>
  <c r="U846" i="1" s="1"/>
  <c r="E841" i="1"/>
  <c r="U841" i="1" s="1"/>
  <c r="E837" i="1"/>
  <c r="U837" i="1" s="1"/>
  <c r="E834" i="1"/>
  <c r="U834" i="1" s="1"/>
  <c r="E833" i="1"/>
  <c r="U833" i="1" s="1"/>
  <c r="E830" i="1"/>
  <c r="U830" i="1" s="1"/>
  <c r="E820" i="1"/>
  <c r="U820" i="1" s="1"/>
  <c r="E807" i="1"/>
  <c r="U807" i="1" s="1"/>
  <c r="E799" i="1"/>
  <c r="E780" i="1"/>
  <c r="U780" i="1" s="1"/>
  <c r="E775" i="1"/>
  <c r="U775" i="1" s="1"/>
  <c r="E760" i="1"/>
  <c r="U760" i="1" s="1"/>
  <c r="E759" i="1"/>
  <c r="U759" i="1" s="1"/>
  <c r="E752" i="1"/>
  <c r="U752" i="1" s="1"/>
  <c r="E748" i="1"/>
  <c r="E745" i="1"/>
  <c r="U745" i="1" s="1"/>
  <c r="E744" i="1"/>
  <c r="U744" i="1" s="1"/>
  <c r="E742" i="1"/>
  <c r="U742" i="1" s="1"/>
  <c r="E739" i="1"/>
  <c r="U739" i="1" s="1"/>
  <c r="E738" i="1"/>
  <c r="U738" i="1" s="1"/>
  <c r="E726" i="1"/>
  <c r="U726" i="1" s="1"/>
  <c r="E722" i="1"/>
  <c r="U722" i="1" s="1"/>
  <c r="E721" i="1"/>
  <c r="E720" i="1"/>
  <c r="E719" i="1"/>
  <c r="E714" i="1"/>
  <c r="U714" i="1" s="1"/>
  <c r="E711" i="1"/>
  <c r="U711" i="1" s="1"/>
  <c r="E709" i="1"/>
  <c r="U709" i="1" s="1"/>
  <c r="E701" i="1"/>
  <c r="U701" i="1" s="1"/>
  <c r="E699" i="1"/>
  <c r="U699" i="1" s="1"/>
  <c r="E696" i="1"/>
  <c r="U696" i="1" s="1"/>
  <c r="E688" i="1"/>
  <c r="E684" i="1"/>
  <c r="U684" i="1" s="1"/>
  <c r="E677" i="1"/>
  <c r="U677" i="1" s="1"/>
  <c r="E676" i="1"/>
  <c r="U676" i="1" s="1"/>
  <c r="E667" i="1"/>
  <c r="U667" i="1" s="1"/>
  <c r="E666" i="1"/>
  <c r="U666" i="1" s="1"/>
  <c r="E664" i="1"/>
  <c r="U664" i="1" s="1"/>
  <c r="E663" i="1"/>
  <c r="U663" i="1" s="1"/>
  <c r="E658" i="1"/>
  <c r="U658" i="1" s="1"/>
  <c r="E657" i="1"/>
  <c r="U657" i="1" s="1"/>
  <c r="E651" i="1"/>
  <c r="U651" i="1" s="1"/>
  <c r="E648" i="1"/>
  <c r="U648" i="1" s="1"/>
  <c r="E644" i="1"/>
  <c r="U644" i="1" s="1"/>
  <c r="E640" i="1"/>
  <c r="U640" i="1" s="1"/>
  <c r="E635" i="1"/>
  <c r="U635" i="1" s="1"/>
  <c r="E632" i="1"/>
  <c r="U632" i="1" s="1"/>
  <c r="E616" i="1"/>
  <c r="U616" i="1" s="1"/>
  <c r="E614" i="1"/>
  <c r="U614" i="1" s="1"/>
  <c r="E613" i="1"/>
  <c r="U613" i="1" s="1"/>
  <c r="E605" i="1"/>
  <c r="U605" i="1" s="1"/>
  <c r="E602" i="1"/>
  <c r="U602" i="1" s="1"/>
  <c r="E589" i="1"/>
  <c r="U589" i="1" s="1"/>
  <c r="E584" i="1"/>
  <c r="U584" i="1" s="1"/>
  <c r="E582" i="1"/>
  <c r="U582" i="1" s="1"/>
  <c r="E576" i="1"/>
  <c r="U576" i="1" s="1"/>
  <c r="E574" i="1"/>
  <c r="U574" i="1" s="1"/>
  <c r="E573" i="1"/>
  <c r="U573" i="1" s="1"/>
  <c r="E569" i="1"/>
  <c r="U569" i="1" s="1"/>
  <c r="E568" i="1"/>
  <c r="U568" i="1" s="1"/>
  <c r="E564" i="1"/>
  <c r="U564" i="1" s="1"/>
  <c r="E559" i="1"/>
  <c r="U559" i="1" s="1"/>
  <c r="E557" i="1"/>
  <c r="U557" i="1" s="1"/>
  <c r="E547" i="1"/>
  <c r="U547" i="1" s="1"/>
  <c r="E541" i="1"/>
  <c r="U541" i="1" s="1"/>
  <c r="E540" i="1"/>
  <c r="U540" i="1" s="1"/>
  <c r="E536" i="1"/>
  <c r="U536" i="1" s="1"/>
  <c r="E528" i="1"/>
  <c r="U528" i="1" s="1"/>
  <c r="E527" i="1"/>
  <c r="U527" i="1" s="1"/>
  <c r="E525" i="1"/>
  <c r="U525" i="1" s="1"/>
  <c r="E523" i="1"/>
  <c r="U523" i="1" s="1"/>
  <c r="E522" i="1"/>
  <c r="U522" i="1" s="1"/>
  <c r="E518" i="1"/>
  <c r="U518" i="1" s="1"/>
  <c r="E517" i="1"/>
  <c r="U517" i="1" s="1"/>
  <c r="E515" i="1"/>
  <c r="U515" i="1" s="1"/>
  <c r="E514" i="1"/>
  <c r="U514" i="1" s="1"/>
  <c r="E512" i="1"/>
  <c r="U512" i="1" s="1"/>
  <c r="E503" i="1"/>
  <c r="U503" i="1" s="1"/>
  <c r="E502" i="1"/>
  <c r="U502" i="1" s="1"/>
  <c r="E494" i="1"/>
  <c r="U494" i="1" s="1"/>
  <c r="E479" i="1"/>
  <c r="U479" i="1" s="1"/>
  <c r="E474" i="1"/>
  <c r="U474" i="1" s="1"/>
  <c r="E464" i="1"/>
  <c r="U464" i="1" s="1"/>
  <c r="E457" i="1"/>
  <c r="U457" i="1" s="1"/>
  <c r="E454" i="1"/>
  <c r="U454" i="1" s="1"/>
  <c r="E433" i="1"/>
  <c r="U433" i="1" s="1"/>
  <c r="E426" i="1"/>
  <c r="U426" i="1" s="1"/>
  <c r="E425" i="1"/>
  <c r="U425" i="1" s="1"/>
  <c r="E423" i="1"/>
  <c r="U423" i="1" s="1"/>
  <c r="E418" i="1"/>
  <c r="U418" i="1" s="1"/>
  <c r="E416" i="1"/>
  <c r="U416" i="1" s="1"/>
  <c r="E409" i="1"/>
  <c r="U409" i="1" s="1"/>
  <c r="E407" i="1"/>
  <c r="U407" i="1" s="1"/>
  <c r="E404" i="1"/>
  <c r="U404" i="1" s="1"/>
  <c r="E403" i="1"/>
  <c r="U403" i="1" s="1"/>
  <c r="E402" i="1"/>
  <c r="U402" i="1" s="1"/>
  <c r="E399" i="1"/>
  <c r="U399" i="1" s="1"/>
  <c r="E396" i="1"/>
  <c r="U396" i="1" s="1"/>
  <c r="E392" i="1"/>
  <c r="U392" i="1" s="1"/>
  <c r="E386" i="1"/>
  <c r="U386" i="1" s="1"/>
  <c r="E377" i="1"/>
  <c r="U377" i="1" s="1"/>
  <c r="E358" i="1"/>
  <c r="U358" i="1" s="1"/>
  <c r="E351" i="1"/>
  <c r="E340" i="1"/>
  <c r="U340" i="1" s="1"/>
  <c r="E335" i="1"/>
  <c r="E332" i="1"/>
  <c r="U332" i="1" s="1"/>
  <c r="E328" i="1"/>
  <c r="U328" i="1" s="1"/>
  <c r="E318" i="1"/>
  <c r="U318" i="1" s="1"/>
  <c r="E316" i="1"/>
  <c r="U316" i="1" s="1"/>
  <c r="E313" i="1"/>
  <c r="U313" i="1" s="1"/>
  <c r="E302" i="1"/>
  <c r="E295" i="1"/>
  <c r="U295" i="1" s="1"/>
  <c r="E288" i="1"/>
  <c r="U288" i="1" s="1"/>
  <c r="E286" i="1"/>
  <c r="U286" i="1" s="1"/>
  <c r="E282" i="1"/>
  <c r="U282" i="1" s="1"/>
  <c r="E276" i="1"/>
  <c r="U276" i="1" s="1"/>
  <c r="E275" i="1"/>
  <c r="U275" i="1" s="1"/>
  <c r="E264" i="1"/>
  <c r="U264" i="1" s="1"/>
  <c r="E262" i="1"/>
  <c r="U262" i="1" s="1"/>
  <c r="E254" i="1"/>
  <c r="U254" i="1" s="1"/>
  <c r="E246" i="1"/>
  <c r="U246" i="1" s="1"/>
  <c r="E242" i="1"/>
  <c r="U242" i="1" s="1"/>
  <c r="E228" i="1"/>
  <c r="U228" i="1" s="1"/>
  <c r="E227" i="1"/>
  <c r="U227" i="1" s="1"/>
  <c r="E205" i="1"/>
  <c r="U205" i="1" s="1"/>
  <c r="E195" i="1"/>
  <c r="U195" i="1" s="1"/>
  <c r="E194" i="1"/>
  <c r="U194" i="1" s="1"/>
  <c r="E190" i="1"/>
  <c r="E180" i="1"/>
  <c r="U180" i="1" s="1"/>
  <c r="E150" i="1"/>
  <c r="U150" i="1" s="1"/>
  <c r="E141" i="1"/>
  <c r="U141" i="1" s="1"/>
  <c r="E139" i="1"/>
  <c r="U139" i="1" s="1"/>
  <c r="E138" i="1"/>
  <c r="U138" i="1" s="1"/>
  <c r="E137" i="1"/>
  <c r="U137" i="1" s="1"/>
  <c r="E133" i="1"/>
  <c r="U133" i="1" s="1"/>
  <c r="E129" i="1"/>
  <c r="U129" i="1" s="1"/>
  <c r="E127" i="1"/>
  <c r="E126" i="1"/>
  <c r="U126" i="1" s="1"/>
  <c r="E123" i="1"/>
  <c r="U123" i="1" s="1"/>
  <c r="E97" i="1"/>
  <c r="U97" i="1" s="1"/>
  <c r="E96" i="1"/>
  <c r="U96" i="1" s="1"/>
  <c r="E94" i="1"/>
  <c r="U94" i="1" s="1"/>
  <c r="E93" i="1"/>
  <c r="U93" i="1" s="1"/>
  <c r="E92" i="1"/>
  <c r="U92" i="1" s="1"/>
  <c r="E85" i="1"/>
  <c r="U85" i="1" s="1"/>
  <c r="E77" i="1"/>
  <c r="U77" i="1" s="1"/>
  <c r="E70" i="1"/>
  <c r="U70" i="1" s="1"/>
  <c r="E69" i="1"/>
  <c r="U69" i="1" s="1"/>
  <c r="E64" i="1"/>
  <c r="U64" i="1" s="1"/>
  <c r="E54" i="1"/>
  <c r="U54" i="1" s="1"/>
  <c r="E44" i="1"/>
  <c r="U44" i="1" s="1"/>
  <c r="E43" i="1"/>
  <c r="U43" i="1" s="1"/>
  <c r="E40" i="1"/>
  <c r="U40" i="1" s="1"/>
  <c r="E36" i="1"/>
  <c r="U36" i="1" s="1"/>
  <c r="E31" i="1"/>
  <c r="U31" i="1" s="1"/>
  <c r="E20" i="1"/>
  <c r="U20" i="1" s="1"/>
  <c r="E18" i="1"/>
  <c r="U18" i="1" s="1"/>
  <c r="E17" i="1"/>
  <c r="E13" i="1"/>
  <c r="U13" i="1" s="1"/>
  <c r="E9" i="1"/>
  <c r="U9" i="1" s="1"/>
  <c r="E6" i="1"/>
  <c r="U6" i="1" s="1"/>
  <c r="E3" i="1"/>
  <c r="U3" i="1" s="1"/>
  <c r="D1998" i="1"/>
  <c r="T1998" i="1" s="1"/>
  <c r="D1991" i="1"/>
  <c r="T1991" i="1" s="1"/>
  <c r="D1980" i="1"/>
  <c r="T1980" i="1" s="1"/>
  <c r="D1966" i="1"/>
  <c r="T1966" i="1" s="1"/>
  <c r="D1949" i="1"/>
  <c r="T1949" i="1" s="1"/>
  <c r="D1945" i="1"/>
  <c r="T1945" i="1" s="1"/>
  <c r="D1943" i="1"/>
  <c r="T1943" i="1" s="1"/>
  <c r="D1933" i="1"/>
  <c r="T1933" i="1" s="1"/>
  <c r="D1929" i="1"/>
  <c r="T1929" i="1" s="1"/>
  <c r="D1925" i="1"/>
  <c r="T1925" i="1" s="1"/>
  <c r="D1923" i="1"/>
  <c r="T1923" i="1" s="1"/>
  <c r="D1911" i="1"/>
  <c r="T1911" i="1" s="1"/>
  <c r="D1901" i="1"/>
  <c r="T1901" i="1" s="1"/>
  <c r="D1897" i="1"/>
  <c r="T1897" i="1" s="1"/>
  <c r="D1896" i="1"/>
  <c r="T1896" i="1" s="1"/>
  <c r="D1883" i="1"/>
  <c r="T1883" i="1" s="1"/>
  <c r="D1879" i="1"/>
  <c r="T1879" i="1" s="1"/>
  <c r="D1863" i="1"/>
  <c r="T1863" i="1" s="1"/>
  <c r="D1861" i="1"/>
  <c r="T1861" i="1" s="1"/>
  <c r="D1858" i="1"/>
  <c r="T1858" i="1" s="1"/>
  <c r="D1855" i="1"/>
  <c r="T1855" i="1" s="1"/>
  <c r="D1853" i="1"/>
  <c r="T1853" i="1" s="1"/>
  <c r="D1850" i="1"/>
  <c r="T1850" i="1" s="1"/>
  <c r="D1849" i="1"/>
  <c r="T1849" i="1" s="1"/>
  <c r="D1845" i="1"/>
  <c r="T1845" i="1" s="1"/>
  <c r="D1844" i="1"/>
  <c r="T1844" i="1" s="1"/>
  <c r="D1835" i="1"/>
  <c r="T1835" i="1" s="1"/>
  <c r="D1832" i="1"/>
  <c r="T1832" i="1" s="1"/>
  <c r="D1831" i="1"/>
  <c r="T1831" i="1" s="1"/>
  <c r="D1829" i="1"/>
  <c r="T1829" i="1" s="1"/>
  <c r="D1827" i="1"/>
  <c r="T1827" i="1" s="1"/>
  <c r="D1822" i="1"/>
  <c r="T1822" i="1" s="1"/>
  <c r="D1818" i="1"/>
  <c r="T1818" i="1" s="1"/>
  <c r="D1815" i="1"/>
  <c r="T1815" i="1" s="1"/>
  <c r="D1808" i="1"/>
  <c r="T1808" i="1" s="1"/>
  <c r="D1805" i="1"/>
  <c r="T1805" i="1" s="1"/>
  <c r="D1793" i="1"/>
  <c r="T1793" i="1" s="1"/>
  <c r="D1792" i="1"/>
  <c r="T1792" i="1" s="1"/>
  <c r="D1790" i="1"/>
  <c r="T1790" i="1" s="1"/>
  <c r="D1786" i="1"/>
  <c r="T1786" i="1" s="1"/>
  <c r="D1782" i="1"/>
  <c r="T1782" i="1" s="1"/>
  <c r="D1781" i="1"/>
  <c r="T1781" i="1" s="1"/>
  <c r="D1779" i="1"/>
  <c r="T1779" i="1" s="1"/>
  <c r="D1767" i="1"/>
  <c r="T1767" i="1" s="1"/>
  <c r="D1755" i="1"/>
  <c r="T1755" i="1" s="1"/>
  <c r="D1741" i="1"/>
  <c r="T1741" i="1" s="1"/>
  <c r="D1729" i="1"/>
  <c r="T1729" i="1" s="1"/>
  <c r="D1724" i="1"/>
  <c r="T1724" i="1" s="1"/>
  <c r="D1720" i="1"/>
  <c r="T1720" i="1" s="1"/>
  <c r="D1713" i="1"/>
  <c r="T1713" i="1" s="1"/>
  <c r="D1712" i="1"/>
  <c r="T1712" i="1" s="1"/>
  <c r="D1706" i="1"/>
  <c r="T1706" i="1" s="1"/>
  <c r="D1699" i="1"/>
  <c r="T1699" i="1" s="1"/>
  <c r="D1690" i="1"/>
  <c r="T1690" i="1" s="1"/>
  <c r="D1680" i="1"/>
  <c r="T1680" i="1" s="1"/>
  <c r="D1676" i="1"/>
  <c r="T1676" i="1" s="1"/>
  <c r="D1671" i="1"/>
  <c r="T1671" i="1" s="1"/>
  <c r="D1670" i="1"/>
  <c r="T1670" i="1" s="1"/>
  <c r="D1665" i="1"/>
  <c r="T1665" i="1" s="1"/>
  <c r="D1659" i="1"/>
  <c r="T1659" i="1" s="1"/>
  <c r="D1642" i="1"/>
  <c r="T1642" i="1" s="1"/>
  <c r="D1633" i="1"/>
  <c r="T1633" i="1" s="1"/>
  <c r="D1632" i="1"/>
  <c r="D1628" i="1"/>
  <c r="T1628" i="1" s="1"/>
  <c r="D1617" i="1"/>
  <c r="T1617" i="1" s="1"/>
  <c r="D1609" i="1"/>
  <c r="T1609" i="1" s="1"/>
  <c r="D1604" i="1"/>
  <c r="T1604" i="1" s="1"/>
  <c r="D1589" i="1"/>
  <c r="T1589" i="1" s="1"/>
  <c r="D1586" i="1"/>
  <c r="T1586" i="1" s="1"/>
  <c r="D1575" i="1"/>
  <c r="T1575" i="1" s="1"/>
  <c r="D1573" i="1"/>
  <c r="T1573" i="1" s="1"/>
  <c r="D1557" i="1"/>
  <c r="T1557" i="1" s="1"/>
  <c r="D1555" i="1"/>
  <c r="T1555" i="1" s="1"/>
  <c r="D1552" i="1"/>
  <c r="T1552" i="1" s="1"/>
  <c r="D1545" i="1"/>
  <c r="T1545" i="1" s="1"/>
  <c r="D1542" i="1"/>
  <c r="T1542" i="1" s="1"/>
  <c r="D1538" i="1"/>
  <c r="T1538" i="1" s="1"/>
  <c r="D1531" i="1"/>
  <c r="T1531" i="1" s="1"/>
  <c r="D1526" i="1"/>
  <c r="T1526" i="1" s="1"/>
  <c r="D1521" i="1"/>
  <c r="T1521" i="1" s="1"/>
  <c r="D1520" i="1"/>
  <c r="D1519" i="1"/>
  <c r="T1519" i="1" s="1"/>
  <c r="D1506" i="1"/>
  <c r="T1506" i="1" s="1"/>
  <c r="D1505" i="1"/>
  <c r="T1505" i="1" s="1"/>
  <c r="D1501" i="1"/>
  <c r="T1501" i="1" s="1"/>
  <c r="D1499" i="1"/>
  <c r="T1499" i="1" s="1"/>
  <c r="D1494" i="1"/>
  <c r="T1494" i="1" s="1"/>
  <c r="D1490" i="1"/>
  <c r="T1490" i="1" s="1"/>
  <c r="D1488" i="1"/>
  <c r="T1488" i="1" s="1"/>
  <c r="D1482" i="1"/>
  <c r="T1482" i="1" s="1"/>
  <c r="D1480" i="1"/>
  <c r="T1480" i="1" s="1"/>
  <c r="D1478" i="1"/>
  <c r="T1478" i="1" s="1"/>
  <c r="D1474" i="1"/>
  <c r="T1474" i="1" s="1"/>
  <c r="D1470" i="1"/>
  <c r="T1470" i="1" s="1"/>
  <c r="D1465" i="1"/>
  <c r="T1465" i="1" s="1"/>
  <c r="D1464" i="1"/>
  <c r="T1464" i="1" s="1"/>
  <c r="D1462" i="1"/>
  <c r="T1462" i="1" s="1"/>
  <c r="D1457" i="1"/>
  <c r="T1457" i="1" s="1"/>
  <c r="D1454" i="1"/>
  <c r="T1454" i="1" s="1"/>
  <c r="D1450" i="1"/>
  <c r="T1450" i="1" s="1"/>
  <c r="D1445" i="1"/>
  <c r="T1445" i="1" s="1"/>
  <c r="D1443" i="1"/>
  <c r="T1443" i="1" s="1"/>
  <c r="D1442" i="1"/>
  <c r="T1442" i="1" s="1"/>
  <c r="D1423" i="1"/>
  <c r="T1423" i="1" s="1"/>
  <c r="D1420" i="1"/>
  <c r="T1420" i="1" s="1"/>
  <c r="D1416" i="1"/>
  <c r="T1416" i="1" s="1"/>
  <c r="D1415" i="1"/>
  <c r="T1415" i="1" s="1"/>
  <c r="D1409" i="1"/>
  <c r="T1409" i="1" s="1"/>
  <c r="D1367" i="1"/>
  <c r="T1367" i="1" s="1"/>
  <c r="D1365" i="1"/>
  <c r="T1365" i="1" s="1"/>
  <c r="D1363" i="1"/>
  <c r="T1363" i="1" s="1"/>
  <c r="D1362" i="1"/>
  <c r="T1362" i="1" s="1"/>
  <c r="D1360" i="1"/>
  <c r="T1360" i="1" s="1"/>
  <c r="D1342" i="1"/>
  <c r="T1342" i="1" s="1"/>
  <c r="D1341" i="1"/>
  <c r="T1341" i="1" s="1"/>
  <c r="D1330" i="1"/>
  <c r="T1330" i="1" s="1"/>
  <c r="D1327" i="1"/>
  <c r="T1327" i="1" s="1"/>
  <c r="D1324" i="1"/>
  <c r="T1324" i="1" s="1"/>
  <c r="D1323" i="1"/>
  <c r="T1323" i="1" s="1"/>
  <c r="D1320" i="1"/>
  <c r="T1320" i="1" s="1"/>
  <c r="D1316" i="1"/>
  <c r="T1316" i="1" s="1"/>
  <c r="D1313" i="1"/>
  <c r="T1313" i="1" s="1"/>
  <c r="D1306" i="1"/>
  <c r="T1306" i="1" s="1"/>
  <c r="D1303" i="1"/>
  <c r="T1303" i="1" s="1"/>
  <c r="D1296" i="1"/>
  <c r="T1296" i="1" s="1"/>
  <c r="D1290" i="1"/>
  <c r="T1290" i="1" s="1"/>
  <c r="D1287" i="1"/>
  <c r="T1287" i="1" s="1"/>
  <c r="D1282" i="1"/>
  <c r="T1282" i="1" s="1"/>
  <c r="D1277" i="1"/>
  <c r="T1277" i="1" s="1"/>
  <c r="D1271" i="1"/>
  <c r="T1271" i="1" s="1"/>
  <c r="D1266" i="1"/>
  <c r="T1266" i="1" s="1"/>
  <c r="D1265" i="1"/>
  <c r="T1265" i="1" s="1"/>
  <c r="D1264" i="1"/>
  <c r="T1264" i="1" s="1"/>
  <c r="D1259" i="1"/>
  <c r="T1259" i="1" s="1"/>
  <c r="D1257" i="1"/>
  <c r="T1257" i="1" s="1"/>
  <c r="D1245" i="1"/>
  <c r="T1245" i="1" s="1"/>
  <c r="D1244" i="1"/>
  <c r="T1244" i="1" s="1"/>
  <c r="D1223" i="1"/>
  <c r="T1223" i="1" s="1"/>
  <c r="D1218" i="1"/>
  <c r="T1218" i="1" s="1"/>
  <c r="D1210" i="1"/>
  <c r="T1210" i="1" s="1"/>
  <c r="D1209" i="1"/>
  <c r="T1209" i="1" s="1"/>
  <c r="D1207" i="1"/>
  <c r="T1207" i="1" s="1"/>
  <c r="D1206" i="1"/>
  <c r="T1206" i="1" s="1"/>
  <c r="D1203" i="1"/>
  <c r="T1203" i="1" s="1"/>
  <c r="D1201" i="1"/>
  <c r="T1201" i="1" s="1"/>
  <c r="D1198" i="1"/>
  <c r="T1198" i="1" s="1"/>
  <c r="D1194" i="1"/>
  <c r="T1194" i="1" s="1"/>
  <c r="D1172" i="1"/>
  <c r="T1172" i="1" s="1"/>
  <c r="D1166" i="1"/>
  <c r="T1166" i="1" s="1"/>
  <c r="D1165" i="1"/>
  <c r="T1165" i="1" s="1"/>
  <c r="D1163" i="1"/>
  <c r="T1163" i="1" s="1"/>
  <c r="D1161" i="1"/>
  <c r="T1161" i="1" s="1"/>
  <c r="D1159" i="1"/>
  <c r="T1159" i="1" s="1"/>
  <c r="D1156" i="1"/>
  <c r="T1156" i="1" s="1"/>
  <c r="D1153" i="1"/>
  <c r="T1153" i="1" s="1"/>
  <c r="D1151" i="1"/>
  <c r="T1151" i="1" s="1"/>
  <c r="D1144" i="1"/>
  <c r="T1144" i="1" s="1"/>
  <c r="D1142" i="1"/>
  <c r="T1142" i="1" s="1"/>
  <c r="D1139" i="1"/>
  <c r="T1139" i="1" s="1"/>
  <c r="D1138" i="1"/>
  <c r="T1138" i="1" s="1"/>
  <c r="D1137" i="1"/>
  <c r="T1137" i="1" s="1"/>
  <c r="D1133" i="1"/>
  <c r="T1133" i="1" s="1"/>
  <c r="D1122" i="1"/>
  <c r="T1122" i="1" s="1"/>
  <c r="D1121" i="1"/>
  <c r="T1121" i="1" s="1"/>
  <c r="D1117" i="1"/>
  <c r="T1117" i="1" s="1"/>
  <c r="D1108" i="1"/>
  <c r="T1108" i="1" s="1"/>
  <c r="D1105" i="1"/>
  <c r="T1105" i="1" s="1"/>
  <c r="D1103" i="1"/>
  <c r="T1103" i="1" s="1"/>
  <c r="D1099" i="1"/>
  <c r="T1099" i="1" s="1"/>
  <c r="D1090" i="1"/>
  <c r="T1090" i="1" s="1"/>
  <c r="D1086" i="1"/>
  <c r="T1086" i="1" s="1"/>
  <c r="D1084" i="1"/>
  <c r="T1084" i="1" s="1"/>
  <c r="D1083" i="1"/>
  <c r="T1083" i="1" s="1"/>
  <c r="D1080" i="1"/>
  <c r="T1080" i="1" s="1"/>
  <c r="D1076" i="1"/>
  <c r="T1076" i="1" s="1"/>
  <c r="D1074" i="1"/>
  <c r="T1074" i="1" s="1"/>
  <c r="D1070" i="1"/>
  <c r="T1070" i="1" s="1"/>
  <c r="D1057" i="1"/>
  <c r="T1057" i="1" s="1"/>
  <c r="D1056" i="1"/>
  <c r="T1056" i="1" s="1"/>
  <c r="D1050" i="1"/>
  <c r="T1050" i="1" s="1"/>
  <c r="D1049" i="1"/>
  <c r="T1049" i="1" s="1"/>
  <c r="D1047" i="1"/>
  <c r="T1047" i="1" s="1"/>
  <c r="D1046" i="1"/>
  <c r="T1046" i="1" s="1"/>
  <c r="D1045" i="1"/>
  <c r="T1045" i="1" s="1"/>
  <c r="D1041" i="1"/>
  <c r="T1041" i="1" s="1"/>
  <c r="D1039" i="1"/>
  <c r="T1039" i="1" s="1"/>
  <c r="D1038" i="1"/>
  <c r="T1038" i="1" s="1"/>
  <c r="D1037" i="1"/>
  <c r="T1037" i="1" s="1"/>
  <c r="D1034" i="1"/>
  <c r="T1034" i="1" s="1"/>
  <c r="D1033" i="1"/>
  <c r="T1033" i="1" s="1"/>
  <c r="D1031" i="1"/>
  <c r="T1031" i="1" s="1"/>
  <c r="D1029" i="1"/>
  <c r="T1029" i="1" s="1"/>
  <c r="D1025" i="1"/>
  <c r="T1025" i="1" s="1"/>
  <c r="D1012" i="1"/>
  <c r="T1012" i="1" s="1"/>
  <c r="D1011" i="1"/>
  <c r="T1011" i="1" s="1"/>
  <c r="D1009" i="1"/>
  <c r="T1009" i="1" s="1"/>
  <c r="D1004" i="1"/>
  <c r="T1004" i="1" s="1"/>
  <c r="D988" i="1"/>
  <c r="D987" i="1"/>
  <c r="T987" i="1" s="1"/>
  <c r="D985" i="1"/>
  <c r="T985" i="1" s="1"/>
  <c r="D984" i="1"/>
  <c r="T984" i="1" s="1"/>
  <c r="D975" i="1"/>
  <c r="T975" i="1" s="1"/>
  <c r="D972" i="1"/>
  <c r="T972" i="1" s="1"/>
  <c r="D971" i="1"/>
  <c r="T971" i="1" s="1"/>
  <c r="D965" i="1"/>
  <c r="T965" i="1" s="1"/>
  <c r="D958" i="1"/>
  <c r="T958" i="1" s="1"/>
  <c r="D957" i="1"/>
  <c r="T957" i="1" s="1"/>
  <c r="D954" i="1"/>
  <c r="T954" i="1" s="1"/>
  <c r="D952" i="1"/>
  <c r="T952" i="1" s="1"/>
  <c r="D950" i="1"/>
  <c r="T950" i="1" s="1"/>
  <c r="D946" i="1"/>
  <c r="T946" i="1" s="1"/>
  <c r="D944" i="1"/>
  <c r="T944" i="1" s="1"/>
  <c r="D938" i="1"/>
  <c r="T938" i="1" s="1"/>
  <c r="D937" i="1"/>
  <c r="T937" i="1" s="1"/>
  <c r="D934" i="1"/>
  <c r="T934" i="1" s="1"/>
  <c r="D931" i="1"/>
  <c r="T931" i="1" s="1"/>
  <c r="D929" i="1"/>
  <c r="T929" i="1" s="1"/>
  <c r="D927" i="1"/>
  <c r="T927" i="1" s="1"/>
  <c r="D925" i="1"/>
  <c r="T925" i="1" s="1"/>
  <c r="D922" i="1"/>
  <c r="T922" i="1" s="1"/>
  <c r="D920" i="1"/>
  <c r="T920" i="1" s="1"/>
  <c r="D912" i="1"/>
  <c r="T912" i="1" s="1"/>
  <c r="D902" i="1"/>
  <c r="T902" i="1" s="1"/>
  <c r="D899" i="1"/>
  <c r="T899" i="1" s="1"/>
  <c r="D898" i="1"/>
  <c r="T898" i="1" s="1"/>
  <c r="D887" i="1"/>
  <c r="T887" i="1" s="1"/>
  <c r="D882" i="1"/>
  <c r="T882" i="1" s="1"/>
  <c r="D879" i="1"/>
  <c r="T879" i="1" s="1"/>
  <c r="D878" i="1"/>
  <c r="T878" i="1" s="1"/>
  <c r="D871" i="1"/>
  <c r="T871" i="1" s="1"/>
  <c r="D869" i="1"/>
  <c r="T869" i="1" s="1"/>
  <c r="D868" i="1"/>
  <c r="T868" i="1" s="1"/>
  <c r="D866" i="1"/>
  <c r="T866" i="1" s="1"/>
  <c r="D864" i="1"/>
  <c r="T864" i="1" s="1"/>
  <c r="D859" i="1"/>
  <c r="T859" i="1" s="1"/>
  <c r="D856" i="1"/>
  <c r="T856" i="1" s="1"/>
  <c r="D854" i="1"/>
  <c r="T854" i="1" s="1"/>
  <c r="D851" i="1"/>
  <c r="T851" i="1" s="1"/>
  <c r="D847" i="1"/>
  <c r="T847" i="1" s="1"/>
  <c r="D846" i="1"/>
  <c r="T846" i="1" s="1"/>
  <c r="D841" i="1"/>
  <c r="T841" i="1" s="1"/>
  <c r="D837" i="1"/>
  <c r="T837" i="1" s="1"/>
  <c r="D834" i="1"/>
  <c r="T834" i="1" s="1"/>
  <c r="D833" i="1"/>
  <c r="T833" i="1" s="1"/>
  <c r="D830" i="1"/>
  <c r="T830" i="1" s="1"/>
  <c r="D820" i="1"/>
  <c r="T820" i="1" s="1"/>
  <c r="D807" i="1"/>
  <c r="T807" i="1" s="1"/>
  <c r="D799" i="1"/>
  <c r="T799" i="1" s="1"/>
  <c r="D780" i="1"/>
  <c r="T780" i="1" s="1"/>
  <c r="D775" i="1"/>
  <c r="T775" i="1" s="1"/>
  <c r="D760" i="1"/>
  <c r="T760" i="1" s="1"/>
  <c r="D759" i="1"/>
  <c r="T759" i="1" s="1"/>
  <c r="D752" i="1"/>
  <c r="T752" i="1" s="1"/>
  <c r="D748" i="1"/>
  <c r="T748" i="1" s="1"/>
  <c r="D745" i="1"/>
  <c r="T745" i="1" s="1"/>
  <c r="D744" i="1"/>
  <c r="T744" i="1" s="1"/>
  <c r="D742" i="1"/>
  <c r="T742" i="1" s="1"/>
  <c r="D739" i="1"/>
  <c r="T739" i="1" s="1"/>
  <c r="D738" i="1"/>
  <c r="T738" i="1" s="1"/>
  <c r="D726" i="1"/>
  <c r="T726" i="1" s="1"/>
  <c r="D722" i="1"/>
  <c r="T722" i="1" s="1"/>
  <c r="D721" i="1"/>
  <c r="T721" i="1" s="1"/>
  <c r="D720" i="1"/>
  <c r="T720" i="1" s="1"/>
  <c r="D719" i="1"/>
  <c r="T719" i="1" s="1"/>
  <c r="D714" i="1"/>
  <c r="T714" i="1" s="1"/>
  <c r="D711" i="1"/>
  <c r="T711" i="1" s="1"/>
  <c r="D709" i="1"/>
  <c r="T709" i="1" s="1"/>
  <c r="D701" i="1"/>
  <c r="T701" i="1" s="1"/>
  <c r="D699" i="1"/>
  <c r="T699" i="1" s="1"/>
  <c r="D696" i="1"/>
  <c r="T696" i="1" s="1"/>
  <c r="D688" i="1"/>
  <c r="T688" i="1" s="1"/>
  <c r="D684" i="1"/>
  <c r="T684" i="1" s="1"/>
  <c r="D677" i="1"/>
  <c r="T677" i="1" s="1"/>
  <c r="D676" i="1"/>
  <c r="T676" i="1" s="1"/>
  <c r="D667" i="1"/>
  <c r="T667" i="1" s="1"/>
  <c r="D666" i="1"/>
  <c r="T666" i="1" s="1"/>
  <c r="D664" i="1"/>
  <c r="T664" i="1" s="1"/>
  <c r="D663" i="1"/>
  <c r="T663" i="1" s="1"/>
  <c r="D658" i="1"/>
  <c r="T658" i="1" s="1"/>
  <c r="D657" i="1"/>
  <c r="T657" i="1" s="1"/>
  <c r="D651" i="1"/>
  <c r="T651" i="1" s="1"/>
  <c r="D648" i="1"/>
  <c r="T648" i="1" s="1"/>
  <c r="D644" i="1"/>
  <c r="T644" i="1" s="1"/>
  <c r="D640" i="1"/>
  <c r="T640" i="1" s="1"/>
  <c r="D635" i="1"/>
  <c r="T635" i="1" s="1"/>
  <c r="D632" i="1"/>
  <c r="T632" i="1" s="1"/>
  <c r="D616" i="1"/>
  <c r="T616" i="1" s="1"/>
  <c r="D614" i="1"/>
  <c r="T614" i="1" s="1"/>
  <c r="D613" i="1"/>
  <c r="T613" i="1" s="1"/>
  <c r="D605" i="1"/>
  <c r="T605" i="1" s="1"/>
  <c r="D602" i="1"/>
  <c r="T602" i="1" s="1"/>
  <c r="D589" i="1"/>
  <c r="T589" i="1" s="1"/>
  <c r="D584" i="1"/>
  <c r="T584" i="1" s="1"/>
  <c r="D582" i="1"/>
  <c r="T582" i="1" s="1"/>
  <c r="D576" i="1"/>
  <c r="T576" i="1" s="1"/>
  <c r="D574" i="1"/>
  <c r="T574" i="1" s="1"/>
  <c r="D573" i="1"/>
  <c r="T573" i="1" s="1"/>
  <c r="D569" i="1"/>
  <c r="T569" i="1" s="1"/>
  <c r="D568" i="1"/>
  <c r="T568" i="1" s="1"/>
  <c r="D564" i="1"/>
  <c r="T564" i="1" s="1"/>
  <c r="D559" i="1"/>
  <c r="T559" i="1" s="1"/>
  <c r="D557" i="1"/>
  <c r="T557" i="1" s="1"/>
  <c r="D547" i="1"/>
  <c r="T547" i="1" s="1"/>
  <c r="D541" i="1"/>
  <c r="T541" i="1" s="1"/>
  <c r="D540" i="1"/>
  <c r="T540" i="1" s="1"/>
  <c r="D536" i="1"/>
  <c r="T536" i="1" s="1"/>
  <c r="D528" i="1"/>
  <c r="T528" i="1" s="1"/>
  <c r="D527" i="1"/>
  <c r="T527" i="1" s="1"/>
  <c r="D525" i="1"/>
  <c r="T525" i="1" s="1"/>
  <c r="D523" i="1"/>
  <c r="T523" i="1" s="1"/>
  <c r="D522" i="1"/>
  <c r="T522" i="1" s="1"/>
  <c r="D518" i="1"/>
  <c r="T518" i="1" s="1"/>
  <c r="D517" i="1"/>
  <c r="T517" i="1" s="1"/>
  <c r="D515" i="1"/>
  <c r="T515" i="1" s="1"/>
  <c r="D514" i="1"/>
  <c r="T514" i="1" s="1"/>
  <c r="D512" i="1"/>
  <c r="T512" i="1" s="1"/>
  <c r="D503" i="1"/>
  <c r="T503" i="1" s="1"/>
  <c r="D502" i="1"/>
  <c r="T502" i="1" s="1"/>
  <c r="D494" i="1"/>
  <c r="T494" i="1" s="1"/>
  <c r="D479" i="1"/>
  <c r="T479" i="1" s="1"/>
  <c r="D474" i="1"/>
  <c r="T474" i="1" s="1"/>
  <c r="D464" i="1"/>
  <c r="T464" i="1" s="1"/>
  <c r="D457" i="1"/>
  <c r="T457" i="1" s="1"/>
  <c r="D454" i="1"/>
  <c r="T454" i="1" s="1"/>
  <c r="D433" i="1"/>
  <c r="T433" i="1" s="1"/>
  <c r="D426" i="1"/>
  <c r="T426" i="1" s="1"/>
  <c r="D425" i="1"/>
  <c r="T425" i="1" s="1"/>
  <c r="D423" i="1"/>
  <c r="T423" i="1" s="1"/>
  <c r="D418" i="1"/>
  <c r="T418" i="1" s="1"/>
  <c r="D416" i="1"/>
  <c r="T416" i="1" s="1"/>
  <c r="D409" i="1"/>
  <c r="T409" i="1" s="1"/>
  <c r="D407" i="1"/>
  <c r="T407" i="1" s="1"/>
  <c r="D404" i="1"/>
  <c r="T404" i="1" s="1"/>
  <c r="D403" i="1"/>
  <c r="T403" i="1" s="1"/>
  <c r="D402" i="1"/>
  <c r="T402" i="1" s="1"/>
  <c r="D399" i="1"/>
  <c r="T399" i="1" s="1"/>
  <c r="D396" i="1"/>
  <c r="T396" i="1" s="1"/>
  <c r="D392" i="1"/>
  <c r="T392" i="1" s="1"/>
  <c r="D386" i="1"/>
  <c r="T386" i="1" s="1"/>
  <c r="D377" i="1"/>
  <c r="T377" i="1" s="1"/>
  <c r="D358" i="1"/>
  <c r="T358" i="1" s="1"/>
  <c r="D351" i="1"/>
  <c r="D340" i="1"/>
  <c r="T340" i="1" s="1"/>
  <c r="D335" i="1"/>
  <c r="T335" i="1" s="1"/>
  <c r="D332" i="1"/>
  <c r="T332" i="1" s="1"/>
  <c r="D328" i="1"/>
  <c r="T328" i="1" s="1"/>
  <c r="D318" i="1"/>
  <c r="T318" i="1" s="1"/>
  <c r="D316" i="1"/>
  <c r="T316" i="1" s="1"/>
  <c r="D313" i="1"/>
  <c r="T313" i="1" s="1"/>
  <c r="D302" i="1"/>
  <c r="T302" i="1" s="1"/>
  <c r="D295" i="1"/>
  <c r="T295" i="1" s="1"/>
  <c r="D288" i="1"/>
  <c r="T288" i="1" s="1"/>
  <c r="D286" i="1"/>
  <c r="T286" i="1" s="1"/>
  <c r="D282" i="1"/>
  <c r="T282" i="1" s="1"/>
  <c r="D276" i="1"/>
  <c r="T276" i="1" s="1"/>
  <c r="D275" i="1"/>
  <c r="T275" i="1" s="1"/>
  <c r="D264" i="1"/>
  <c r="T264" i="1" s="1"/>
  <c r="D262" i="1"/>
  <c r="T262" i="1" s="1"/>
  <c r="D254" i="1"/>
  <c r="T254" i="1" s="1"/>
  <c r="D246" i="1"/>
  <c r="T246" i="1" s="1"/>
  <c r="D242" i="1"/>
  <c r="T242" i="1" s="1"/>
  <c r="D228" i="1"/>
  <c r="T228" i="1" s="1"/>
  <c r="D227" i="1"/>
  <c r="T227" i="1" s="1"/>
  <c r="D205" i="1"/>
  <c r="T205" i="1" s="1"/>
  <c r="D195" i="1"/>
  <c r="T195" i="1" s="1"/>
  <c r="D194" i="1"/>
  <c r="T194" i="1" s="1"/>
  <c r="D190" i="1"/>
  <c r="T190" i="1" s="1"/>
  <c r="D180" i="1"/>
  <c r="T180" i="1" s="1"/>
  <c r="D150" i="1"/>
  <c r="T150" i="1" s="1"/>
  <c r="D141" i="1"/>
  <c r="T141" i="1" s="1"/>
  <c r="D139" i="1"/>
  <c r="T139" i="1" s="1"/>
  <c r="D138" i="1"/>
  <c r="T138" i="1" s="1"/>
  <c r="D137" i="1"/>
  <c r="T137" i="1" s="1"/>
  <c r="D133" i="1"/>
  <c r="T133" i="1" s="1"/>
  <c r="D129" i="1"/>
  <c r="T129" i="1" s="1"/>
  <c r="D127" i="1"/>
  <c r="T127" i="1" s="1"/>
  <c r="D126" i="1"/>
  <c r="T126" i="1" s="1"/>
  <c r="D123" i="1"/>
  <c r="T123" i="1" s="1"/>
  <c r="D97" i="1"/>
  <c r="T97" i="1" s="1"/>
  <c r="D96" i="1"/>
  <c r="T96" i="1" s="1"/>
  <c r="D94" i="1"/>
  <c r="T94" i="1" s="1"/>
  <c r="D93" i="1"/>
  <c r="T93" i="1" s="1"/>
  <c r="D92" i="1"/>
  <c r="T92" i="1" s="1"/>
  <c r="D85" i="1"/>
  <c r="T85" i="1" s="1"/>
  <c r="D77" i="1"/>
  <c r="T77" i="1" s="1"/>
  <c r="D70" i="1"/>
  <c r="T70" i="1" s="1"/>
  <c r="D69" i="1"/>
  <c r="T69" i="1" s="1"/>
  <c r="D64" i="1"/>
  <c r="T64" i="1" s="1"/>
  <c r="D54" i="1"/>
  <c r="T54" i="1" s="1"/>
  <c r="D44" i="1"/>
  <c r="T44" i="1" s="1"/>
  <c r="D43" i="1"/>
  <c r="T43" i="1" s="1"/>
  <c r="D40" i="1"/>
  <c r="T40" i="1" s="1"/>
  <c r="D36" i="1"/>
  <c r="T36" i="1" s="1"/>
  <c r="D31" i="1"/>
  <c r="T31" i="1" s="1"/>
  <c r="D20" i="1"/>
  <c r="T20" i="1" s="1"/>
  <c r="D18" i="1"/>
  <c r="T18" i="1" s="1"/>
  <c r="D17" i="1"/>
  <c r="T17" i="1" s="1"/>
  <c r="D13" i="1"/>
  <c r="T13" i="1" s="1"/>
  <c r="D9" i="1"/>
  <c r="T9" i="1" s="1"/>
  <c r="D6" i="1"/>
  <c r="T6" i="1" s="1"/>
  <c r="D3" i="1"/>
  <c r="T3" i="1" s="1"/>
  <c r="Z2" i="1"/>
  <c r="AC2" i="1"/>
  <c r="AD2" i="1"/>
  <c r="AE2" i="1"/>
  <c r="AF2" i="1"/>
  <c r="AG2" i="1"/>
  <c r="AH2" i="1"/>
  <c r="Z3" i="1"/>
  <c r="AC3" i="1"/>
  <c r="AD3" i="1"/>
  <c r="AE3" i="1"/>
  <c r="AF3" i="1"/>
  <c r="AG3" i="1"/>
  <c r="AH3" i="1"/>
  <c r="Y3" i="1"/>
  <c r="Y2" i="1"/>
  <c r="Z1" i="1"/>
  <c r="AA1" i="1"/>
  <c r="AB1" i="1"/>
  <c r="AC1" i="1"/>
  <c r="AD1" i="1"/>
  <c r="AE1" i="1"/>
  <c r="AF1" i="1"/>
  <c r="AG1" i="1"/>
  <c r="AH1" i="1"/>
  <c r="Y1" i="1"/>
  <c r="AT11" i="1" l="1"/>
  <c r="AT9" i="1"/>
  <c r="AT8" i="1"/>
  <c r="AW1" i="1"/>
  <c r="AA7" i="1"/>
  <c r="AB7" i="1"/>
  <c r="AD4" i="1"/>
  <c r="AD5" i="1" s="1"/>
  <c r="AE4" i="1"/>
  <c r="AE5" i="1" s="1"/>
  <c r="AB2" i="1"/>
  <c r="AB3" i="1"/>
  <c r="AC4" i="1"/>
  <c r="AC5" i="1" s="1"/>
  <c r="AA3" i="1"/>
  <c r="AA2" i="1"/>
  <c r="Y4" i="1"/>
  <c r="Y6" i="1" s="1"/>
  <c r="AH4" i="1"/>
  <c r="AH6" i="1" s="1"/>
  <c r="AG4" i="1"/>
  <c r="AG6" i="1" s="1"/>
  <c r="AF4" i="1"/>
  <c r="AF6" i="1" s="1"/>
  <c r="Z4" i="1"/>
  <c r="Z5" i="1" s="1"/>
  <c r="AD6" i="1" l="1"/>
  <c r="AE6" i="1"/>
  <c r="AH5" i="1"/>
  <c r="AB4" i="1"/>
  <c r="AB5" i="1" s="1"/>
  <c r="AA4" i="1"/>
  <c r="AA5" i="1" s="1"/>
  <c r="AC6" i="1"/>
  <c r="R404" i="1" s="1"/>
  <c r="Y5" i="1"/>
  <c r="AF5" i="1"/>
  <c r="AG5" i="1"/>
  <c r="Z6" i="1"/>
  <c r="R961" i="1" l="1"/>
  <c r="R209" i="1"/>
  <c r="R1558" i="1"/>
  <c r="R1425" i="1"/>
  <c r="R1748" i="1"/>
  <c r="R1327" i="1"/>
  <c r="R1771" i="1"/>
  <c r="R659" i="1"/>
  <c r="R549" i="1"/>
  <c r="R1493" i="1"/>
  <c r="R1187" i="1"/>
  <c r="R96" i="1"/>
  <c r="R619" i="1"/>
  <c r="R1084" i="1"/>
  <c r="R677" i="1"/>
  <c r="R1638" i="1"/>
  <c r="R709" i="1"/>
  <c r="R1166" i="1"/>
  <c r="R1637" i="1"/>
  <c r="R503" i="1"/>
  <c r="R945" i="1"/>
  <c r="R1335" i="1"/>
  <c r="R1223" i="1"/>
  <c r="R1592" i="1"/>
  <c r="R409" i="1"/>
  <c r="R698" i="1"/>
  <c r="R1282" i="1"/>
  <c r="R1802" i="1"/>
  <c r="R1753" i="1"/>
  <c r="R1515" i="1"/>
  <c r="R634" i="1"/>
  <c r="R1206" i="1"/>
  <c r="R418" i="1"/>
  <c r="R690" i="1"/>
  <c r="R1101" i="1"/>
  <c r="R1123" i="1"/>
  <c r="R1043" i="1"/>
  <c r="R387" i="1"/>
  <c r="R1264" i="1"/>
  <c r="R1546" i="1"/>
  <c r="R680" i="1"/>
  <c r="R1139" i="1"/>
  <c r="R1442" i="1"/>
  <c r="R712" i="1"/>
  <c r="R879" i="1"/>
  <c r="R910" i="1"/>
  <c r="R1461" i="1"/>
  <c r="R80" i="1"/>
  <c r="R650" i="1"/>
  <c r="R1191" i="1"/>
  <c r="R1878" i="1"/>
  <c r="R1734" i="1"/>
  <c r="R1398" i="1"/>
  <c r="R496" i="1"/>
  <c r="R1189" i="1"/>
  <c r="R790" i="1"/>
  <c r="R1118" i="1"/>
  <c r="R1276" i="1"/>
  <c r="R1936" i="1"/>
  <c r="R1218" i="1"/>
  <c r="R1903" i="1"/>
  <c r="R1741" i="1"/>
  <c r="R846" i="1"/>
  <c r="R335" i="1"/>
  <c r="R255" i="1"/>
  <c r="R753" i="1"/>
  <c r="R1970" i="1"/>
  <c r="R1007" i="1"/>
  <c r="R681" i="1"/>
  <c r="AA6" i="1"/>
  <c r="R1314" i="1"/>
  <c r="R1913" i="1"/>
  <c r="R1838" i="1"/>
  <c r="R1597" i="1"/>
  <c r="R1846" i="1"/>
  <c r="R1712" i="1"/>
  <c r="R1346" i="1"/>
  <c r="R413" i="1"/>
  <c r="R1438" i="1"/>
  <c r="R774" i="1"/>
  <c r="R636" i="1"/>
  <c r="R1952" i="1"/>
  <c r="R1733" i="1"/>
  <c r="R1148" i="1"/>
  <c r="R527" i="1"/>
  <c r="R191" i="1"/>
  <c r="R392" i="1"/>
  <c r="R355" i="1"/>
  <c r="R1621" i="1"/>
  <c r="R1670" i="1"/>
  <c r="R1492" i="1"/>
  <c r="R157" i="1"/>
  <c r="R1359" i="1"/>
  <c r="R1626" i="1"/>
  <c r="R654" i="1"/>
  <c r="R657" i="1"/>
  <c r="R1959" i="1"/>
  <c r="R1072" i="1"/>
  <c r="R1090" i="1"/>
  <c r="R1533" i="1"/>
  <c r="R1819" i="1"/>
  <c r="R1692" i="1"/>
  <c r="R1320" i="1"/>
  <c r="R978" i="1"/>
  <c r="R1256" i="1"/>
  <c r="R646" i="1"/>
  <c r="R1596" i="1"/>
  <c r="R1752" i="1"/>
  <c r="R1073" i="1"/>
  <c r="R217" i="1"/>
  <c r="R1840" i="1"/>
  <c r="R1627" i="1"/>
  <c r="R1816" i="1"/>
  <c r="R1129" i="1"/>
  <c r="R1008" i="1"/>
  <c r="R1690" i="1"/>
  <c r="R781" i="1"/>
  <c r="R863" i="1"/>
  <c r="R1646" i="1"/>
  <c r="R1213" i="1"/>
  <c r="R735" i="1"/>
  <c r="R1848" i="1"/>
  <c r="R138" i="1"/>
  <c r="R727" i="1"/>
  <c r="R915" i="1"/>
  <c r="R1466" i="1"/>
  <c r="R1760" i="1"/>
  <c r="R1672" i="1"/>
  <c r="R1112" i="1"/>
  <c r="R925" i="1"/>
  <c r="R1239" i="1"/>
  <c r="R86" i="1"/>
  <c r="R1462" i="1"/>
  <c r="R208" i="1"/>
  <c r="R1244" i="1"/>
  <c r="R1933" i="1"/>
  <c r="R1856" i="1"/>
  <c r="R1048" i="1"/>
  <c r="R1847" i="1"/>
  <c r="R333" i="1"/>
  <c r="R331" i="1"/>
  <c r="R1389" i="1"/>
  <c r="R77" i="1"/>
  <c r="R1147" i="1"/>
  <c r="R425" i="1"/>
  <c r="R1941" i="1"/>
  <c r="R543" i="1"/>
  <c r="R1914" i="1"/>
  <c r="R805" i="1"/>
  <c r="R1397" i="1"/>
  <c r="R1414" i="1"/>
  <c r="R142" i="1"/>
  <c r="R689" i="1"/>
  <c r="R764" i="1"/>
  <c r="R1205" i="1"/>
  <c r="R70" i="1"/>
  <c r="R1598" i="1"/>
  <c r="R1564" i="1"/>
  <c r="R64" i="1"/>
  <c r="R1467" i="1"/>
  <c r="R1983" i="1"/>
  <c r="R904" i="1"/>
  <c r="R1173" i="1"/>
  <c r="R762" i="1"/>
  <c r="R1965" i="1"/>
  <c r="R1403" i="1"/>
  <c r="R359" i="1"/>
  <c r="R1798" i="1"/>
  <c r="R729" i="1"/>
  <c r="R1797" i="1"/>
  <c r="R1640" i="1"/>
  <c r="R1817" i="1"/>
  <c r="R1365" i="1"/>
  <c r="R1142" i="1"/>
  <c r="R697" i="1"/>
  <c r="R115" i="1"/>
  <c r="R1803" i="1"/>
  <c r="R1415" i="1"/>
  <c r="R1277" i="1"/>
  <c r="R334" i="1"/>
  <c r="R1929" i="1"/>
  <c r="R111" i="1"/>
  <c r="R1138" i="1"/>
  <c r="R1195" i="1"/>
  <c r="R476" i="1"/>
  <c r="R176" i="1"/>
  <c r="R1386" i="1"/>
  <c r="R1555" i="1"/>
  <c r="R1778" i="1"/>
  <c r="R1729" i="1"/>
  <c r="R813" i="1"/>
  <c r="R574" i="1"/>
  <c r="R665" i="1"/>
  <c r="R223" i="1"/>
  <c r="R311" i="1"/>
  <c r="R1108" i="1"/>
  <c r="R799" i="1"/>
  <c r="R540" i="1"/>
  <c r="R1677" i="1"/>
  <c r="R1091" i="1"/>
  <c r="R1037" i="1"/>
  <c r="R642" i="1"/>
  <c r="R1950" i="1"/>
  <c r="R1531" i="1"/>
  <c r="R1000" i="1"/>
  <c r="R1125" i="1"/>
  <c r="R256" i="1"/>
  <c r="R1773" i="1"/>
  <c r="R61" i="1"/>
  <c r="R944" i="1"/>
  <c r="R985" i="1"/>
  <c r="R431" i="1"/>
  <c r="R1404" i="1"/>
  <c r="R1369" i="1"/>
  <c r="R1539" i="1"/>
  <c r="R1618" i="1"/>
  <c r="R1553" i="1"/>
  <c r="R795" i="1"/>
  <c r="R556" i="1"/>
  <c r="R647" i="1"/>
  <c r="R163" i="1"/>
  <c r="R87" i="1"/>
  <c r="R740" i="1"/>
  <c r="R1174" i="1"/>
  <c r="R1820" i="1"/>
  <c r="R296" i="1"/>
  <c r="R1071" i="1"/>
  <c r="R1137" i="1"/>
  <c r="R814" i="1"/>
  <c r="R210" i="1"/>
  <c r="R1525" i="1"/>
  <c r="R683" i="1"/>
  <c r="R1344" i="1"/>
  <c r="R1882" i="1"/>
  <c r="R280" i="1"/>
  <c r="R1551" i="1"/>
  <c r="R416" i="1"/>
  <c r="R728" i="1"/>
  <c r="R1528" i="1"/>
  <c r="R1445" i="1"/>
  <c r="R1511" i="1"/>
  <c r="R373" i="1"/>
  <c r="R968" i="1"/>
  <c r="R576" i="1"/>
  <c r="R1632" i="1"/>
  <c r="R1395" i="1"/>
  <c r="R946" i="1"/>
  <c r="R1075" i="1"/>
  <c r="R200" i="1"/>
  <c r="R1735" i="1"/>
  <c r="R24" i="1"/>
  <c r="R909" i="1"/>
  <c r="R477" i="1"/>
  <c r="R394" i="1"/>
  <c r="R1387" i="1"/>
  <c r="R1351" i="1"/>
  <c r="R1522" i="1"/>
  <c r="R1198" i="1"/>
  <c r="R1520" i="1"/>
  <c r="R777" i="1"/>
  <c r="R520" i="1"/>
  <c r="R609" i="1"/>
  <c r="R1271" i="1"/>
  <c r="R886" i="1"/>
  <c r="R724" i="1"/>
  <c r="R1799" i="1"/>
  <c r="R1479" i="1"/>
  <c r="R869" i="1"/>
  <c r="R1171" i="1"/>
  <c r="R1765" i="1"/>
  <c r="R1535" i="1"/>
  <c r="R1796" i="1"/>
  <c r="R1583" i="1"/>
  <c r="R460" i="1"/>
  <c r="R1491" i="1"/>
  <c r="R1361" i="1"/>
  <c r="R701" i="1"/>
  <c r="R1877" i="1"/>
  <c r="R405" i="1"/>
  <c r="R776" i="1"/>
  <c r="R1121" i="1"/>
  <c r="R1767" i="1"/>
  <c r="R1343" i="1"/>
  <c r="R1258" i="1"/>
  <c r="R1707" i="1"/>
  <c r="R1738" i="1"/>
  <c r="R1016" i="1"/>
  <c r="R1413" i="1"/>
  <c r="R1480" i="1"/>
  <c r="R1694" i="1"/>
  <c r="R803" i="1"/>
  <c r="R510" i="1"/>
  <c r="R1573" i="1"/>
  <c r="R1278" i="1"/>
  <c r="R653" i="1"/>
  <c r="R220" i="1"/>
  <c r="R1993" i="1"/>
  <c r="R1716" i="1"/>
  <c r="R675" i="1"/>
  <c r="R862" i="1"/>
  <c r="R432" i="1"/>
  <c r="R349" i="1"/>
  <c r="R1352" i="1"/>
  <c r="R1312" i="1"/>
  <c r="R1505" i="1"/>
  <c r="R1177" i="1"/>
  <c r="R1417" i="1"/>
  <c r="R759" i="1"/>
  <c r="R501" i="1"/>
  <c r="R284" i="1"/>
  <c r="R955" i="1"/>
  <c r="R870" i="1"/>
  <c r="R692" i="1"/>
  <c r="R1823" i="1"/>
  <c r="R197" i="1"/>
  <c r="R1145" i="1"/>
  <c r="R1113" i="1"/>
  <c r="R1582" i="1"/>
  <c r="R190" i="1"/>
  <c r="R1858" i="1"/>
  <c r="R773" i="1"/>
  <c r="R1740" i="1"/>
  <c r="R121" i="1"/>
  <c r="R878" i="1"/>
  <c r="R1499" i="1"/>
  <c r="R31" i="1"/>
  <c r="R1544" i="1"/>
  <c r="R1260" i="1"/>
  <c r="R1763" i="1"/>
  <c r="R13" i="1"/>
  <c r="R471" i="1"/>
  <c r="R1591" i="1"/>
  <c r="R35" i="1"/>
  <c r="R696" i="1"/>
  <c r="R531" i="1"/>
  <c r="R1519" i="1"/>
  <c r="R705" i="1"/>
  <c r="R1667" i="1"/>
  <c r="R2001" i="1"/>
  <c r="R22" i="1"/>
  <c r="R1460" i="1"/>
  <c r="R1844" i="1"/>
  <c r="R174" i="1"/>
  <c r="R1317" i="1"/>
  <c r="R1297" i="1"/>
  <c r="R430" i="1"/>
  <c r="R1810" i="1"/>
  <c r="R1252" i="1"/>
  <c r="R1308" i="1"/>
  <c r="R1547" i="1"/>
  <c r="R1527" i="1"/>
  <c r="R1161" i="1"/>
  <c r="R601" i="1"/>
  <c r="R1304" i="1"/>
  <c r="R1580" i="1"/>
  <c r="R288" i="1"/>
  <c r="R1375" i="1"/>
  <c r="R1412" i="1"/>
  <c r="R1631" i="1"/>
  <c r="R746" i="1"/>
  <c r="R377" i="1"/>
  <c r="R1334" i="1"/>
  <c r="R1228" i="1"/>
  <c r="R587" i="1"/>
  <c r="R161" i="1"/>
  <c r="R1968" i="1"/>
  <c r="R1693" i="1"/>
  <c r="R366" i="1"/>
  <c r="R351" i="1"/>
  <c r="R395" i="1"/>
  <c r="R312" i="1"/>
  <c r="R1333" i="1"/>
  <c r="R1179" i="1"/>
  <c r="R1488" i="1"/>
  <c r="R1056" i="1"/>
  <c r="R1328" i="1"/>
  <c r="R739" i="1"/>
  <c r="R481" i="1"/>
  <c r="R1255" i="1"/>
  <c r="R937" i="1"/>
  <c r="R838" i="1"/>
  <c r="R676" i="1"/>
  <c r="R1880" i="1"/>
  <c r="R338" i="1"/>
  <c r="R1567" i="1"/>
  <c r="R1743" i="1"/>
  <c r="R367" i="1"/>
  <c r="R1294" i="1"/>
  <c r="R1939" i="1"/>
  <c r="R72" i="1"/>
  <c r="R54" i="1"/>
  <c r="R840" i="1"/>
  <c r="R1931" i="1"/>
  <c r="R1532" i="1"/>
  <c r="R1143" i="1"/>
  <c r="R999" i="1"/>
  <c r="R599" i="1"/>
  <c r="R1448" i="1"/>
  <c r="R99" i="1"/>
  <c r="R1842" i="1"/>
  <c r="R237" i="1"/>
  <c r="R38" i="1"/>
  <c r="R615" i="1"/>
  <c r="R613" i="1"/>
  <c r="R1465" i="1"/>
  <c r="R1764" i="1"/>
  <c r="R522" i="1"/>
  <c r="R1321" i="1"/>
  <c r="R1489" i="1"/>
  <c r="R1826" i="1"/>
  <c r="R455" i="1"/>
  <c r="R2" i="1"/>
  <c r="R1183" i="1"/>
  <c r="R1835" i="1"/>
  <c r="R149" i="1"/>
  <c r="R1261" i="1"/>
  <c r="R1587" i="1"/>
  <c r="R1937" i="1"/>
  <c r="R400" i="1"/>
  <c r="R1388" i="1"/>
  <c r="R1481" i="1"/>
  <c r="R1391" i="1"/>
  <c r="R954" i="1"/>
  <c r="R1883" i="1"/>
  <c r="R1116" i="1"/>
  <c r="R1458" i="1"/>
  <c r="R1167" i="1"/>
  <c r="R1338" i="1"/>
  <c r="R1285" i="1"/>
  <c r="R1568" i="1"/>
  <c r="R202" i="1"/>
  <c r="R1866" i="1"/>
  <c r="R1039" i="1"/>
  <c r="R1141" i="1"/>
  <c r="R533" i="1"/>
  <c r="R91" i="1"/>
  <c r="R1559" i="1"/>
  <c r="R1629" i="1"/>
  <c r="R277" i="1"/>
  <c r="R314" i="1"/>
  <c r="R350" i="1"/>
  <c r="R58" i="1"/>
  <c r="R1227" i="1"/>
  <c r="R1058" i="1"/>
  <c r="R896" i="1"/>
  <c r="R1026" i="1"/>
  <c r="R1286" i="1"/>
  <c r="R703" i="1"/>
  <c r="R462" i="1"/>
  <c r="R1152" i="1"/>
  <c r="R899" i="1"/>
  <c r="R822" i="1"/>
  <c r="R660" i="1"/>
  <c r="R851" i="1"/>
  <c r="R1235" i="1"/>
  <c r="R1607" i="1"/>
  <c r="R1170" i="1"/>
  <c r="R1708" i="1"/>
  <c r="R988" i="1"/>
  <c r="R1031" i="1"/>
  <c r="R1643" i="1"/>
  <c r="R1901" i="1"/>
  <c r="R1995" i="1"/>
  <c r="R1563" i="1"/>
  <c r="R441" i="1"/>
  <c r="R3" i="1"/>
  <c r="R1441" i="1"/>
  <c r="R1737" i="1"/>
  <c r="R1517" i="1"/>
  <c r="R12" i="1"/>
  <c r="R1992" i="1"/>
  <c r="R1416" i="1"/>
  <c r="R1214" i="1"/>
  <c r="R1938" i="1"/>
  <c r="R1392" i="1"/>
  <c r="R1967" i="1"/>
  <c r="R1303" i="1"/>
  <c r="R466" i="1"/>
  <c r="R1299" i="1"/>
  <c r="R1249" i="1"/>
  <c r="R1184" i="1"/>
  <c r="R137" i="1"/>
  <c r="R1662" i="1"/>
  <c r="R807" i="1"/>
  <c r="R856" i="1"/>
  <c r="R464" i="1"/>
  <c r="R1902" i="1"/>
  <c r="R1529" i="1"/>
  <c r="R1609" i="1"/>
  <c r="R62" i="1"/>
  <c r="R274" i="1"/>
  <c r="R313" i="1"/>
  <c r="R1925" i="1"/>
  <c r="R1201" i="1"/>
  <c r="R952" i="1"/>
  <c r="R741" i="1"/>
  <c r="R1003" i="1"/>
  <c r="R1265" i="1"/>
  <c r="R521" i="1"/>
  <c r="R1470" i="1"/>
  <c r="R1135" i="1"/>
  <c r="R881" i="1"/>
  <c r="R806" i="1"/>
  <c r="R644" i="1"/>
  <c r="AB6" i="1"/>
  <c r="R583" i="1"/>
  <c r="R473" i="1"/>
  <c r="R1246" i="1"/>
  <c r="R1602" i="1"/>
  <c r="R1985" i="1"/>
  <c r="R655" i="1"/>
  <c r="R109" i="1"/>
  <c r="R345" i="1"/>
  <c r="R401" i="1"/>
  <c r="R381" i="1"/>
  <c r="R45" i="1"/>
  <c r="R422" i="1"/>
  <c r="R628" i="1"/>
  <c r="R780" i="1"/>
  <c r="R417" i="1"/>
  <c r="R542" i="1"/>
  <c r="R891" i="1"/>
  <c r="R465" i="1"/>
  <c r="R1070" i="1"/>
  <c r="R1845" i="1"/>
  <c r="R56" i="1"/>
  <c r="R1782" i="1"/>
  <c r="R621" i="1"/>
  <c r="R1924" i="1"/>
  <c r="R1839" i="1"/>
  <c r="R1508" i="1"/>
  <c r="R1500" i="1"/>
  <c r="R1705" i="1"/>
  <c r="R1432" i="1"/>
  <c r="R1381" i="1"/>
  <c r="R1216" i="1"/>
  <c r="R1233" i="1"/>
  <c r="R234" i="1"/>
  <c r="R785" i="1"/>
  <c r="R908" i="1"/>
  <c r="R1163" i="1"/>
  <c r="R1229" i="1"/>
  <c r="R300" i="1"/>
  <c r="R446" i="1"/>
  <c r="R1082" i="1"/>
  <c r="R1570" i="1"/>
  <c r="R1969" i="1"/>
  <c r="R494" i="1"/>
  <c r="R69" i="1"/>
  <c r="R168" i="1"/>
  <c r="R382" i="1"/>
  <c r="R264" i="1"/>
  <c r="R5" i="1"/>
  <c r="R134" i="1"/>
  <c r="R500" i="1"/>
  <c r="R1989" i="1"/>
  <c r="R153" i="1"/>
  <c r="R1345" i="1"/>
  <c r="R81" i="1"/>
  <c r="R668" i="1"/>
  <c r="R1768" i="1"/>
  <c r="R1674" i="1"/>
  <c r="R449" i="1"/>
  <c r="R1661" i="1"/>
  <c r="R1895" i="1"/>
  <c r="R1872" i="1"/>
  <c r="R1696" i="1"/>
  <c r="R1409" i="1"/>
  <c r="R1464" i="1"/>
  <c r="R1613" i="1"/>
  <c r="R1394" i="1"/>
  <c r="R1149" i="1"/>
  <c r="R1175" i="1"/>
  <c r="R1207" i="1"/>
  <c r="R112" i="1"/>
  <c r="R396" i="1"/>
  <c r="R513" i="1"/>
  <c r="R512" i="1"/>
  <c r="R1193" i="1"/>
  <c r="R273" i="1"/>
  <c r="R414" i="1"/>
  <c r="R1057" i="1"/>
  <c r="R1521" i="1"/>
  <c r="R1953" i="1"/>
  <c r="R328" i="1"/>
  <c r="R49" i="1"/>
  <c r="R1486" i="1"/>
  <c r="R344" i="1"/>
  <c r="R242" i="1"/>
  <c r="R487" i="1"/>
  <c r="R118" i="1"/>
  <c r="R356" i="1"/>
  <c r="R1990" i="1"/>
  <c r="R1614" i="1"/>
  <c r="R1557" i="1"/>
  <c r="R1855" i="1"/>
  <c r="R1935" i="1"/>
  <c r="R218" i="1"/>
  <c r="R1115" i="1"/>
  <c r="R837" i="1"/>
  <c r="R1984" i="1"/>
  <c r="R1250" i="1"/>
  <c r="R1930" i="1"/>
  <c r="R815" i="1"/>
  <c r="R1281" i="1"/>
  <c r="R1973" i="1"/>
  <c r="R914" i="1"/>
  <c r="R1600" i="1"/>
  <c r="R1951" i="1"/>
  <c r="R1093" i="1"/>
  <c r="R1241" i="1"/>
  <c r="R1917" i="1"/>
  <c r="R802" i="1"/>
  <c r="R1676" i="1"/>
  <c r="R1899" i="1"/>
  <c r="R1217" i="1"/>
  <c r="R1641" i="1"/>
  <c r="R133" i="1"/>
  <c r="R1017" i="1"/>
  <c r="R1673" i="1"/>
  <c r="R833" i="1"/>
  <c r="R194" i="1"/>
  <c r="R1497" i="1"/>
  <c r="R232" i="1"/>
  <c r="R1378" i="1"/>
  <c r="R268" i="1"/>
  <c r="R1230" i="1"/>
  <c r="R1906" i="1"/>
  <c r="R1126" i="1"/>
  <c r="R1180" i="1"/>
  <c r="R158" i="1"/>
  <c r="R1005" i="1"/>
  <c r="R1987" i="1"/>
  <c r="R1471" i="1"/>
  <c r="R472" i="1"/>
  <c r="R1554" i="1"/>
  <c r="R633" i="1"/>
  <c r="R1841" i="1"/>
  <c r="R1197" i="1"/>
  <c r="R63" i="1"/>
  <c r="R463" i="1"/>
  <c r="R1032" i="1"/>
  <c r="R323" i="1"/>
  <c r="R1153" i="1"/>
  <c r="R322" i="1"/>
  <c r="R828" i="1"/>
  <c r="R1322" i="1"/>
  <c r="R571" i="1"/>
  <c r="R215" i="1"/>
  <c r="R550" i="1"/>
  <c r="R1156" i="1"/>
  <c r="R4" i="1"/>
  <c r="R84" i="1"/>
  <c r="R420" i="1"/>
  <c r="R756" i="1"/>
  <c r="R1172" i="1"/>
  <c r="R150" i="1"/>
  <c r="R566" i="1"/>
  <c r="R902" i="1"/>
  <c r="R231" i="1"/>
  <c r="R83" i="1"/>
  <c r="R589" i="1"/>
  <c r="R973" i="1"/>
  <c r="R65" i="1"/>
  <c r="R479" i="1"/>
  <c r="R864" i="1"/>
  <c r="R9" i="1"/>
  <c r="R421" i="1"/>
  <c r="R903" i="1"/>
  <c r="R1273" i="1"/>
  <c r="R187" i="1"/>
  <c r="R592" i="1"/>
  <c r="R1050" i="1"/>
  <c r="R147" i="1"/>
  <c r="R539" i="1"/>
  <c r="R977" i="1"/>
  <c r="R352" i="1"/>
  <c r="R894" i="1"/>
  <c r="R1434" i="1"/>
  <c r="R1761" i="1"/>
  <c r="R123" i="1"/>
  <c r="R787" i="1"/>
  <c r="R1287" i="1"/>
  <c r="R1634" i="1"/>
  <c r="R213" i="1"/>
  <c r="R765" i="1"/>
  <c r="R1267" i="1"/>
  <c r="R1683" i="1"/>
  <c r="R15" i="1"/>
  <c r="R581" i="1"/>
  <c r="R1200" i="1"/>
  <c r="R1572" i="1"/>
  <c r="R332" i="1"/>
  <c r="R983" i="1"/>
  <c r="R1421" i="1"/>
  <c r="R782" i="1"/>
  <c r="R1541" i="1"/>
  <c r="R1943" i="1"/>
  <c r="R671" i="1"/>
  <c r="R1474" i="1"/>
  <c r="R1887" i="1"/>
  <c r="R560" i="1"/>
  <c r="R1405" i="1"/>
  <c r="R1831" i="1"/>
  <c r="R433" i="1"/>
  <c r="R1325" i="1"/>
  <c r="R1772" i="1"/>
  <c r="R316" i="1"/>
  <c r="R562" i="1"/>
  <c r="R1298" i="1"/>
  <c r="R1754" i="1"/>
  <c r="R731" i="1"/>
  <c r="R1622" i="1"/>
  <c r="R458" i="1"/>
  <c r="R1612" i="1"/>
  <c r="R427" i="1"/>
  <c r="R1463" i="1"/>
  <c r="R1977" i="1"/>
  <c r="R1211" i="1"/>
  <c r="R1879" i="1"/>
  <c r="R1182" i="1"/>
  <c r="R1862" i="1"/>
  <c r="R1805" i="1"/>
  <c r="R50" i="1"/>
  <c r="R1242" i="1"/>
  <c r="R1898" i="1"/>
  <c r="R1243" i="1"/>
  <c r="R78" i="1"/>
  <c r="R1079" i="1"/>
  <c r="R1918" i="1"/>
  <c r="R1837" i="1"/>
  <c r="R1723" i="1"/>
  <c r="R1208" i="1"/>
  <c r="R1876" i="1"/>
  <c r="R585" i="1"/>
  <c r="R1512" i="1"/>
  <c r="R1275" i="1"/>
  <c r="R100" i="1"/>
  <c r="R436" i="1"/>
  <c r="R852" i="1"/>
  <c r="R1188" i="1"/>
  <c r="R166" i="1"/>
  <c r="R582" i="1"/>
  <c r="R918" i="1"/>
  <c r="R247" i="1"/>
  <c r="R105" i="1"/>
  <c r="R607" i="1"/>
  <c r="R991" i="1"/>
  <c r="R85" i="1"/>
  <c r="R498" i="1"/>
  <c r="R974" i="1"/>
  <c r="R28" i="1"/>
  <c r="R442" i="1"/>
  <c r="R921" i="1"/>
  <c r="R1290" i="1"/>
  <c r="R206" i="1"/>
  <c r="R610" i="1"/>
  <c r="R1068" i="1"/>
  <c r="R169" i="1"/>
  <c r="R557" i="1"/>
  <c r="R995" i="1"/>
  <c r="R379" i="1"/>
  <c r="R924" i="1"/>
  <c r="R1451" i="1"/>
  <c r="R1777" i="1"/>
  <c r="R155" i="1"/>
  <c r="R817" i="1"/>
  <c r="R1310" i="1"/>
  <c r="R1650" i="1"/>
  <c r="R239" i="1"/>
  <c r="R789" i="1"/>
  <c r="R1291" i="1"/>
  <c r="R1699" i="1"/>
  <c r="R42" i="1"/>
  <c r="R605" i="1"/>
  <c r="R1226" i="1"/>
  <c r="R1588" i="1"/>
  <c r="R357" i="1"/>
  <c r="R1006" i="1"/>
  <c r="R17" i="1"/>
  <c r="R824" i="1"/>
  <c r="R1561" i="1"/>
  <c r="R1961" i="1"/>
  <c r="R706" i="1"/>
  <c r="R1495" i="1"/>
  <c r="R1908" i="1"/>
  <c r="R595" i="1"/>
  <c r="R1428" i="1"/>
  <c r="R1850" i="1"/>
  <c r="R483" i="1"/>
  <c r="R1355" i="1"/>
  <c r="R1791" i="1"/>
  <c r="R116" i="1"/>
  <c r="R452" i="1"/>
  <c r="R868" i="1"/>
  <c r="R1204" i="1"/>
  <c r="R262" i="1"/>
  <c r="R598" i="1"/>
  <c r="R934" i="1"/>
  <c r="R263" i="1"/>
  <c r="R124" i="1"/>
  <c r="R625" i="1"/>
  <c r="R1009" i="1"/>
  <c r="R106" i="1"/>
  <c r="R517" i="1"/>
  <c r="R992" i="1"/>
  <c r="R47" i="1"/>
  <c r="R555" i="1"/>
  <c r="R939" i="1"/>
  <c r="R1307" i="1"/>
  <c r="R225" i="1"/>
  <c r="R629" i="1"/>
  <c r="R1086" i="1"/>
  <c r="R188" i="1"/>
  <c r="R575" i="1"/>
  <c r="R1015" i="1"/>
  <c r="R411" i="1"/>
  <c r="R947" i="1"/>
  <c r="R1468" i="1"/>
  <c r="R1793" i="1"/>
  <c r="R179" i="1"/>
  <c r="R842" i="1"/>
  <c r="R1329" i="1"/>
  <c r="R1666" i="1"/>
  <c r="R271" i="1"/>
  <c r="R818" i="1"/>
  <c r="R1311" i="1"/>
  <c r="R1715" i="1"/>
  <c r="R74" i="1"/>
  <c r="R635" i="1"/>
  <c r="R1247" i="1"/>
  <c r="R1604" i="1"/>
  <c r="R389" i="1"/>
  <c r="R1036" i="1"/>
  <c r="R57" i="1"/>
  <c r="R859" i="1"/>
  <c r="R1581" i="1"/>
  <c r="R1979" i="1"/>
  <c r="R748" i="1"/>
  <c r="R1516" i="1"/>
  <c r="R1926" i="1"/>
  <c r="R637" i="1"/>
  <c r="R1449" i="1"/>
  <c r="R1869" i="1"/>
  <c r="R514" i="1"/>
  <c r="R1379" i="1"/>
  <c r="R1813" i="1"/>
  <c r="R398" i="1"/>
  <c r="R639" i="1"/>
  <c r="R1357" i="1"/>
  <c r="R1792" i="1"/>
  <c r="R853" i="1"/>
  <c r="R1685" i="1"/>
  <c r="R586" i="1"/>
  <c r="R1675" i="1"/>
  <c r="R545" i="1"/>
  <c r="R1530" i="1"/>
  <c r="R136" i="1"/>
  <c r="R1302" i="1"/>
  <c r="R132" i="1"/>
  <c r="R468" i="1"/>
  <c r="R884" i="1"/>
  <c r="R1220" i="1"/>
  <c r="R278" i="1"/>
  <c r="R614" i="1"/>
  <c r="R1030" i="1"/>
  <c r="R279" i="1"/>
  <c r="R143" i="1"/>
  <c r="R643" i="1"/>
  <c r="R1027" i="1"/>
  <c r="R125" i="1"/>
  <c r="R536" i="1"/>
  <c r="R1010" i="1"/>
  <c r="R66" i="1"/>
  <c r="R573" i="1"/>
  <c r="R957" i="1"/>
  <c r="R1406" i="1"/>
  <c r="R245" i="1"/>
  <c r="R648" i="1"/>
  <c r="R1103" i="1"/>
  <c r="R207" i="1"/>
  <c r="R667" i="1"/>
  <c r="R1033" i="1"/>
  <c r="R435" i="1"/>
  <c r="R1080" i="1"/>
  <c r="R1485" i="1"/>
  <c r="R1809" i="1"/>
  <c r="R329" i="1"/>
  <c r="R872" i="1"/>
  <c r="R1349" i="1"/>
  <c r="R1746" i="1"/>
  <c r="R298" i="1"/>
  <c r="R843" i="1"/>
  <c r="R1402" i="1"/>
  <c r="R1731" i="1"/>
  <c r="R98" i="1"/>
  <c r="R766" i="1"/>
  <c r="R1269" i="1"/>
  <c r="R1620" i="1"/>
  <c r="R528" i="1"/>
  <c r="R1059" i="1"/>
  <c r="R94" i="1"/>
  <c r="R1053" i="1"/>
  <c r="R1605" i="1"/>
  <c r="R1997" i="1"/>
  <c r="R942" i="1"/>
  <c r="R1542" i="1"/>
  <c r="R1944" i="1"/>
  <c r="R826" i="1"/>
  <c r="R1475" i="1"/>
  <c r="R1888" i="1"/>
  <c r="R715" i="1"/>
  <c r="R1407" i="1"/>
  <c r="R1832" i="1"/>
  <c r="R600" i="1"/>
  <c r="R674" i="1"/>
  <c r="R1380" i="1"/>
  <c r="R1893" i="1"/>
  <c r="R911" i="1"/>
  <c r="R1718" i="1"/>
  <c r="R888" i="1"/>
  <c r="R1704" i="1"/>
  <c r="R618" i="1"/>
  <c r="R1686" i="1"/>
  <c r="R201" i="1"/>
  <c r="R1342" i="1"/>
  <c r="R170" i="1"/>
  <c r="R1318" i="1"/>
  <c r="R1942" i="1"/>
  <c r="R569" i="1"/>
  <c r="R252" i="1"/>
  <c r="R1371" i="1"/>
  <c r="R253" i="1"/>
  <c r="R1411" i="1"/>
  <c r="R34" i="1"/>
  <c r="R1396" i="1"/>
  <c r="R1996" i="1"/>
  <c r="R44" i="1"/>
  <c r="R195" i="1"/>
  <c r="R1337" i="1"/>
  <c r="R1954" i="1"/>
  <c r="R769" i="1"/>
  <c r="R1703" i="1"/>
  <c r="R1680" i="1"/>
  <c r="R148" i="1"/>
  <c r="R484" i="1"/>
  <c r="R900" i="1"/>
  <c r="R1236" i="1"/>
  <c r="R294" i="1"/>
  <c r="R630" i="1"/>
  <c r="R1046" i="1"/>
  <c r="R295" i="1"/>
  <c r="R261" i="1"/>
  <c r="R663" i="1"/>
  <c r="R1047" i="1"/>
  <c r="R144" i="1"/>
  <c r="R554" i="1"/>
  <c r="R1029" i="1"/>
  <c r="R88" i="1"/>
  <c r="R591" i="1"/>
  <c r="R975" i="1"/>
  <c r="R1422" i="1"/>
  <c r="R266" i="1"/>
  <c r="R757" i="1"/>
  <c r="R1120" i="1"/>
  <c r="R226" i="1"/>
  <c r="R685" i="1"/>
  <c r="R1051" i="1"/>
  <c r="R467" i="1"/>
  <c r="R1107" i="1"/>
  <c r="R1503" i="1"/>
  <c r="R1825" i="1"/>
  <c r="R353" i="1"/>
  <c r="R895" i="1"/>
  <c r="R1367" i="1"/>
  <c r="R1762" i="1"/>
  <c r="R330" i="1"/>
  <c r="R873" i="1"/>
  <c r="R1419" i="1"/>
  <c r="R1747" i="1"/>
  <c r="R130" i="1"/>
  <c r="R796" i="1"/>
  <c r="R1292" i="1"/>
  <c r="R1636" i="1"/>
  <c r="R558" i="1"/>
  <c r="R1089" i="1"/>
  <c r="R139" i="1"/>
  <c r="R1094" i="1"/>
  <c r="R1625" i="1"/>
  <c r="R18" i="1"/>
  <c r="R984" i="1"/>
  <c r="R1562" i="1"/>
  <c r="R1962" i="1"/>
  <c r="R861" i="1"/>
  <c r="R1496" i="1"/>
  <c r="R1909" i="1"/>
  <c r="R750" i="1"/>
  <c r="R1429" i="1"/>
  <c r="R1851" i="1"/>
  <c r="R640" i="1"/>
  <c r="R716" i="1"/>
  <c r="R1408" i="1"/>
  <c r="R1911" i="1"/>
  <c r="R963" i="1"/>
  <c r="R1742" i="1"/>
  <c r="R935" i="1"/>
  <c r="R1736" i="1"/>
  <c r="R679" i="1"/>
  <c r="R1719" i="1"/>
  <c r="R257" i="1"/>
  <c r="R1382" i="1"/>
  <c r="R235" i="1"/>
  <c r="R1362" i="1"/>
  <c r="R1972" i="1"/>
  <c r="R695" i="1"/>
  <c r="R317" i="1"/>
  <c r="R1410" i="1"/>
  <c r="R318" i="1"/>
  <c r="R1443" i="1"/>
  <c r="R93" i="1"/>
  <c r="R1439" i="1"/>
  <c r="R507" i="1"/>
  <c r="R251" i="1"/>
  <c r="R254" i="1"/>
  <c r="R1373" i="1"/>
  <c r="R1978" i="1"/>
  <c r="R997" i="1"/>
  <c r="R1727" i="1"/>
  <c r="R1800" i="1"/>
  <c r="R180" i="1"/>
  <c r="R596" i="1"/>
  <c r="R932" i="1"/>
  <c r="R1268" i="1"/>
  <c r="R326" i="1"/>
  <c r="R662" i="1"/>
  <c r="R1078" i="1"/>
  <c r="R327" i="1"/>
  <c r="R301" i="1"/>
  <c r="R699" i="1"/>
  <c r="R1168" i="1"/>
  <c r="R185" i="1"/>
  <c r="R682" i="1"/>
  <c r="R1066" i="1"/>
  <c r="R126" i="1"/>
  <c r="R627" i="1"/>
  <c r="R1011" i="1"/>
  <c r="R1454" i="1"/>
  <c r="R304" i="1"/>
  <c r="R794" i="1"/>
  <c r="R1154" i="1"/>
  <c r="R267" i="1"/>
  <c r="R721" i="1"/>
  <c r="R1087" i="1"/>
  <c r="R524" i="1"/>
  <c r="R1150" i="1"/>
  <c r="R1537" i="1"/>
  <c r="R1857" i="1"/>
  <c r="R412" i="1"/>
  <c r="R949" i="1"/>
  <c r="R1401" i="1"/>
  <c r="R1794" i="1"/>
  <c r="R386" i="1"/>
  <c r="R926" i="1"/>
  <c r="R1453" i="1"/>
  <c r="R1779" i="1"/>
  <c r="R189" i="1"/>
  <c r="R844" i="1"/>
  <c r="R1331" i="1"/>
  <c r="R1668" i="1"/>
  <c r="R606" i="1"/>
  <c r="R1133" i="1"/>
  <c r="R221" i="1"/>
  <c r="R1162" i="1"/>
  <c r="R1669" i="1"/>
  <c r="R101" i="1"/>
  <c r="R1054" i="1"/>
  <c r="R1606" i="1"/>
  <c r="R1998" i="1"/>
  <c r="R943" i="1"/>
  <c r="R1543" i="1"/>
  <c r="R1945" i="1"/>
  <c r="R832" i="1"/>
  <c r="R1476" i="1"/>
  <c r="R1892" i="1"/>
  <c r="R722" i="1"/>
  <c r="R798" i="1"/>
  <c r="R1456" i="1"/>
  <c r="R1947" i="1"/>
  <c r="R1074" i="1"/>
  <c r="R1801" i="1"/>
  <c r="R1045" i="1"/>
  <c r="R1787" i="1"/>
  <c r="R801" i="1"/>
  <c r="R1775" i="1"/>
  <c r="R408" i="1"/>
  <c r="R1457" i="1"/>
  <c r="R369" i="1"/>
  <c r="R1433" i="1"/>
  <c r="R568" i="1"/>
  <c r="R917" i="1"/>
  <c r="R451" i="1"/>
  <c r="R1478" i="1"/>
  <c r="R453" i="1"/>
  <c r="R1510" i="1"/>
  <c r="R236" i="1"/>
  <c r="R1501" i="1"/>
  <c r="R693" i="1"/>
  <c r="R508" i="1"/>
  <c r="R378" i="1"/>
  <c r="R1444" i="1"/>
  <c r="R113" i="1"/>
  <c r="R1106" i="1"/>
  <c r="R1786" i="1"/>
  <c r="R892" i="1"/>
  <c r="R196" i="1"/>
  <c r="R612" i="1"/>
  <c r="R948" i="1"/>
  <c r="R6" i="1"/>
  <c r="R342" i="1"/>
  <c r="R678" i="1"/>
  <c r="R7" i="1"/>
  <c r="R343" i="1"/>
  <c r="R320" i="1"/>
  <c r="R717" i="1"/>
  <c r="R1185" i="1"/>
  <c r="R204" i="1"/>
  <c r="R372" i="1"/>
  <c r="R708" i="1"/>
  <c r="R1124" i="1"/>
  <c r="R102" i="1"/>
  <c r="R518" i="1"/>
  <c r="R854" i="1"/>
  <c r="R103" i="1"/>
  <c r="R26" i="1"/>
  <c r="R440" i="1"/>
  <c r="R919" i="1"/>
  <c r="R1288" i="1"/>
  <c r="R419" i="1"/>
  <c r="R810" i="1"/>
  <c r="R1272" i="1"/>
  <c r="R363" i="1"/>
  <c r="R847" i="1"/>
  <c r="R1222" i="1"/>
  <c r="R29" i="1"/>
  <c r="R538" i="1"/>
  <c r="R922" i="1"/>
  <c r="R90" i="1"/>
  <c r="R482" i="1"/>
  <c r="R849" i="1"/>
  <c r="R269" i="1"/>
  <c r="R816" i="1"/>
  <c r="R1309" i="1"/>
  <c r="R1713" i="1"/>
  <c r="R40" i="1"/>
  <c r="R603" i="1"/>
  <c r="R1224" i="1"/>
  <c r="R1586" i="1"/>
  <c r="R14" i="1"/>
  <c r="R687" i="1"/>
  <c r="R1199" i="1"/>
  <c r="R1571" i="1"/>
  <c r="R1955" i="1"/>
  <c r="R504" i="1"/>
  <c r="R1035" i="1"/>
  <c r="R1523" i="1"/>
  <c r="R249" i="1"/>
  <c r="R797" i="1"/>
  <c r="R1370" i="1"/>
  <c r="R670" i="1"/>
  <c r="R1376" i="1"/>
  <c r="R1886" i="1"/>
  <c r="R559" i="1"/>
  <c r="R1295" i="1"/>
  <c r="R1830" i="1"/>
  <c r="R1526" i="1"/>
  <c r="R1484" i="1"/>
  <c r="R1274" i="1"/>
  <c r="R1616" i="1"/>
  <c r="R1822" i="1"/>
  <c r="R1966" i="1"/>
  <c r="R890" i="1"/>
  <c r="R336" i="1"/>
  <c r="R1956" i="1"/>
  <c r="R1209" i="1"/>
  <c r="R1900" i="1"/>
  <c r="R768" i="1"/>
  <c r="R1190" i="1"/>
  <c r="R1948" i="1"/>
  <c r="R857" i="1"/>
  <c r="R1575" i="1"/>
  <c r="R1922" i="1"/>
  <c r="R1040" i="1"/>
  <c r="R1144" i="1"/>
  <c r="R1894" i="1"/>
  <c r="R745" i="1"/>
  <c r="R1642" i="1"/>
  <c r="R1994" i="1"/>
  <c r="R1181" i="1"/>
  <c r="R1578" i="1"/>
  <c r="R76" i="1"/>
  <c r="R800" i="1"/>
  <c r="R1653" i="1"/>
  <c r="R751" i="1"/>
  <c r="R152" i="1"/>
  <c r="R1450" i="1"/>
  <c r="R192" i="1"/>
  <c r="R1231" i="1"/>
  <c r="R229" i="1"/>
  <c r="R1194" i="1"/>
  <c r="R1867" i="1"/>
  <c r="R747" i="1"/>
  <c r="R1159" i="1"/>
  <c r="R131" i="1"/>
  <c r="R981" i="1"/>
  <c r="R1971" i="1"/>
  <c r="R1436" i="1"/>
  <c r="R445" i="1"/>
  <c r="R1538" i="1"/>
  <c r="R578" i="1"/>
  <c r="R1745" i="1"/>
  <c r="R1176" i="1"/>
  <c r="R37" i="1"/>
  <c r="R444" i="1"/>
  <c r="R940" i="1"/>
  <c r="R285" i="1"/>
  <c r="R1136" i="1"/>
  <c r="R303" i="1"/>
  <c r="R792" i="1"/>
  <c r="R1305" i="1"/>
  <c r="R459" i="1"/>
  <c r="R199" i="1"/>
  <c r="R534" i="1"/>
  <c r="R1140" i="1"/>
  <c r="R388" i="1"/>
  <c r="R110" i="1"/>
  <c r="R1164" i="1"/>
  <c r="R1980" i="1"/>
  <c r="R1127" i="1"/>
  <c r="R1750" i="1"/>
  <c r="R623" i="1"/>
  <c r="R953" i="1"/>
  <c r="R75" i="1"/>
  <c r="R927" i="1"/>
  <c r="R1923" i="1"/>
  <c r="R1225" i="1"/>
  <c r="R354" i="1"/>
  <c r="R1504" i="1"/>
  <c r="R525" i="1"/>
  <c r="R1697" i="1"/>
  <c r="R871" i="1"/>
  <c r="R1104" i="1"/>
  <c r="R403" i="1"/>
  <c r="R885" i="1"/>
  <c r="R146" i="1"/>
  <c r="R993" i="1"/>
  <c r="R265" i="1"/>
  <c r="R754" i="1"/>
  <c r="R1254" i="1"/>
  <c r="R399" i="1"/>
  <c r="R71" i="1"/>
  <c r="R406" i="1"/>
  <c r="R1012" i="1"/>
  <c r="R340" i="1"/>
  <c r="R704" i="1"/>
  <c r="R1785" i="1"/>
  <c r="R584" i="1"/>
  <c r="R1949" i="1"/>
  <c r="R1721" i="1"/>
  <c r="R691" i="1"/>
  <c r="R1372" i="1"/>
  <c r="R1815" i="1"/>
  <c r="R641" i="1"/>
  <c r="R1919" i="1"/>
  <c r="R1776" i="1"/>
  <c r="R565" i="1"/>
  <c r="R1253" i="1"/>
  <c r="R1916" i="1"/>
  <c r="R732" i="1"/>
  <c r="R1340" i="1"/>
  <c r="R1940" i="1"/>
  <c r="R289" i="1"/>
  <c r="R1589" i="1"/>
  <c r="R315" i="1"/>
  <c r="R25" i="1"/>
  <c r="R1097" i="1"/>
  <c r="R60" i="1"/>
  <c r="R1128" i="1"/>
  <c r="R1868" i="1"/>
  <c r="R1095" i="1"/>
  <c r="R1728" i="1"/>
  <c r="R588" i="1"/>
  <c r="R821" i="1"/>
  <c r="R1652" i="1"/>
  <c r="R897" i="1"/>
  <c r="R1843" i="1"/>
  <c r="R1178" i="1"/>
  <c r="R181" i="1"/>
  <c r="R1487" i="1"/>
  <c r="R495" i="1"/>
  <c r="R1681" i="1"/>
  <c r="R841" i="1"/>
  <c r="R1069" i="1"/>
  <c r="R384" i="1"/>
  <c r="R866" i="1"/>
  <c r="R10" i="1"/>
  <c r="R883" i="1"/>
  <c r="R243" i="1"/>
  <c r="R736" i="1"/>
  <c r="R1237" i="1"/>
  <c r="R380" i="1"/>
  <c r="R55" i="1"/>
  <c r="R390" i="1"/>
  <c r="R996" i="1"/>
  <c r="R244" i="1"/>
  <c r="R651" i="1"/>
  <c r="R1758" i="1"/>
  <c r="R529" i="1"/>
  <c r="R1896" i="1"/>
  <c r="R1688" i="1"/>
  <c r="R620" i="1"/>
  <c r="R1336" i="1"/>
  <c r="R1783" i="1"/>
  <c r="R570" i="1"/>
  <c r="R1864" i="1"/>
  <c r="R1744" i="1"/>
  <c r="R493" i="1"/>
  <c r="R1160" i="1"/>
  <c r="R1885" i="1"/>
  <c r="R492" i="1"/>
  <c r="R1301" i="1"/>
  <c r="R1774" i="1"/>
  <c r="R219" i="1"/>
  <c r="R1565" i="1"/>
  <c r="R275" i="1"/>
  <c r="R2000" i="1"/>
  <c r="R1063" i="1"/>
  <c r="R1927" i="1"/>
  <c r="R1096" i="1"/>
  <c r="R1849" i="1"/>
  <c r="R1019" i="1"/>
  <c r="R1709" i="1"/>
  <c r="R546" i="1"/>
  <c r="R767" i="1"/>
  <c r="R1556" i="1"/>
  <c r="R874" i="1"/>
  <c r="R1827" i="1"/>
  <c r="R1157" i="1"/>
  <c r="R41" i="1"/>
  <c r="R1384" i="1"/>
  <c r="R469" i="1"/>
  <c r="R1601" i="1"/>
  <c r="R786" i="1"/>
  <c r="R959" i="1"/>
  <c r="R365" i="1"/>
  <c r="R848" i="1"/>
  <c r="R1534" i="1"/>
  <c r="R865" i="1"/>
  <c r="R107" i="1"/>
  <c r="R718" i="1"/>
  <c r="R1219" i="1"/>
  <c r="R361" i="1"/>
  <c r="R39" i="1"/>
  <c r="R374" i="1"/>
  <c r="R980" i="1"/>
  <c r="R228" i="1"/>
  <c r="R1824" i="1"/>
  <c r="R1853" i="1"/>
  <c r="R661" i="1"/>
  <c r="R1679" i="1"/>
  <c r="R1991" i="1"/>
  <c r="R1818" i="1"/>
  <c r="R1726" i="1"/>
  <c r="R456" i="1"/>
  <c r="R1781" i="1"/>
  <c r="R1659" i="1"/>
  <c r="R567" i="1"/>
  <c r="R1192" i="1"/>
  <c r="R1756" i="1"/>
  <c r="R509" i="1"/>
  <c r="R1722" i="1"/>
  <c r="R1720" i="1"/>
  <c r="R428" i="1"/>
  <c r="R1114" i="1"/>
  <c r="R1861" i="1"/>
  <c r="R368" i="1"/>
  <c r="R1251" i="1"/>
  <c r="R1656" i="1"/>
  <c r="R160" i="1"/>
  <c r="R1430" i="1"/>
  <c r="R233" i="1"/>
  <c r="R1982" i="1"/>
  <c r="R1021" i="1"/>
  <c r="R1812" i="1"/>
  <c r="R1061" i="1"/>
  <c r="R1808" i="1"/>
  <c r="R624" i="1"/>
  <c r="R1689" i="1"/>
  <c r="R511" i="1"/>
  <c r="R744" i="1"/>
  <c r="R1540" i="1"/>
  <c r="R819" i="1"/>
  <c r="R1811" i="1"/>
  <c r="R1131" i="1"/>
  <c r="R1890" i="1"/>
  <c r="R1266" i="1"/>
  <c r="R437" i="1"/>
  <c r="R1585" i="1"/>
  <c r="R763" i="1"/>
  <c r="R867" i="1"/>
  <c r="R248" i="1"/>
  <c r="R830" i="1"/>
  <c r="R1518" i="1"/>
  <c r="R737" i="1"/>
  <c r="R1306" i="1"/>
  <c r="R700" i="1"/>
  <c r="R1202" i="1"/>
  <c r="R339" i="1"/>
  <c r="R23" i="1"/>
  <c r="R358" i="1"/>
  <c r="R964" i="1"/>
  <c r="R212" i="1"/>
  <c r="R1655" i="1"/>
  <c r="R541" i="1"/>
  <c r="R1552" i="1"/>
  <c r="R489" i="1"/>
  <c r="R530" i="1"/>
  <c r="R1215" i="1"/>
  <c r="R281" i="1"/>
  <c r="R1717" i="1"/>
  <c r="R1259" i="1"/>
  <c r="R159" i="1"/>
  <c r="R410" i="1"/>
  <c r="R1739" i="1"/>
  <c r="R1424" i="1"/>
  <c r="R1615" i="1"/>
  <c r="R1759" i="1"/>
  <c r="R457" i="1"/>
  <c r="R1576" i="1"/>
  <c r="R319" i="1"/>
  <c r="R1749" i="1"/>
  <c r="R1630" i="1"/>
  <c r="R171" i="1"/>
  <c r="R930" i="1"/>
  <c r="R1724" i="1"/>
  <c r="R376" i="1"/>
  <c r="R1660" i="1"/>
  <c r="R1566" i="1"/>
  <c r="R291" i="1"/>
  <c r="R1052" i="1"/>
  <c r="R1834" i="1"/>
  <c r="R290" i="1"/>
  <c r="R1210" i="1"/>
  <c r="R1593" i="1"/>
  <c r="R82" i="1"/>
  <c r="R1326" i="1"/>
  <c r="R193" i="1"/>
  <c r="R1870" i="1"/>
  <c r="R986" i="1"/>
  <c r="R1790" i="1"/>
  <c r="R1020" i="1"/>
  <c r="R1789" i="1"/>
  <c r="R594" i="1"/>
  <c r="R1645" i="1"/>
  <c r="R475" i="1"/>
  <c r="R714" i="1"/>
  <c r="R1506" i="1"/>
  <c r="R552" i="1"/>
  <c r="R1795" i="1"/>
  <c r="R1110" i="1"/>
  <c r="R1874" i="1"/>
  <c r="R1245" i="1"/>
  <c r="R385" i="1"/>
  <c r="R1569" i="1"/>
  <c r="R733" i="1"/>
  <c r="R831" i="1"/>
  <c r="R128" i="1"/>
  <c r="R812" i="1"/>
  <c r="R1502" i="1"/>
  <c r="R719" i="1"/>
  <c r="R1289" i="1"/>
  <c r="R572" i="1"/>
  <c r="R1151" i="1"/>
  <c r="R282" i="1"/>
  <c r="R1062" i="1"/>
  <c r="R310" i="1"/>
  <c r="R916" i="1"/>
  <c r="R164" i="1"/>
  <c r="R738" i="1"/>
  <c r="R443" i="1"/>
  <c r="R127" i="1"/>
  <c r="R1390" i="1"/>
  <c r="R1119" i="1"/>
  <c r="R829" i="1"/>
  <c r="R537" i="1"/>
  <c r="R224" i="1"/>
  <c r="R1238" i="1"/>
  <c r="R956" i="1"/>
  <c r="R664" i="1"/>
  <c r="R362" i="1"/>
  <c r="R46" i="1"/>
  <c r="R1134" i="1"/>
  <c r="R845" i="1"/>
  <c r="R553" i="1"/>
  <c r="R241" i="1"/>
  <c r="R439" i="1"/>
  <c r="R183" i="1"/>
  <c r="R1014" i="1"/>
  <c r="R758" i="1"/>
  <c r="R502" i="1"/>
  <c r="R246" i="1"/>
  <c r="R1348" i="1"/>
  <c r="R1092" i="1"/>
  <c r="R836" i="1"/>
  <c r="R580" i="1"/>
  <c r="R324" i="1"/>
  <c r="R68" i="1"/>
  <c r="R933" i="1"/>
  <c r="R970" i="1"/>
  <c r="R1363" i="1"/>
  <c r="R506" i="1"/>
  <c r="R1784" i="1"/>
  <c r="R1146" i="1"/>
  <c r="R929" i="1"/>
  <c r="R1897" i="1"/>
  <c r="R450" i="1"/>
  <c r="R1038" i="1"/>
  <c r="R1687" i="1"/>
  <c r="R1077" i="1"/>
  <c r="R92" i="1"/>
  <c r="R1579" i="1"/>
  <c r="R889" i="1"/>
  <c r="R1757" i="1"/>
  <c r="R1657" i="1"/>
  <c r="R1023" i="1"/>
  <c r="R32" i="1"/>
  <c r="R1549" i="1"/>
  <c r="R834" i="1"/>
  <c r="R1915" i="1"/>
  <c r="R1431" i="1"/>
  <c r="R617" i="1"/>
  <c r="R1871" i="1"/>
  <c r="R1545" i="1"/>
  <c r="R1098" i="1"/>
  <c r="R485" i="1"/>
  <c r="R563" i="1"/>
  <c r="R1964" i="1"/>
  <c r="R1648" i="1"/>
  <c r="R1263" i="1"/>
  <c r="R673" i="1"/>
  <c r="R21" i="1"/>
  <c r="R1711" i="1"/>
  <c r="R1354" i="1"/>
  <c r="R784" i="1"/>
  <c r="R141" i="1"/>
  <c r="R1770" i="1"/>
  <c r="R1427" i="1"/>
  <c r="R907" i="1"/>
  <c r="R259" i="1"/>
  <c r="R1829" i="1"/>
  <c r="R1494" i="1"/>
  <c r="R1018" i="1"/>
  <c r="R393" i="1"/>
  <c r="R1313" i="1"/>
  <c r="R928" i="1"/>
  <c r="R505" i="1"/>
  <c r="R43" i="1"/>
  <c r="R1472" i="1"/>
  <c r="R1158" i="1"/>
  <c r="R743" i="1"/>
  <c r="R299" i="1"/>
  <c r="R1907" i="1"/>
  <c r="R1651" i="1"/>
  <c r="R1385" i="1"/>
  <c r="R1034" i="1"/>
  <c r="R604" i="1"/>
  <c r="R156" i="1"/>
  <c r="R1730" i="1"/>
  <c r="R1469" i="1"/>
  <c r="R1155" i="1"/>
  <c r="R734" i="1"/>
  <c r="R297" i="1"/>
  <c r="R1921" i="1"/>
  <c r="R1665" i="1"/>
  <c r="R1400" i="1"/>
  <c r="R1055" i="1"/>
  <c r="R632" i="1"/>
  <c r="R178" i="1"/>
  <c r="R941" i="1"/>
  <c r="R649" i="1"/>
  <c r="R346" i="1"/>
  <c r="R30" i="1"/>
  <c r="R1013" i="1"/>
  <c r="R720" i="1"/>
  <c r="R424" i="1"/>
  <c r="R108" i="1"/>
  <c r="R1374" i="1"/>
  <c r="R1102" i="1"/>
  <c r="R811" i="1"/>
  <c r="R519" i="1"/>
  <c r="R205" i="1"/>
  <c r="R1221" i="1"/>
  <c r="R938" i="1"/>
  <c r="R645" i="1"/>
  <c r="R341" i="1"/>
  <c r="R27" i="1"/>
  <c r="R1117" i="1"/>
  <c r="R827" i="1"/>
  <c r="R535" i="1"/>
  <c r="R222" i="1"/>
  <c r="R423" i="1"/>
  <c r="R167" i="1"/>
  <c r="R998" i="1"/>
  <c r="R742" i="1"/>
  <c r="R486" i="1"/>
  <c r="R230" i="1"/>
  <c r="R1332" i="1"/>
  <c r="R1076" i="1"/>
  <c r="R820" i="1"/>
  <c r="R564" i="1"/>
  <c r="R308" i="1"/>
  <c r="R52" i="1"/>
  <c r="R1212" i="1"/>
  <c r="R1854" i="1"/>
  <c r="R1934" i="1"/>
  <c r="R1654" i="1"/>
  <c r="R1611" i="1"/>
  <c r="R1702" i="1"/>
  <c r="R1105" i="1"/>
  <c r="R1507" i="1"/>
  <c r="R1599" i="1"/>
  <c r="R1766" i="1"/>
  <c r="R1001" i="1"/>
  <c r="R893" i="1"/>
  <c r="R337" i="1"/>
  <c r="R1490" i="1"/>
  <c r="R1590" i="1"/>
  <c r="R730" i="1"/>
  <c r="R1821" i="1"/>
  <c r="R1678" i="1"/>
  <c r="R287" i="1"/>
  <c r="R347" i="1"/>
  <c r="R1577" i="1"/>
  <c r="R880" i="1"/>
  <c r="R306" i="1"/>
  <c r="R1664" i="1"/>
  <c r="R1042" i="1"/>
  <c r="R53" i="1"/>
  <c r="R876" i="1"/>
  <c r="R1440" i="1"/>
  <c r="R1836" i="1"/>
  <c r="R1319" i="1"/>
  <c r="R429" i="1"/>
  <c r="R1725" i="1"/>
  <c r="R1099" i="1"/>
  <c r="R117" i="1"/>
  <c r="R1574" i="1"/>
  <c r="R877" i="1"/>
  <c r="R1806" i="1"/>
  <c r="R307" i="1"/>
  <c r="R969" i="1"/>
  <c r="R1658" i="1"/>
  <c r="R1024" i="1"/>
  <c r="R33" i="1"/>
  <c r="R1550" i="1"/>
  <c r="R835" i="1"/>
  <c r="R1283" i="1"/>
  <c r="R1623" i="1"/>
  <c r="R965" i="1"/>
  <c r="R1986" i="1"/>
  <c r="R1513" i="1"/>
  <c r="R770" i="1"/>
  <c r="R1884" i="1"/>
  <c r="R1393" i="1"/>
  <c r="R544" i="1"/>
  <c r="R1852" i="1"/>
  <c r="R1524" i="1"/>
  <c r="R1064" i="1"/>
  <c r="R434" i="1"/>
  <c r="R523" i="1"/>
  <c r="R1946" i="1"/>
  <c r="R1628" i="1"/>
  <c r="R1232" i="1"/>
  <c r="R638" i="1"/>
  <c r="R1999" i="1"/>
  <c r="R1691" i="1"/>
  <c r="R1323" i="1"/>
  <c r="R749" i="1"/>
  <c r="R104" i="1"/>
  <c r="R1751" i="1"/>
  <c r="R1399" i="1"/>
  <c r="R860" i="1"/>
  <c r="R227" i="1"/>
  <c r="R1807" i="1"/>
  <c r="R1473" i="1"/>
  <c r="R971" i="1"/>
  <c r="R348" i="1"/>
  <c r="R1293" i="1"/>
  <c r="R898" i="1"/>
  <c r="R474" i="1"/>
  <c r="R16" i="1"/>
  <c r="R1455" i="1"/>
  <c r="R1132" i="1"/>
  <c r="R713" i="1"/>
  <c r="R272" i="1"/>
  <c r="R1891" i="1"/>
  <c r="R1635" i="1"/>
  <c r="R1368" i="1"/>
  <c r="R1004" i="1"/>
  <c r="R579" i="1"/>
  <c r="R129" i="1"/>
  <c r="R1714" i="1"/>
  <c r="R1452" i="1"/>
  <c r="R1130" i="1"/>
  <c r="R711" i="1"/>
  <c r="R270" i="1"/>
  <c r="R1905" i="1"/>
  <c r="R1649" i="1"/>
  <c r="R1383" i="1"/>
  <c r="R1025" i="1"/>
  <c r="R602" i="1"/>
  <c r="R154" i="1"/>
  <c r="R923" i="1"/>
  <c r="R631" i="1"/>
  <c r="R325" i="1"/>
  <c r="R11" i="1"/>
  <c r="R994" i="1"/>
  <c r="R702" i="1"/>
  <c r="R402" i="1"/>
  <c r="R89" i="1"/>
  <c r="R1358" i="1"/>
  <c r="R1085" i="1"/>
  <c r="R793" i="1"/>
  <c r="R499" i="1"/>
  <c r="R186" i="1"/>
  <c r="R1203" i="1"/>
  <c r="R920" i="1"/>
  <c r="R626" i="1"/>
  <c r="R321" i="1"/>
  <c r="R8" i="1"/>
  <c r="R1100" i="1"/>
  <c r="R809" i="1"/>
  <c r="R515" i="1"/>
  <c r="R203" i="1"/>
  <c r="R407" i="1"/>
  <c r="R151" i="1"/>
  <c r="R982" i="1"/>
  <c r="R726" i="1"/>
  <c r="R470" i="1"/>
  <c r="R214" i="1"/>
  <c r="R1316" i="1"/>
  <c r="R1060" i="1"/>
  <c r="R804" i="1"/>
  <c r="R548" i="1"/>
  <c r="R292" i="1"/>
  <c r="R36" i="1"/>
  <c r="R1881" i="1"/>
  <c r="R1122" i="1"/>
  <c r="R839" i="1"/>
  <c r="R962" i="1"/>
  <c r="R1912" i="1"/>
  <c r="R616" i="1"/>
  <c r="R371" i="1"/>
  <c r="R120" i="1"/>
  <c r="R1863" i="1"/>
  <c r="R175" i="1"/>
  <c r="R1644" i="1"/>
  <c r="R779" i="1"/>
  <c r="R669" i="1"/>
  <c r="R1904" i="1"/>
  <c r="R960" i="1"/>
  <c r="R1459" i="1"/>
  <c r="R490" i="1"/>
  <c r="R1706" i="1"/>
  <c r="R1423" i="1"/>
  <c r="R1960" i="1"/>
  <c r="R79" i="1"/>
  <c r="R1548" i="1"/>
  <c r="R823" i="1"/>
  <c r="R250" i="1"/>
  <c r="R1639" i="1"/>
  <c r="R990" i="1"/>
  <c r="R1975" i="1"/>
  <c r="R760" i="1"/>
  <c r="R1364" i="1"/>
  <c r="R1804" i="1"/>
  <c r="R1279" i="1"/>
  <c r="R370" i="1"/>
  <c r="R1701" i="1"/>
  <c r="R1041" i="1"/>
  <c r="R51" i="1"/>
  <c r="R1536" i="1"/>
  <c r="R808" i="1"/>
  <c r="R1755" i="1"/>
  <c r="R173" i="1"/>
  <c r="R858" i="1"/>
  <c r="R1624" i="1"/>
  <c r="R967" i="1"/>
  <c r="R1988" i="1"/>
  <c r="R1514" i="1"/>
  <c r="R778" i="1"/>
  <c r="R1865" i="1"/>
  <c r="R1594" i="1"/>
  <c r="R912" i="1"/>
  <c r="R1957" i="1"/>
  <c r="R1482" i="1"/>
  <c r="R723" i="1"/>
  <c r="R1860" i="1"/>
  <c r="R1360" i="1"/>
  <c r="R491" i="1"/>
  <c r="R1833" i="1"/>
  <c r="R1498" i="1"/>
  <c r="R1022" i="1"/>
  <c r="R397" i="1"/>
  <c r="R488" i="1"/>
  <c r="R1928" i="1"/>
  <c r="R1608" i="1"/>
  <c r="R1196" i="1"/>
  <c r="R597" i="1"/>
  <c r="R1981" i="1"/>
  <c r="R1671" i="1"/>
  <c r="R1296" i="1"/>
  <c r="R707" i="1"/>
  <c r="R59" i="1"/>
  <c r="R1732" i="1"/>
  <c r="R1377" i="1"/>
  <c r="R825" i="1"/>
  <c r="R177" i="1"/>
  <c r="R1788" i="1"/>
  <c r="R1447" i="1"/>
  <c r="R936" i="1"/>
  <c r="R309" i="1"/>
  <c r="R1270" i="1"/>
  <c r="R875" i="1"/>
  <c r="R447" i="1"/>
  <c r="R1700" i="1"/>
  <c r="R1437" i="1"/>
  <c r="R1111" i="1"/>
  <c r="R688" i="1"/>
  <c r="R240" i="1"/>
  <c r="R1875" i="1"/>
  <c r="R1619" i="1"/>
  <c r="R1350" i="1"/>
  <c r="R979" i="1"/>
  <c r="R551" i="1"/>
  <c r="R97" i="1"/>
  <c r="R1698" i="1"/>
  <c r="R1435" i="1"/>
  <c r="R1109" i="1"/>
  <c r="R686" i="1"/>
  <c r="R238" i="1"/>
  <c r="R1889" i="1"/>
  <c r="R1633" i="1"/>
  <c r="R1366" i="1"/>
  <c r="R1002" i="1"/>
  <c r="R577" i="1"/>
  <c r="R122" i="1"/>
  <c r="R905" i="1"/>
  <c r="R611" i="1"/>
  <c r="R305" i="1"/>
  <c r="R1257" i="1"/>
  <c r="R976" i="1"/>
  <c r="R684" i="1"/>
  <c r="R383" i="1"/>
  <c r="R67" i="1"/>
  <c r="R1341" i="1"/>
  <c r="R1067" i="1"/>
  <c r="R775" i="1"/>
  <c r="R480" i="1"/>
  <c r="R165" i="1"/>
  <c r="R1186" i="1"/>
  <c r="R901" i="1"/>
  <c r="R608" i="1"/>
  <c r="R302" i="1"/>
  <c r="R1356" i="1"/>
  <c r="R1083" i="1"/>
  <c r="R791" i="1"/>
  <c r="R497" i="1"/>
  <c r="R184" i="1"/>
  <c r="R391" i="1"/>
  <c r="R135" i="1"/>
  <c r="R966" i="1"/>
  <c r="R710" i="1"/>
  <c r="R454" i="1"/>
  <c r="R198" i="1"/>
  <c r="R1300" i="1"/>
  <c r="R1044" i="1"/>
  <c r="R788" i="1"/>
  <c r="R532" i="1"/>
  <c r="R276" i="1"/>
  <c r="R20" i="1"/>
  <c r="R172" i="1"/>
  <c r="R1610" i="1"/>
  <c r="R931" i="1"/>
  <c r="R1920" i="1"/>
  <c r="R622" i="1"/>
  <c r="R1280" i="1"/>
  <c r="R1780" i="1"/>
  <c r="R1234" i="1"/>
  <c r="R293" i="1"/>
  <c r="R1663" i="1"/>
  <c r="R989" i="1"/>
  <c r="R1976" i="1"/>
  <c r="R1509" i="1"/>
  <c r="R761" i="1"/>
  <c r="R1695" i="1"/>
  <c r="R1974" i="1"/>
  <c r="R752" i="1"/>
  <c r="R1595" i="1"/>
  <c r="R913" i="1"/>
  <c r="R1958" i="1"/>
  <c r="R1483" i="1"/>
  <c r="R725" i="1"/>
  <c r="R114" i="1"/>
  <c r="R1560" i="1"/>
  <c r="R855" i="1"/>
  <c r="R1932" i="1"/>
  <c r="R1446" i="1"/>
  <c r="R652" i="1"/>
  <c r="R1828" i="1"/>
  <c r="R1315" i="1"/>
  <c r="R426" i="1"/>
  <c r="R1814" i="1"/>
  <c r="R1477" i="1"/>
  <c r="R987" i="1"/>
  <c r="R360" i="1"/>
  <c r="R448" i="1"/>
  <c r="R1910" i="1"/>
  <c r="R1584" i="1"/>
  <c r="R1165" i="1"/>
  <c r="R561" i="1"/>
  <c r="R1963" i="1"/>
  <c r="R1647" i="1"/>
  <c r="R1262" i="1"/>
  <c r="R672" i="1"/>
  <c r="R19" i="1"/>
  <c r="R1710" i="1"/>
  <c r="R1353" i="1"/>
  <c r="R783" i="1"/>
  <c r="R140" i="1"/>
  <c r="R1769" i="1"/>
  <c r="R1426" i="1"/>
  <c r="R906" i="1"/>
  <c r="R258" i="1"/>
  <c r="R1248" i="1"/>
  <c r="R850" i="1"/>
  <c r="R415" i="1"/>
  <c r="R1684" i="1"/>
  <c r="R1420" i="1"/>
  <c r="R1088" i="1"/>
  <c r="R658" i="1"/>
  <c r="R216" i="1"/>
  <c r="R1859" i="1"/>
  <c r="R1603" i="1"/>
  <c r="R1330" i="1"/>
  <c r="R951" i="1"/>
  <c r="R526" i="1"/>
  <c r="R73" i="1"/>
  <c r="R1682" i="1"/>
  <c r="R1418" i="1"/>
  <c r="R1081" i="1"/>
  <c r="R656" i="1"/>
  <c r="R211" i="1"/>
  <c r="R1873" i="1"/>
  <c r="R1617" i="1"/>
  <c r="R1347" i="1"/>
  <c r="R972" i="1"/>
  <c r="R547" i="1"/>
  <c r="R95" i="1"/>
  <c r="R887" i="1"/>
  <c r="R593" i="1"/>
  <c r="R286" i="1"/>
  <c r="R1240" i="1"/>
  <c r="R958" i="1"/>
  <c r="R666" i="1"/>
  <c r="R364" i="1"/>
  <c r="R48" i="1"/>
  <c r="R1324" i="1"/>
  <c r="R1049" i="1"/>
  <c r="R755" i="1"/>
  <c r="R461" i="1"/>
  <c r="R145" i="1"/>
  <c r="R1169" i="1"/>
  <c r="R882" i="1"/>
  <c r="R590" i="1"/>
  <c r="R283" i="1"/>
  <c r="R1339" i="1"/>
  <c r="R1065" i="1"/>
  <c r="R771" i="1"/>
  <c r="R478" i="1"/>
  <c r="R162" i="1"/>
  <c r="R375" i="1"/>
  <c r="R119" i="1"/>
  <c r="R950" i="1"/>
  <c r="R694" i="1"/>
  <c r="R438" i="1"/>
  <c r="R182" i="1"/>
  <c r="R1284" i="1"/>
  <c r="R1028" i="1"/>
  <c r="R772" i="1"/>
  <c r="R516" i="1"/>
  <c r="R260" i="1"/>
  <c r="AT1" i="1" l="1"/>
</calcChain>
</file>

<file path=xl/sharedStrings.xml><?xml version="1.0" encoding="utf-8"?>
<sst xmlns="http://schemas.openxmlformats.org/spreadsheetml/2006/main" count="12268" uniqueCount="2080">
  <si>
    <t>Номер  договора</t>
  </si>
  <si>
    <t>Число нарушений кредитных договоров</t>
  </si>
  <si>
    <t>Размер кредита</t>
  </si>
  <si>
    <t>Кредитный рейтинг</t>
  </si>
  <si>
    <t>Годовой доход</t>
  </si>
  <si>
    <t>Ежемесячный платеж</t>
  </si>
  <si>
    <t>Срок кредитной истории (лет)</t>
  </si>
  <si>
    <t>Срок с последнего нарушения кредитного договора (мес.)</t>
  </si>
  <si>
    <t>Количество кредитных карт</t>
  </si>
  <si>
    <t>Текущий баланс кредитов</t>
  </si>
  <si>
    <t>Максимальный выданный кредит</t>
  </si>
  <si>
    <t>Стаж работы на текущем месте</t>
  </si>
  <si>
    <t>Идентификатор клиента</t>
  </si>
  <si>
    <t>Цель кредита</t>
  </si>
  <si>
    <t>Недвижимость</t>
  </si>
  <si>
    <t>Срок кредита</t>
  </si>
  <si>
    <t>Статус кредита</t>
  </si>
  <si>
    <t>1. Кол-во столбцов =</t>
  </si>
  <si>
    <t>8 лет</t>
  </si>
  <si>
    <t>981165ec-3274-42f5-a3b4-d104041a9ca9</t>
  </si>
  <si>
    <t>ремонт жилья</t>
  </si>
  <si>
    <t>в ипотеке</t>
  </si>
  <si>
    <t>краткосрочный</t>
  </si>
  <si>
    <t>погашен</t>
  </si>
  <si>
    <t>10+ лет</t>
  </si>
  <si>
    <t>2de017a3-2e01-49cb-a581-08169e83be29</t>
  </si>
  <si>
    <t>консолидация кредитов</t>
  </si>
  <si>
    <t>5efb2b2b-bf11-4dfd-a572-3761a2694725</t>
  </si>
  <si>
    <t>в собственности</t>
  </si>
  <si>
    <t>3 года</t>
  </si>
  <si>
    <t>e777faab-98ae-45af-9a86-7ce5b33b1011</t>
  </si>
  <si>
    <t>долгосрочный</t>
  </si>
  <si>
    <t>5 лет</t>
  </si>
  <si>
    <t>81536ad9-5ccf-4eb8-befb-47a4d608658e</t>
  </si>
  <si>
    <t>в аренде</t>
  </si>
  <si>
    <t>4ffe99d3-7f2a-44db-afc1-40943f1f9750</t>
  </si>
  <si>
    <t>не погашен</t>
  </si>
  <si>
    <t>&lt; 1 года</t>
  </si>
  <si>
    <t>90a75dde-34d5-419c-90dc-1e58b04b3e35</t>
  </si>
  <si>
    <t>018973c9-e316-4956-b363-67e134fb0931</t>
  </si>
  <si>
    <t>приобретение жилья</t>
  </si>
  <si>
    <t>2 года</t>
  </si>
  <si>
    <t>af534dea-d27e-4fd6-9de8-efaa52a78ec0</t>
  </si>
  <si>
    <t>235c4a43-dadf-483d-aa44-9d6d77ae4583</t>
  </si>
  <si>
    <t>0de7bcdb-ebf4-4608-ba39-05f083f855b6</t>
  </si>
  <si>
    <t>aa0a6a22-a95e-48e0-ba4f-b83456d424e4</t>
  </si>
  <si>
    <t>11581f68-de3c-49d8-80d9-22268ebb323b</t>
  </si>
  <si>
    <t>4 года</t>
  </si>
  <si>
    <t>900c9191-2c20-4688-af7e-07c59b5d5a24</t>
  </si>
  <si>
    <t>2ac05980-7848-4692-89ae-9321afe650f8</t>
  </si>
  <si>
    <t>9 лет</t>
  </si>
  <si>
    <t>3ec886e7-f15d-4c35-83d0-bdec4817ae4b</t>
  </si>
  <si>
    <t>7 лет</t>
  </si>
  <si>
    <t>abb4c446-08ea-49ff-aeb8-5e1e9da673e7</t>
  </si>
  <si>
    <t>967e8733-7189-49b7-a3ab-6a1d0e1abdac</t>
  </si>
  <si>
    <t>c67b2cb5-9f91-4bcb-9a03-03d1589c6c1a</t>
  </si>
  <si>
    <t>422f9b72-5041-407c-8ac4-982213deacd1</t>
  </si>
  <si>
    <t>40f729c9-54c7-4768-9fb5-2fa41d074c48</t>
  </si>
  <si>
    <t>016c5139-4da2-44ba-a0a6-7b23597526a8</t>
  </si>
  <si>
    <t>5b53e176-8fc7-48bf-9d78-ceb5aa284f36</t>
  </si>
  <si>
    <t>eb166545-76e5-43ae-8c64-3fe5ebb9c729</t>
  </si>
  <si>
    <t>54f57722-2473-4dd8-b69b-82b5b0c1c9f9</t>
  </si>
  <si>
    <t>cbe53e22-ba67-4eaf-a4fb-c5acdd12ec66</t>
  </si>
  <si>
    <t>1 год</t>
  </si>
  <si>
    <t>9baf6d5d-f744-4332-abb0-e939b75cde40</t>
  </si>
  <si>
    <t>2bdc133d-cbbf-46c1-a902-488924082993</t>
  </si>
  <si>
    <t>689da294-ff83-4d49-986a-c61887f6d4e2</t>
  </si>
  <si>
    <t>5129cffc-68a1-4dd9-8bfe-035f3478d6dd</t>
  </si>
  <si>
    <t>иное</t>
  </si>
  <si>
    <t>6 лет</t>
  </si>
  <si>
    <t>f4226232-1c33-4d69-ada0-c88245fe345f</t>
  </si>
  <si>
    <t>бизнес</t>
  </si>
  <si>
    <t>247c59e9-cf6b-40a7-ae35-d102b69991cc</t>
  </si>
  <si>
    <t>1c9b6b3e-060d-4a70-8b08-522a7f589e89</t>
  </si>
  <si>
    <t>61a4f1ed-e2c3-401e-aec8-9b0d7178f5ff</t>
  </si>
  <si>
    <t>2d53b50a-30a2-488e-a287-3780b26e62ba</t>
  </si>
  <si>
    <t>приобретение автомобиля</t>
  </si>
  <si>
    <t>b91032a8-107c-4c0f-9ef8-c517e696f497</t>
  </si>
  <si>
    <t>86b8d158-c6f7-4ff0-8aaf-4eb96a3e6adc</t>
  </si>
  <si>
    <t>d1d8497b-90bf-48ea-a8b1-40c909ab1f97</t>
  </si>
  <si>
    <t>dedbd71d-dabd-4c64-a38f-bb5886e7f8b6</t>
  </si>
  <si>
    <t>f7581a72-d073-48a3-934f-14bdfae93691</t>
  </si>
  <si>
    <t>64560eb4-f50d-4f14-8a86-b46c0381bef2</t>
  </si>
  <si>
    <t>33ca84d6-61ab-4e1c-9312-77228201e7dd</t>
  </si>
  <si>
    <t>847e2dfa-a44c-4ec1-b05f-5d4a33e66885</t>
  </si>
  <si>
    <t>628b0914-b1d7-4028-b590-b50f5da53d06</t>
  </si>
  <si>
    <t>c5a714bb-75c6-4264-a807-8a35bb12ce7d</t>
  </si>
  <si>
    <t>64a23638-0025-41de-b41d-85c01eee6f1a</t>
  </si>
  <si>
    <t>5d71bb9d-ce8b-499d-91bf-3df92426430d</t>
  </si>
  <si>
    <t>24f6b0cb-17bd-4931-8cc9-b957f20efea5</t>
  </si>
  <si>
    <t>6cfb0765-7cd8-4ef5-aa6e-f935caf57cf0</t>
  </si>
  <si>
    <t>1ee733fd-fda7-4666-bbcb-059103773627</t>
  </si>
  <si>
    <t>86d02184-ce07-4f47-9f68-45743fa29ced</t>
  </si>
  <si>
    <t>2884d362-391a-4941-af69-c825cae18002</t>
  </si>
  <si>
    <t>06d6c4a1-7a06-41c5-aeb1-fe0d7e5c895e</t>
  </si>
  <si>
    <t>41988ec9-7368-42a3-bc2f-9882fb3779f6</t>
  </si>
  <si>
    <t>82b6502d-b24e-43d7-baf5-5624e566bfe3</t>
  </si>
  <si>
    <t>48e551b4-6a6f-4450-bf3c-f0ee9bcb266e</t>
  </si>
  <si>
    <t>9966e08c-04a6-41ab-86d0-e4062c64bd41</t>
  </si>
  <si>
    <t>крупная покупка</t>
  </si>
  <si>
    <t>b6f9e737-6609-45fd-8d6c-37b1b64c45df</t>
  </si>
  <si>
    <t>0b25e0aa-3fe1-4540-8e6d-f6e579dfc84a</t>
  </si>
  <si>
    <t>cdb9037a-a7e4-49e5-ace2-61cb3df0e1e0</t>
  </si>
  <si>
    <t>путешествие</t>
  </si>
  <si>
    <t>e947abb6-87fa-4e75-b381-d487bc4dd0bf</t>
  </si>
  <si>
    <t>2b8d9ed7-d6d4-491e-82f9-f5bee3bd9408</t>
  </si>
  <si>
    <t>1902ebd8-4ffa-4182-90dd-89a9eb14a9a0</t>
  </si>
  <si>
    <t>c5e8d25e-4417-4e67-ac03-9d5cf3f903ca</t>
  </si>
  <si>
    <t>8e49b9f9-b15f-4d76-a1f8-2bc90dfdb07f</t>
  </si>
  <si>
    <t>88f97adf-070a-47b1-9657-38276eef7d19</t>
  </si>
  <si>
    <t>0c0f26c2-c4c9-4f63-ae6c-1895438c6966</t>
  </si>
  <si>
    <t>fef3362a-2732-4520-ab83-4ce52074aa4e</t>
  </si>
  <si>
    <t>6ae17645-6b2a-4088-bb0c-1ca8424fedd7</t>
  </si>
  <si>
    <t>570f58b9-c502-4c7d-b1a8-9df512e9daf5</t>
  </si>
  <si>
    <t>c2fe5a7f-9826-48ad-ae02-b2c31cae3463</t>
  </si>
  <si>
    <t>e978f6d8-912e-418e-8649-1b970583f4c8</t>
  </si>
  <si>
    <t>decb6753-c45f-4f8a-ae0d-e8b26d246998</t>
  </si>
  <si>
    <t>a17de546-6b7f-4abf-9af4-99047eeda08a</t>
  </si>
  <si>
    <t>8980b1b1-7f07-49c7-a4f7-4268a61210f5</t>
  </si>
  <si>
    <t>6e8df64b-1404-4c95-8c79-954a601ba585</t>
  </si>
  <si>
    <t>55012e48-1a72-4609-b289-cd25b03f1aea</t>
  </si>
  <si>
    <t>d377d2ea-5cf8-4ee2-b7ba-f5be4dbb1b11</t>
  </si>
  <si>
    <t>47e5d0b1-228e-4fae-a0a5-22f4b9f8ad7d</t>
  </si>
  <si>
    <t>42374c5d-1275-4b47-b0d6-e1c33d02b811</t>
  </si>
  <si>
    <t>2bafd352-5fbb-4435-8316-fa2e7bc6950f</t>
  </si>
  <si>
    <t>3c75455c-6827-49fc-b91d-3001a1a5c9ba</t>
  </si>
  <si>
    <t>ac460fac-928b-4149-b919-69ea4eb9750f</t>
  </si>
  <si>
    <t>d80034d4-37b2-4380-9546-3bc3c9025077</t>
  </si>
  <si>
    <t>034ce7a6-999c-4ffa-a1d2-610f88a29606</t>
  </si>
  <si>
    <t>0f9f9ea4-6122-4fc6-99fd-6c6c38a32138</t>
  </si>
  <si>
    <t>f55d6d2b-646b-4d5d-996e-85f78f6fe3f2</t>
  </si>
  <si>
    <t>e5e051b3-545f-45c7-a975-360b732f7c97</t>
  </si>
  <si>
    <t>377a2055-0d25-4dd0-a7c9-28cb61f68259</t>
  </si>
  <si>
    <t>46dce277-4cdd-4b47-83f8-97078cb41bc0</t>
  </si>
  <si>
    <t>64f770d8-dec2-42e7-8955-6149ce7efd5f</t>
  </si>
  <si>
    <t>4da78dcb-83c2-4338-9a5b-72bd01053f5c</t>
  </si>
  <si>
    <t>4cc38eb2-c463-493a-82e9-1571bacc69a9</t>
  </si>
  <si>
    <t>f4a63c54-c7b6-4132-a5c1-160b09c0a1cf</t>
  </si>
  <si>
    <t>40deeacb-f472-4241-9861-56ce8bfe3151</t>
  </si>
  <si>
    <t>bc653e0d-ccac-4114-b998-f53c9f2dffc8</t>
  </si>
  <si>
    <t>403bdb3c-e326-4172-9f81-4e6b992cc349</t>
  </si>
  <si>
    <t>168cc347-945f-43d4-827b-1c06c7a80722</t>
  </si>
  <si>
    <t>d110ff2c-c936-487a-8e4f-8a192bad9cd8</t>
  </si>
  <si>
    <t>e298cbfc-074f-4441-9faf-d452aba7487f</t>
  </si>
  <si>
    <t>4b8c3426-83b6-4e7a-bd22-ab5695587508</t>
  </si>
  <si>
    <t>5df79973-ce71-49e2-a6a2-a52221cd1b1a</t>
  </si>
  <si>
    <t>fc5cff9c-c6b5-4616-a83f-c6866e7ce032</t>
  </si>
  <si>
    <t>ba4f8d7d-4907-4870-a1b1-e79f7055e13d</t>
  </si>
  <si>
    <t>4bdc5535-cbfe-4f08-9852-0d2a690a4644</t>
  </si>
  <si>
    <t>f0d6b352-bcf0-4114-9180-3e25878ddf69</t>
  </si>
  <si>
    <t>151e8706-cbcc-4d7f-bff0-a13ef9f5807a</t>
  </si>
  <si>
    <t>455d606b-6b1e-4222-9b90-987c55d001e6</t>
  </si>
  <si>
    <t>8823b7a8-9c0b-4f2d-a1dc-ffcb37ee4efb</t>
  </si>
  <si>
    <t>9d42ab3f-ccf7-4b8e-9dc0-54caaae9c343</t>
  </si>
  <si>
    <t>3fcb95d2-9f4f-4877-b959-a02948af9de4</t>
  </si>
  <si>
    <t>3edb6bb1-2045-4746-bd78-cdd4a7683b8d</t>
  </si>
  <si>
    <t>030a28e3-11ef-4d3f-9601-0479039ac27c</t>
  </si>
  <si>
    <t>90303eb6-110d-4aed-98e9-5bdb1ce8bb10</t>
  </si>
  <si>
    <t>d7ba72fa-b67b-46e7-8f1b-aa68520b89c8</t>
  </si>
  <si>
    <t>dccb0b43-a54d-47ae-b01b-382d193b475b</t>
  </si>
  <si>
    <t>44c5392a-dab7-4747-a2c7-da56763c6a5e</t>
  </si>
  <si>
    <t>3ecdcd82-6b30-4518-bdf9-92de5833caee</t>
  </si>
  <si>
    <t>4bf2f68f-20e5-44ce-b073-a31953b2f646</t>
  </si>
  <si>
    <t>942d2eb9-a841-4b19-96c3-a9aaa73b0dcf</t>
  </si>
  <si>
    <t>7a826762-3889-4043-9425-363df5f6101d</t>
  </si>
  <si>
    <t>5bdd1ffb-85eb-4072-941e-226eaecebb1f</t>
  </si>
  <si>
    <t>4e5b7ae7-5341-4435-8da8-fa5ed89b6905</t>
  </si>
  <si>
    <t>453062fa-f96e-42e4-add5-d15c812fc141</t>
  </si>
  <si>
    <t>e1ca1603-7399-4ae4-a7cd-d5015c433e8c</t>
  </si>
  <si>
    <t>044bdda9-adf7-4025-b77d-0160e4e834c2</t>
  </si>
  <si>
    <t>eb9b4903-d0df-4a68-bec9-00583ed78f33</t>
  </si>
  <si>
    <t>0c687ecc-cabf-48dd-83cd-b6fa50e11fcb</t>
  </si>
  <si>
    <t>8ded7e5a-b0e0-4d18-a3cf-5ad8cd5fea52</t>
  </si>
  <si>
    <t>f99cee77-ac7d-4d8b-936e-93ada7836e1b</t>
  </si>
  <si>
    <t>c8b825f5-3188-4c38-a4cd-8dd1952d3e20</t>
  </si>
  <si>
    <t>1ccbd292-a4e3-4ac4-bf08-565e66f30fe6</t>
  </si>
  <si>
    <t>c9e10069-780c-4853-aa6f-092a425f2663</t>
  </si>
  <si>
    <t>36096b3d-97e7-4b1e-89bd-660289a7a62d</t>
  </si>
  <si>
    <t>9fa0a981-d220-4f8a-99c2-5321c42f070f</t>
  </si>
  <si>
    <t>1e8705ea-cf91-464b-bba9-035a4c9a6da7</t>
  </si>
  <si>
    <t>dba85a94-371c-4d9f-a0b4-d56def6659fa</t>
  </si>
  <si>
    <t>1ad6919e-0fe1-4628-94a6-69bbd7cb8edc</t>
  </si>
  <si>
    <t>1d77b9af-c36c-4683-81e2-54bfb01f00d6</t>
  </si>
  <si>
    <t>ec83df40-a37c-4c6f-89c4-e2dbe965026e</t>
  </si>
  <si>
    <t>735e7283-7724-484c-b113-d50e04e92c63</t>
  </si>
  <si>
    <t>e6b4ef94-b40d-451e-b0f7-a164ca3831fc</t>
  </si>
  <si>
    <t>cf4d223b-958a-4a31-8b82-09ae3996fd0c</t>
  </si>
  <si>
    <t>5e02406a-3cd6-49f7-bdc7-0f90ec0bb030</t>
  </si>
  <si>
    <t>b0d26cc8-cf23-4eb3-aa53-8074353532ce</t>
  </si>
  <si>
    <t>0d165460-bb88-4a53-b8aa-cdbf8c3f342c</t>
  </si>
  <si>
    <t>6ecfe8c1-8b24-472b-9efa-0fd181df38e9</t>
  </si>
  <si>
    <t>01246538-e5a4-46e1-9db5-082889444846</t>
  </si>
  <si>
    <t>d56c6737-bab6-49fc-9363-b7937e489e3a</t>
  </si>
  <si>
    <t>6adde19f-937f-4369-a6ad-cfe94b41d6dc</t>
  </si>
  <si>
    <t>ba0dcc40-2355-4934-a4f8-1dc189964279</t>
  </si>
  <si>
    <t>37c41379-e56c-4455-a94b-2b810d80a058</t>
  </si>
  <si>
    <t>45f8e491-a49a-478d-8ec0-68d6fbd10c90</t>
  </si>
  <si>
    <t>12be2338-32c8-459d-8201-e85308164a9b</t>
  </si>
  <si>
    <t>a18c315b-1918-4c8c-bf77-15886243427f</t>
  </si>
  <si>
    <t>886e3ac5-357d-42ab-81cd-aaee8d28c706</t>
  </si>
  <si>
    <t>f922a1c3-98e7-4870-ade3-dd9a9b2fa5ee</t>
  </si>
  <si>
    <t>68b77d5b-94b9-46b3-a979-d9ae507df0e2</t>
  </si>
  <si>
    <t>90fdf7b8-8547-4d7d-b7c1-a1a93117fcee</t>
  </si>
  <si>
    <t>7e1c0a75-f49e-4a18-aa19-260ff92b57df</t>
  </si>
  <si>
    <t>f20cccab-9676-4fba-a5c2-7e6d52d07bba</t>
  </si>
  <si>
    <t>f36792bd-e4e8-432a-95b6-49c8965cf1d9</t>
  </si>
  <si>
    <t>0af8fb87-4963-408f-824d-63c51cfb7f92</t>
  </si>
  <si>
    <t>c202ba1a-d4a2-42d7-a2f1-d0093fc4509b</t>
  </si>
  <si>
    <t>8aad10e5-1d3b-4014-8652-861f974b5dc4</t>
  </si>
  <si>
    <t>fc950ca6-8f85-425c-a800-85a71a4e0870</t>
  </si>
  <si>
    <t>fd4ca23b-1ad4-404e-97c4-f1834094d9d8</t>
  </si>
  <si>
    <t>ab77813a-d625-4f19-9772-f17d6654656c</t>
  </si>
  <si>
    <t>50b9be84-4a19-4005-b50a-016352734f4d</t>
  </si>
  <si>
    <t>47fdd7c4-e629-4826-a847-d2438cf2f445</t>
  </si>
  <si>
    <t>a32475a6-e244-4386-98a7-b02c1c78e2c1</t>
  </si>
  <si>
    <t>ee43e681-9eca-4f0a-9b37-0c7a242b7963</t>
  </si>
  <si>
    <t>76c63206-8f06-45f1-9973-be2cda8dc4fa</t>
  </si>
  <si>
    <t>a2dc4e54-eaa7-4bbc-b103-8d06d05a3f54</t>
  </si>
  <si>
    <t>860862ac-4148-48de-88df-fff9e7f4d784</t>
  </si>
  <si>
    <t>1eefc01a-2551-44c9-8305-0fd083e770ac</t>
  </si>
  <si>
    <t>133bad47-5555-49f6-9885-70756e18ad74</t>
  </si>
  <si>
    <t>3d444fd0-12df-4671-a439-e6933570da1b</t>
  </si>
  <si>
    <t>c56cdb33-b1fd-4d8b-9b63-db54333910a8</t>
  </si>
  <si>
    <t>7391b4e2-f7fe-41dd-bb58-eddcce0ea92d</t>
  </si>
  <si>
    <t>64dcd3aa-3c82-4c70-929a-a83d249d894a</t>
  </si>
  <si>
    <t>51fcba2d-c634-4e05-ba0f-9d1b3e2e70a5</t>
  </si>
  <si>
    <t>62c2c24e-d73e-424b-b344-173ff9c1ab34</t>
  </si>
  <si>
    <t>7d09ca08-2cdd-4da0-8419-56efa1742725</t>
  </si>
  <si>
    <t>bc0556e1-ef0d-4ad8-a579-83fffe860d50</t>
  </si>
  <si>
    <t>2cfaebac-5ad2-44c3-804f-8cee5fd8ea96</t>
  </si>
  <si>
    <t>b5c327ed-2316-4b1e-98e4-5e0a31943bef</t>
  </si>
  <si>
    <t>e3c54e03-73c7-418d-9672-f3eda66c4f4f</t>
  </si>
  <si>
    <t>9a378a11-d17c-486f-bdc8-2ce117215d6b</t>
  </si>
  <si>
    <t>b48dacc4-9a81-4817-9efc-62f4678f632b</t>
  </si>
  <si>
    <t>bcb7a8a2-54b9-4d2e-907d-066d7db1332f</t>
  </si>
  <si>
    <t>3569687c-9c83-4902-8499-07554a9de12b</t>
  </si>
  <si>
    <t>477346c7-4293-4c1b-a712-89be53157e28</t>
  </si>
  <si>
    <t>0c83cac3-592e-4d36-a601-b4e50af8e96e</t>
  </si>
  <si>
    <t>67d9a806-c23d-45fc-8c49-aec86224c66f</t>
  </si>
  <si>
    <t>36a90e1f-25bb-4666-b78a-62b17ecc427d</t>
  </si>
  <si>
    <t>86ea6dde-87de-443a-98a8-1ddb8c454811</t>
  </si>
  <si>
    <t>f0d0fb77-c03c-4e41-86ce-421999997be0</t>
  </si>
  <si>
    <t>c68e4653-01eb-4e55-88c3-80b151fa9c90</t>
  </si>
  <si>
    <t>142ac1e6-9f6b-4656-b1c5-a3aeca3b3736</t>
  </si>
  <si>
    <t>91a2224e-3024-4b3c-848b-3ecf24503d71</t>
  </si>
  <si>
    <t>51e76175-9403-4871-a6e4-c5b5ea7a1412</t>
  </si>
  <si>
    <t>546408e9-0300-401e-a111-446b87b78fa2</t>
  </si>
  <si>
    <t>77c02bb2-717c-459d-8828-7cfce08b4a0b</t>
  </si>
  <si>
    <t>0e0fa488-b6cb-444e-b3cf-c2021a74cad8</t>
  </si>
  <si>
    <t>2bac8213-2ea9-4aa7-9112-8cc72cbb616e</t>
  </si>
  <si>
    <t>117496d1-3c6e-4299-a8f6-0e4668b6bef9</t>
  </si>
  <si>
    <t>289b5992-ceed-469a-9c30-9a8c5567a1ee</t>
  </si>
  <si>
    <t>50d18312-05f4-44c6-8b25-5afe86526d33</t>
  </si>
  <si>
    <t>8156ed23-5700-4450-a981-dcff4cf322ce</t>
  </si>
  <si>
    <t>fa3af482-4fd5-4b0c-8d75-d3292a195463</t>
  </si>
  <si>
    <t>9af01efe-ca83-4a69-bae2-a2d80b18e467</t>
  </si>
  <si>
    <t>660e1e64-6904-4904-acd7-6c7dc096bbfc</t>
  </si>
  <si>
    <t>1eff98c5-6382-4c2b-8241-1193ea885216</t>
  </si>
  <si>
    <t>580287c4-97f3-4e12-b815-4a57be8fc372</t>
  </si>
  <si>
    <t>b0e36332-8a35-45a8-94bb-a2ccdbb43f93</t>
  </si>
  <si>
    <t>f2679b6f-e5c8-4af8-8027-b2933a535741</t>
  </si>
  <si>
    <t>3ee8dea0-7560-4a54-8cf2-18a196f68618</t>
  </si>
  <si>
    <t>e74223bc-f0d9-4ae5-8616-229c49df7902</t>
  </si>
  <si>
    <t>7fa3a146-1ab1-48bf-8917-41022a07383a</t>
  </si>
  <si>
    <t>0ce26174-19c8-48b5-8a4d-226aca78367e</t>
  </si>
  <si>
    <t>9f9bb0ba-9afd-4b10-b489-28cd65bbf75c</t>
  </si>
  <si>
    <t>529f45cf-801d-4844-994d-8b3b2db40bd9</t>
  </si>
  <si>
    <t>4c328ed4-c746-4ae6-92cc-8c648dd8c366</t>
  </si>
  <si>
    <t>248d929d-28d2-437b-a3ab-912346b03513</t>
  </si>
  <si>
    <t>9bf42874-90b7-44b2-8567-0b26b2ce7f77</t>
  </si>
  <si>
    <t>48cdef94-bd16-4df1-98fc-50fc3efae88e</t>
  </si>
  <si>
    <t>bdc8384b-c937-4c0b-b2a5-8e3d755c8d7b</t>
  </si>
  <si>
    <t>c746e142-7048-4f4d-b3ff-294bc3673b3c</t>
  </si>
  <si>
    <t>9f11cce9-12a9-48ff-a776-62aa7f6beebf</t>
  </si>
  <si>
    <t>2f026faa-1ea6-47b1-8be0-c69631b988f6</t>
  </si>
  <si>
    <t>7b2a256c-be3f-4f98-b797-f9f38f075a66</t>
  </si>
  <si>
    <t>a02537d3-16b1-4a7a-a8a0-e7cf0ff98e6c</t>
  </si>
  <si>
    <t>3e28b8e1-eec6-4c4a-8b1b-d718535bc995</t>
  </si>
  <si>
    <t>c8d35d40-d82a-4eed-9768-c09e61f8fe68</t>
  </si>
  <si>
    <t>eef2c01f-7676-48e3-96d2-5d965f7efbd7</t>
  </si>
  <si>
    <t>7a4ecabe-6d54-4609-a0f0-17b20b1622a9</t>
  </si>
  <si>
    <t>4a38f197-1e4a-49f9-bc02-7563c7663f69</t>
  </si>
  <si>
    <t>ee5f9ebe-0bc7-4be2-ba09-07329fb9f0f9</t>
  </si>
  <si>
    <t>70e8b7c3-5c89-43d9-91b2-54c5f82e6aeb</t>
  </si>
  <si>
    <t>b2e263f2-7ca6-4def-ae66-425aca9a44ce</t>
  </si>
  <si>
    <t>1c9b370f-8dce-4135-af08-8fdea9fcc3fa</t>
  </si>
  <si>
    <t>fe12ac96-f1c9-4ee1-8564-7b9c407be684</t>
  </si>
  <si>
    <t>016cec7a-d077-4efa-8ce1-01cb0c3f14ce</t>
  </si>
  <si>
    <t>6d3ed03d-9b0f-4730-857f-2c31484bcb0c</t>
  </si>
  <si>
    <t>d05982f1-bfcd-418f-add8-afcdd79c1e02</t>
  </si>
  <si>
    <t>597d860d-c890-4f31-b476-f8996bb8fdc4</t>
  </si>
  <si>
    <t>ce0e117f-d104-4681-82cb-4bbe32ca48dd</t>
  </si>
  <si>
    <t>19542fc0-6f7e-4e88-8d98-bb678d68ea30</t>
  </si>
  <si>
    <t>fedd8518-ead5-4392-ba6a-78707a75a5c6</t>
  </si>
  <si>
    <t>6841d292-bf4d-4f08-bdef-b851643cee7f</t>
  </si>
  <si>
    <t>f4a4857d-fdac-4f25-8886-607574527864</t>
  </si>
  <si>
    <t>ffe02306-8102-4c69-a514-72ef531ce7e1</t>
  </si>
  <si>
    <t>07838ed8-d984-456f-bd10-308126ab9774</t>
  </si>
  <si>
    <t>ee5e2ea2-6641-428d-9770-455672dfdd17</t>
  </si>
  <si>
    <t>2d1f095e-2db8-4c97-a8aa-557615b67804</t>
  </si>
  <si>
    <t>70f10338-c42a-442b-8d27-fd47fe3f6d39</t>
  </si>
  <si>
    <t>e460bc99-b5fc-4b3b-979e-1e7c5be6c81d</t>
  </si>
  <si>
    <t>63796095-b7b6-4f04-b17c-e77f3c799fa5</t>
  </si>
  <si>
    <t>6883114b-f6c5-4eec-8048-91be2a5068a7</t>
  </si>
  <si>
    <t>5ddd0f20-e1b7-490a-a3dd-dd36d0380664</t>
  </si>
  <si>
    <t>f7f8e132-37ed-4cc7-a5f9-5d5dea766cdb</t>
  </si>
  <si>
    <t>01af6fa9-b03b-4271-ad41-68144af5174c</t>
  </si>
  <si>
    <t>f36aa067-20f8-4fc1-a4b3-ee8583e1771e</t>
  </si>
  <si>
    <t>a8cd0882-f4ae-44ed-bdba-b0fa88032f8d</t>
  </si>
  <si>
    <t>f5b57b23-e214-427a-8d8f-79e3120cc3f5</t>
  </si>
  <si>
    <t>1b7eb5be-f3f3-4fbd-9ea9-f5375ded5692</t>
  </si>
  <si>
    <t>2ea0bc45-2e41-4932-af65-e4ed6e8554cf</t>
  </si>
  <si>
    <t>e25e2a25-19db-4100-97fc-18282b8c98a0</t>
  </si>
  <si>
    <t>6c23d05e-c604-4b43-a6cb-7a0e44bad670</t>
  </si>
  <si>
    <t>8cd8a9f1-ee07-4ba2-a0f8-87aa31435c90</t>
  </si>
  <si>
    <t>baba73db-8398-4d46-be16-3344448fc21f</t>
  </si>
  <si>
    <t>22702252-ce3f-49f3-b62b-92022bf4c7fb</t>
  </si>
  <si>
    <t>dabfeeab-b80c-41ab-90ae-8d3549d3c72b</t>
  </si>
  <si>
    <t>df9f570e-c620-4065-a045-1fdb1441d8ca</t>
  </si>
  <si>
    <t>efb8142e-318b-4c95-ab8a-0debf34bea04</t>
  </si>
  <si>
    <t>7d58405b-a575-43df-882d-3053fef20637</t>
  </si>
  <si>
    <t>db57077a-6e13-425c-8e82-211c0e2f79c0</t>
  </si>
  <si>
    <t>191d6883-713d-4380-96d6-417a9cc0830d</t>
  </si>
  <si>
    <t>26fa597c-e2b9-4873-8894-f3574e95503b</t>
  </si>
  <si>
    <t>d75c5d50-9703-4571-85e9-37c19de411c5</t>
  </si>
  <si>
    <t>87630839-daf3-4eab-9d2a-f53837fbb87a</t>
  </si>
  <si>
    <t>9d6258bf-f326-4fa5-8d51-c61c4e09ea84</t>
  </si>
  <si>
    <t>ceb55b24-7481-4290-a522-f9455d6f051c</t>
  </si>
  <si>
    <t>30e80eb8-22e8-43b1-a927-6c98e5d1ff3c</t>
  </si>
  <si>
    <t>561f4e5e-1c14-48f6-a973-f88429fdc265</t>
  </si>
  <si>
    <t>e18f7cf9-0093-4946-a878-e239f14f2db7</t>
  </si>
  <si>
    <t>735ddd4f-0c4a-41b8-ba3b-f52b98fa8e2e</t>
  </si>
  <si>
    <t>0abf8e06-2433-4009-8ad5-adf64ddc80c8</t>
  </si>
  <si>
    <t>1dc24b5e-f322-469b-a154-a15fea750baf</t>
  </si>
  <si>
    <t>33bf0df2-a905-4963-9d22-7375ee815b3d</t>
  </si>
  <si>
    <t>662a169b-55a7-49ff-be87-861f0fdbb357</t>
  </si>
  <si>
    <t>9a9e3ed2-d6b2-47e3-b87a-312a5da73343</t>
  </si>
  <si>
    <t>bcd9849c-6b3a-4967-a7d2-fd071e621e77</t>
  </si>
  <si>
    <t>e50769c7-d01a-43af-b66d-9a13dc014f36</t>
  </si>
  <si>
    <t>a3e68c54-ec6c-4f27-861b-d60025f36cde</t>
  </si>
  <si>
    <t>f83594ba-4d1d-45e2-ba80-5cf51e8c35f1</t>
  </si>
  <si>
    <t>9281ecfc-e6e4-42cf-97d9-bd7911ed4dae</t>
  </si>
  <si>
    <t>847a26f1-a423-49df-ae24-9b604609ad92</t>
  </si>
  <si>
    <t>09c6f224-cf1f-4c50-b3ac-30c93dc5ff28</t>
  </si>
  <si>
    <t>ca4f90bc-7222-4792-9061-6b30772818bf</t>
  </si>
  <si>
    <t>073e047d-fe1a-4d74-87e8-27fc569a9052</t>
  </si>
  <si>
    <t>f2c78905-f5de-4b37-97db-2b169ffb76a7</t>
  </si>
  <si>
    <t>c793367c-0942-4d2b-b453-df38f94d345d</t>
  </si>
  <si>
    <t>d959a0ee-3b70-4344-a4ec-faecafd20145</t>
  </si>
  <si>
    <t>a54d79f2-4314-4964-9c88-d1b2f0450a41</t>
  </si>
  <si>
    <t>a2a44277-fd9b-45ff-a28c-9a4c3678c41a</t>
  </si>
  <si>
    <t>597b6a21-89f4-4c78-83a4-ab24a7725c52</t>
  </si>
  <si>
    <t>df888b2a-d3e8-4351-93b6-acf3ab7e17c6</t>
  </si>
  <si>
    <t>1ccd46bb-adc7-4676-a406-f3eeb3dbb284</t>
  </si>
  <si>
    <t>9f4ebd2a-621d-44c3-b4cc-02952d3227e6</t>
  </si>
  <si>
    <t>642ec47d-8e65-4bbe-908b-a440ad279979</t>
  </si>
  <si>
    <t>a239a831-642f-4cf8-926c-beac6ee5f36d</t>
  </si>
  <si>
    <t>a5590971-4224-4f70-bfc1-a561c65e01ec</t>
  </si>
  <si>
    <t>b80882aa-56b6-4e07-9897-c33e506ec24e</t>
  </si>
  <si>
    <t>7e53c8ce-62b4-4587-89f0-76b039b0ea1a</t>
  </si>
  <si>
    <t>58fe46dc-0b80-43db-8df9-80b7fb75924d</t>
  </si>
  <si>
    <t>aed4c830-c921-4cd4-8fc8-f2622828d3e9</t>
  </si>
  <si>
    <t>2b0b8447-335c-408d-9226-919788601a79</t>
  </si>
  <si>
    <t>78d34582-bfa9-4905-87f6-e2388392350e</t>
  </si>
  <si>
    <t>8980f73f-9444-476b-9f9d-a03b7cbca798</t>
  </si>
  <si>
    <t>a4daa4ec-bafe-4c1b-960e-905b5b2644f0</t>
  </si>
  <si>
    <t>b183e74e-c2f5-44ca-82bb-edfb87dca58c</t>
  </si>
  <si>
    <t>cc8b7adc-f294-45d6-9348-240f1899f6cf</t>
  </si>
  <si>
    <t>dcc6ab9d-f70d-4b50-975e-4c165c09b9af</t>
  </si>
  <si>
    <t>445a6146-6b1f-47c1-8550-cf396f30d24b</t>
  </si>
  <si>
    <t>d1eeca26-b38a-4b30-8687-9572e214c88f</t>
  </si>
  <si>
    <t>a516d48a-155e-4cbb-8710-43bddd55b655</t>
  </si>
  <si>
    <t>6e74edf5-0498-4171-9123-f7f637520240</t>
  </si>
  <si>
    <t>f4e50dd6-fd48-4d7d-8f4c-c4da73af8194</t>
  </si>
  <si>
    <t>87c44b01-2054-49f0-872d-cd0f4e503385</t>
  </si>
  <si>
    <t>58e605ce-de2a-4851-9126-022c7591fc2f</t>
  </si>
  <si>
    <t>ffbd01e5-5886-47fa-82e7-0c29cb14f30f</t>
  </si>
  <si>
    <t>5f88aa1b-7526-47b4-99cf-51671f27817c</t>
  </si>
  <si>
    <t>7d0315cd-ebd7-4580-b1fd-5396d5719556</t>
  </si>
  <si>
    <t>6885de95-8a49-4ddb-a8da-b4d3bbb88190</t>
  </si>
  <si>
    <t>f17b80fe-d2b7-4015-944a-b61b9ec5f13a</t>
  </si>
  <si>
    <t>6f0fb886-cacf-4e15-82cb-d125472a0c7b</t>
  </si>
  <si>
    <t>2ee68db3-8790-494b-b328-c308a1234cd1</t>
  </si>
  <si>
    <t>0c4d94c3-2e19-4e78-a4f2-bc6e3b40d5cb</t>
  </si>
  <si>
    <t>b594bff7-3030-4318-933e-427e57129cb7</t>
  </si>
  <si>
    <t>865bd443-5b86-4b07-9218-8dffe43209fc</t>
  </si>
  <si>
    <t>3ba73ec7-aa01-49b2-beb0-53eaab294c0a</t>
  </si>
  <si>
    <t>f06b759a-06f2-4061-b10a-b09e05b04d82</t>
  </si>
  <si>
    <t>ef3ea28c-01b1-478a-aa98-4ea0b3398a15</t>
  </si>
  <si>
    <t>271886d9-a9f9-4d48-b335-c6386e852408</t>
  </si>
  <si>
    <t>4eab7a13-91ce-450a-8d34-e85e2c11570a</t>
  </si>
  <si>
    <t>b2f2d7d2-e4c6-4f63-8dc0-e6ef40555d4a</t>
  </si>
  <si>
    <t>c98e31fb-7471-4a58-9cb7-a04c8104abd8</t>
  </si>
  <si>
    <t>78975426-c4c4-4fe8-87d9-2f067a3130cf</t>
  </si>
  <si>
    <t>535b4968-b8f8-45a0-8840-796cc7ec0098</t>
  </si>
  <si>
    <t>f104bb8f-a70d-4e89-8dae-81db356d8452</t>
  </si>
  <si>
    <t>8b3823d4-d69f-48cc-b829-a97174e1d5fa</t>
  </si>
  <si>
    <t>fc22174a-fbb3-4cc5-bbbe-37846690c20a</t>
  </si>
  <si>
    <t>ca3da155-a63a-4d39-b8b4-898b0e6c28f6</t>
  </si>
  <si>
    <t>decba3f3-c30b-4116-821f-b26898388a7e</t>
  </si>
  <si>
    <t>cf3d93fb-6762-4a14-afa9-05b252698f34</t>
  </si>
  <si>
    <t>03709adc-3272-4711-9845-70f4cb09550a</t>
  </si>
  <si>
    <t>edfb58ce-4aaa-4ab9-a448-caba8034a937</t>
  </si>
  <si>
    <t>de7e5f8e-bdf9-4eaa-8266-9e16da5be3c2</t>
  </si>
  <si>
    <t>884afe37-a98f-4454-ac38-512e49de8002</t>
  </si>
  <si>
    <t>5f8d13d9-fc42-491d-beb7-6872bb2e8b8e</t>
  </si>
  <si>
    <t>f48c2e72-a017-483f-8bd2-c260d081cbee</t>
  </si>
  <si>
    <t>42790d99-2adc-4eee-9c18-1937c3b43424</t>
  </si>
  <si>
    <t>bf7c49ea-940b-4958-8f60-55f45c3d57c8</t>
  </si>
  <si>
    <t>b4e257bc-1da0-4273-9272-0f93d9b26e3a</t>
  </si>
  <si>
    <t>5d39e9c4-d45d-4f24-a767-8e96ee964643</t>
  </si>
  <si>
    <t>4ae48a91-7be2-40b1-a66d-6f7d5b6b5e7f</t>
  </si>
  <si>
    <t>cadc3a31-59f7-4e44-86d5-1244409aa0a3</t>
  </si>
  <si>
    <t>315c2ccc-48c7-4f48-bf39-ab34f49a8c31</t>
  </si>
  <si>
    <t>09c612b9-a6f2-4a03-9901-160dbc03b4a9</t>
  </si>
  <si>
    <t>17f9fb19-deb1-4746-a388-491b55556cc3</t>
  </si>
  <si>
    <t>0cdf50b9-efc7-4577-8bf6-6ff6ffdf86c1</t>
  </si>
  <si>
    <t>55ee39ef-0a44-4b79-8154-a512c22bdb97</t>
  </si>
  <si>
    <t>bb433d07-83ce-45b4-95aa-88f6da823bbe</t>
  </si>
  <si>
    <t>1a5685b7-450d-44c6-9390-2e16387f7cd8</t>
  </si>
  <si>
    <t>a7a06859-14a2-4e5b-ab74-92fe625a229c</t>
  </si>
  <si>
    <t>0363c6d8-3b43-4266-92cf-113e1fca7d5c</t>
  </si>
  <si>
    <t>4eb7b183-8053-4d35-b012-7ff377223980</t>
  </si>
  <si>
    <t>35831535-e42c-4109-b006-4685c874a6b2</t>
  </si>
  <si>
    <t>0a0ed036-ce6b-41a9-b0ee-8db814a85425</t>
  </si>
  <si>
    <t>3c6f7594-ac3f-4a3b-8546-61137ee93213</t>
  </si>
  <si>
    <t>1818da89-2018-4750-b7e4-70ba4d13e86a</t>
  </si>
  <si>
    <t>96014749-34d9-4449-9a6d-874b6b762986</t>
  </si>
  <si>
    <t>8d3fe0d8-97d9-4e39-9d69-a030e72ba161</t>
  </si>
  <si>
    <t>160993af-7836-4e58-9f0c-1c894dc1b764</t>
  </si>
  <si>
    <t>faa524e8-2e89-414e-9a18-3042d1ef9166</t>
  </si>
  <si>
    <t>77cc7b59-b2db-4c65-bfb6-d878b1a228fa</t>
  </si>
  <si>
    <t>7352605a-a1fc-4f3a-804d-bb7df0dbf646</t>
  </si>
  <si>
    <t>6e1f347c-42e6-46e5-9af0-e982346990c1</t>
  </si>
  <si>
    <t>f4f1de27-a30b-41c6-9357-79a73a23ed12</t>
  </si>
  <si>
    <t>6d385ad8-34ab-4eb7-8364-97a516c00e3a</t>
  </si>
  <si>
    <t>37e59c53-92cc-4abb-a7d4-918188a8c485</t>
  </si>
  <si>
    <t>d0a8be34-eef9-4005-beb5-cfb5b0468222</t>
  </si>
  <si>
    <t>86b76475-e158-42ee-a94b-ac9f7916ebf3</t>
  </si>
  <si>
    <t>6c301164-4828-4de3-9a2c-767bf95e9c23</t>
  </si>
  <si>
    <t>a7802168-2b18-49ef-b6a5-a88de894c9b1</t>
  </si>
  <si>
    <t>e8ddad09-0042-42d4-93aa-b45dd89fbddd</t>
  </si>
  <si>
    <t>a7f14ec6-d7f1-41c1-8a88-69fd6a5d807b</t>
  </si>
  <si>
    <t>efe184e6-8ff3-437b-9990-9cd1870cadf3</t>
  </si>
  <si>
    <t>c89321f5-ed4f-47b7-a45b-198cf02fedd8</t>
  </si>
  <si>
    <t>2a01b536-ed56-49a8-b2b6-b07f131cb7dd</t>
  </si>
  <si>
    <t>3d31b81f-ea84-4e18-8b0d-2027e26a4ca4</t>
  </si>
  <si>
    <t>d532715b-a0ea-4ceb-8b35-71f5a626815e</t>
  </si>
  <si>
    <t>023fa202-c60a-4d28-9961-3fe45d280800</t>
  </si>
  <si>
    <t>121f643b-6e0c-47c6-87b6-b9a924207efa</t>
  </si>
  <si>
    <t>314a1015-c9e0-4fd1-bc2f-f210436d1a62</t>
  </si>
  <si>
    <t>eb62bb6a-89db-4c1e-81ee-219ca7dff471</t>
  </si>
  <si>
    <t>f51f824d-fb8a-4ab6-b211-4db6d706b00c</t>
  </si>
  <si>
    <t>847a95e9-1543-4b45-8b42-3b93b5acc8c0</t>
  </si>
  <si>
    <t>1a7fbc55-d351-48ef-b7eb-d1680fb416cd</t>
  </si>
  <si>
    <t>cb675274-6c28-4bf7-a075-5cc990cf5c51</t>
  </si>
  <si>
    <t>0ec4572c-0882-4245-b2a1-7015771148b7</t>
  </si>
  <si>
    <t>ba68a268-8b71-4107-950a-8c5f17a76950</t>
  </si>
  <si>
    <t>a7f73a96-01e2-457e-846e-5c8d18d4221a</t>
  </si>
  <si>
    <t>8e3e3601-6f19-4818-8915-4c3e3f58c2fd</t>
  </si>
  <si>
    <t>ceeff234-9aa8-494f-9935-e1a963b27960</t>
  </si>
  <si>
    <t>14caac2b-1ab5-4625-adce-733b26643f70</t>
  </si>
  <si>
    <t>ab46b1a7-f937-4ba9-ac98-270344120cf7</t>
  </si>
  <si>
    <t>d3291318-0960-44db-beb2-cae8cf8029d4</t>
  </si>
  <si>
    <t>471802fa-e65d-4247-92d1-9a838d2b2080</t>
  </si>
  <si>
    <t>9a0ed640-48ab-48c4-9948-5bbb27cd1fe5</t>
  </si>
  <si>
    <t>2a445931-cd27-44c7-838e-c9dede943278</t>
  </si>
  <si>
    <t>4cb4da1d-b371-4208-8e1a-72d68d6a7334</t>
  </si>
  <si>
    <t>9d65a472-7fdb-4eb8-8fcd-5597554a6082</t>
  </si>
  <si>
    <t>03f8cd85-1ce1-4754-a955-f32e17eaee60</t>
  </si>
  <si>
    <t>4e3eee3d-4f66-4a08-8060-154c1cbc29fc</t>
  </si>
  <si>
    <t>21a58539-2489-4b5a-8606-b7a64e606fec</t>
  </si>
  <si>
    <t>c6abf067-c8b9-44f9-be06-4271cb13e550</t>
  </si>
  <si>
    <t>907ae5a2-9fe1-4093-9d47-94af6af76f0e</t>
  </si>
  <si>
    <t>b36af03c-aabf-4817-a356-cba3f9b80aa0</t>
  </si>
  <si>
    <t>44836e28-1f4b-428f-aea6-073ab6437c68</t>
  </si>
  <si>
    <t>7c5ef5d9-ff25-4006-a399-cee0e175e54a</t>
  </si>
  <si>
    <t>3d6b26e0-e22a-4b63-8f4f-aecc83b723b9</t>
  </si>
  <si>
    <t>35de5f47-b2b9-4e16-af6a-5455ade15f11</t>
  </si>
  <si>
    <t>23fbae3c-895e-43d9-bae9-077999282de3</t>
  </si>
  <si>
    <t>3cec97a7-6e88-4d1c-8ce1-b635c7ffd354</t>
  </si>
  <si>
    <t>6c9bb30e-e5eb-4b42-a5af-936e5f86bf00</t>
  </si>
  <si>
    <t>f8fe1ce7-dd1b-45e4-86d8-1446b353b817</t>
  </si>
  <si>
    <t>67df0dd6-0eba-4a63-b3cd-e9333d9e8e79</t>
  </si>
  <si>
    <t>65fae922-65ac-42d8-910a-d43c187b0c07</t>
  </si>
  <si>
    <t>bd34e363-b56a-4c33-8c77-0a49d20728ac</t>
  </si>
  <si>
    <t>3e6f9a14-595e-4c93-b16a-6b9e0691a39a</t>
  </si>
  <si>
    <t>8059ca3a-ca55-4bea-8f6e-d5b353a19d4c</t>
  </si>
  <si>
    <t>35ff2d58-59e1-4455-af50-3438a78ed021</t>
  </si>
  <si>
    <t>e9402e8e-ca22-4834-a024-d89e674b5afb</t>
  </si>
  <si>
    <t>94c953bf-f551-43bd-9374-d41bc899e362</t>
  </si>
  <si>
    <t>39b4e50e-b907-42c4-9741-322c29dbe476</t>
  </si>
  <si>
    <t>277f0c8d-3100-4734-acde-eabfda554112</t>
  </si>
  <si>
    <t>d52fe572-9db8-419c-91c9-33ec04025163</t>
  </si>
  <si>
    <t>ea4d01b3-bfe1-4759-b165-10a3043c7257</t>
  </si>
  <si>
    <t>b96bd37d-f920-4e89-8707-53349a8a3e6c</t>
  </si>
  <si>
    <t>e15c3081-4cec-4988-ae46-073d7ef52a61</t>
  </si>
  <si>
    <t>279c0b13-4338-47e8-8387-5e2abd791216</t>
  </si>
  <si>
    <t>9078506e-5fe4-461c-a420-66321502c708</t>
  </si>
  <si>
    <t>d7887c0c-decc-4fb2-adb2-f6f65c6d4f15</t>
  </si>
  <si>
    <t>e7bbc5c3-bd7a-4803-a170-7eaa2d8de78a</t>
  </si>
  <si>
    <t>4448c50f-658f-4897-89b0-8da53c60cbb5</t>
  </si>
  <si>
    <t>78bd8382-79d1-46fb-b73e-13549f184e9a</t>
  </si>
  <si>
    <t>7b1a2716-7c87-4cb3-9524-214c04ab6312</t>
  </si>
  <si>
    <t>62550808-4d89-4058-9a93-b8dec2606e71</t>
  </si>
  <si>
    <t>83375a14-3b11-47e3-adcc-aba68b9aa3a4</t>
  </si>
  <si>
    <t>a8cc187e-2d6d-4fda-867a-f4b527a5349f</t>
  </si>
  <si>
    <t>87af014b-f368-4d7c-8f8d-8f59d5efc338</t>
  </si>
  <si>
    <t>fd04a9be-10df-4847-92f5-c647e16d40a5</t>
  </si>
  <si>
    <t>b9254a96-7185-49bb-a1a9-ab93a4adbe24</t>
  </si>
  <si>
    <t>66db7b31-792a-493f-88fb-b576cd826198</t>
  </si>
  <si>
    <t>86c10392-9210-4d48-a02b-49ff0beff2de</t>
  </si>
  <si>
    <t>9ac101a6-a72e-4ecb-ae9c-091200a88209</t>
  </si>
  <si>
    <t>834b3cbc-fdb2-4084-9dfc-9cdcae945acf</t>
  </si>
  <si>
    <t>eb069b14-27ec-4f73-ac76-ae19d18cef36</t>
  </si>
  <si>
    <t>93bfe4f9-4421-4add-8e13-0a84235cee68</t>
  </si>
  <si>
    <t>636578ec-e081-49f7-9fec-638d65a36050</t>
  </si>
  <si>
    <t>7e2225b8-85aa-45ea-a7e5-e36bbdd6b818</t>
  </si>
  <si>
    <t>af9daf28-5add-454c-8a37-4ea08e5593dd</t>
  </si>
  <si>
    <t>25f9b079-a3b3-4f09-9611-dc0ea52c8d33</t>
  </si>
  <si>
    <t>bde40503-813e-4548-a1fe-ca854c725cf8</t>
  </si>
  <si>
    <t>6cd3f9d2-fa0c-4cf3-b0ce-de0d07daebc7</t>
  </si>
  <si>
    <t>9cfde7db-c5d9-40cb-84e4-210f6b28204d</t>
  </si>
  <si>
    <t>21fd514c-1391-4f7e-bdb0-40e42abffa38</t>
  </si>
  <si>
    <t>a6f2c994-d1ca-4230-98de-8e7c0f77daf1</t>
  </si>
  <si>
    <t>86c15f3a-1d5d-497c-8780-0d3935c0a927</t>
  </si>
  <si>
    <t>46918079-5f39-4ca0-b881-fe0e13db717d</t>
  </si>
  <si>
    <t>35d100c3-3fac-42fa-8344-6d1c1e8a7e5c</t>
  </si>
  <si>
    <t>8aacac3d-297b-4853-b81d-4d0a86cefa73</t>
  </si>
  <si>
    <t>df91f048-5e68-4921-877c-32f03638953f</t>
  </si>
  <si>
    <t>67fe8a0d-24d8-4d2c-a212-301c782b0bbb</t>
  </si>
  <si>
    <t>e758f401-7fae-409a-8a8f-54dc97a29e14</t>
  </si>
  <si>
    <t>917fae66-8e65-4cea-8888-c52996f6f7dd</t>
  </si>
  <si>
    <t>e5bac7ba-ee32-48e5-a24c-4ed300c4996a</t>
  </si>
  <si>
    <t>01d4703a-b407-4737-aa0b-21ae1f759cdc</t>
  </si>
  <si>
    <t>1d1be6af-4f27-4ff9-b1b1-093cf6c292a0</t>
  </si>
  <si>
    <t>7090815a-263d-4b9d-9e35-06f8df9ddfd2</t>
  </si>
  <si>
    <t>994cadf0-0f3e-4ca1-9f65-171ab50b572b</t>
  </si>
  <si>
    <t>b99a249c-a1e8-4322-b109-6ad4c085abd8</t>
  </si>
  <si>
    <t>0ea38510-e4fa-4271-ab0d-cf0a005da8ff</t>
  </si>
  <si>
    <t>90ae759f-f8c8-41b7-ba0c-e0d1a334f568</t>
  </si>
  <si>
    <t>93035ff7-abf6-4594-b4dd-311b27fdc293</t>
  </si>
  <si>
    <t>bf18ff24-a3f4-43a6-9681-2cc2c4aa383c</t>
  </si>
  <si>
    <t>30f76659-bfdf-42a3-9468-7deab5c7628c</t>
  </si>
  <si>
    <t>e912ddc2-7e6b-4bdb-9789-f018e98d545f</t>
  </si>
  <si>
    <t>287ed51c-6930-4d09-8110-f2632691d379</t>
  </si>
  <si>
    <t>be7854ab-8631-4c85-ae9d-988847bcc8bb</t>
  </si>
  <si>
    <t>d3957d15-9fc0-40c6-ae93-a81dccb30018</t>
  </si>
  <si>
    <t>c0b14676-6848-4f87-b8e1-d18ebf229a98</t>
  </si>
  <si>
    <t>c62a4a9f-659c-44bb-a0a8-ab18d2caa2e7</t>
  </si>
  <si>
    <t>97c74279-0e75-4470-b870-c2549bafe481</t>
  </si>
  <si>
    <t>80ac7202-710e-4b07-a850-dda14db27dd5</t>
  </si>
  <si>
    <t>b2432894-f244-4e24-a344-651609be1420</t>
  </si>
  <si>
    <t>c5396ed9-5ba7-4839-87e4-ba89d333f9e0</t>
  </si>
  <si>
    <t>0bfa5f34-ee9c-4366-b656-08f4540b198f</t>
  </si>
  <si>
    <t>529ae1a0-365c-4f30-96c9-217b8128b4e0</t>
  </si>
  <si>
    <t>0089b9a3-1e98-40dd-9f2e-85aae2a6cb4a</t>
  </si>
  <si>
    <t>c48261ff-f75b-4e0d-acc8-d0b379f82043</t>
  </si>
  <si>
    <t>514e1564-cf7a-4b14-993e-f3a92c28975b</t>
  </si>
  <si>
    <t>0c525c1d-15ec-499e-858d-4b32a5fa8a97</t>
  </si>
  <si>
    <t>33fe01b7-03a2-4b28-a52a-5614a33e5cd6</t>
  </si>
  <si>
    <t>13e096cd-097c-4b51-8c32-c57776e6d263</t>
  </si>
  <si>
    <t>f07498c8-c9ae-463f-8c8a-2736112aff77</t>
  </si>
  <si>
    <t>7da65710-9929-40ab-b7f5-d2c2db06adb0</t>
  </si>
  <si>
    <t>294d2722-9e0f-45ee-a1fd-cb60925fcc3e</t>
  </si>
  <si>
    <t>80a8c004-596d-42b3-8356-f5ce225b11dc</t>
  </si>
  <si>
    <t>986a9a6c-4577-46b4-8efc-79ea23c2fec5</t>
  </si>
  <si>
    <t>f4786c56-1c62-41e7-9946-d9edf07d8491</t>
  </si>
  <si>
    <t>a901260f-8913-4d1d-b9ae-6ac4c8ae2fda</t>
  </si>
  <si>
    <t>489b3039-0965-4d77-ada1-93f19f9e5e94</t>
  </si>
  <si>
    <t>c0144ec8-abb0-447e-8637-063a93f1a6dd</t>
  </si>
  <si>
    <t>488ad40c-c9e3-4c56-8cdc-ebb49305ce25</t>
  </si>
  <si>
    <t>4f8a034b-1384-48ec-a86d-2c0a2cfe390e</t>
  </si>
  <si>
    <t>359270ce-98da-4061-b44d-f0d8badb452e</t>
  </si>
  <si>
    <t>1e8b7f7b-2457-4e41-a98a-81331aa0584f</t>
  </si>
  <si>
    <t>9ce42db6-b72e-47f5-a49c-74014a4a7bde</t>
  </si>
  <si>
    <t>7a0a192b-0424-44e3-bc72-d29cda2084b6</t>
  </si>
  <si>
    <t>45dcf323-b32c-4162-85c3-acaa3f2319c4</t>
  </si>
  <si>
    <t>c3c81bcd-a37d-4b94-850b-ea17e0fc173b</t>
  </si>
  <si>
    <t>01c3faa5-4779-415f-99a1-2fc4e18b1ef0</t>
  </si>
  <si>
    <t>8b7a6700-768d-46a2-929e-3b0053404c36</t>
  </si>
  <si>
    <t>3ca9889c-d8c7-4e4d-a0d0-943eddeca023</t>
  </si>
  <si>
    <t>3219b489-52ab-4f25-81e7-cbd0fb6b1191</t>
  </si>
  <si>
    <t>88e65c1a-6017-4b90-b665-cab74ecc5111</t>
  </si>
  <si>
    <t>3c8fc36b-be7a-4ba3-87ed-41bb85d9c82e</t>
  </si>
  <si>
    <t>b5a178d9-ec6d-4135-9350-55627eabd014</t>
  </si>
  <si>
    <t>f39d6f83-07b3-4776-a3b4-5a4534f41ae9</t>
  </si>
  <si>
    <t>fd1688de-094b-43e1-a37c-94c0f457636d</t>
  </si>
  <si>
    <t>91378b9c-ca3a-4c12-a0dc-1394d30be104</t>
  </si>
  <si>
    <t>5c206a5b-58d6-45b2-b04c-afc78fd2e626</t>
  </si>
  <si>
    <t>3b4bdfd5-04df-44b5-b4bc-a18f23d9f543</t>
  </si>
  <si>
    <t>982182e0-0b3e-4129-ad3c-6fc16f4783aa</t>
  </si>
  <si>
    <t>a19d9e8c-59ba-4947-b93c-d8a2fd69aa6e</t>
  </si>
  <si>
    <t>81b04d9b-7d6e-40ec-b92a-263e41bd8239</t>
  </si>
  <si>
    <t>a02041a6-5e86-419c-b310-81dbc197a429</t>
  </si>
  <si>
    <t>05be333d-e498-4135-86bd-71f66f22046e</t>
  </si>
  <si>
    <t>e2ff8f23-4dfe-4e67-91d6-0576fdf3d3fe</t>
  </si>
  <si>
    <t>bcfc5daa-1875-4b43-9959-326bf1f020f1</t>
  </si>
  <si>
    <t>42853f5a-caf5-4ddf-aac7-756d76c3455c</t>
  </si>
  <si>
    <t>f28fdba7-d8f7-4dfa-ad9b-d0dc72626e0d</t>
  </si>
  <si>
    <t>95b045a4-d135-42c7-b8f5-c5e681fedfdd</t>
  </si>
  <si>
    <t>5956b460-87f2-466a-8d49-338fdd1c313a</t>
  </si>
  <si>
    <t>86eb3c64-6f2e-4d6d-a60b-38b395d17aaa</t>
  </si>
  <si>
    <t>09ee63a5-6cb1-4932-af98-24c383ed9ce5</t>
  </si>
  <si>
    <t>005c1c39-6a07-45e1-8765-4371ab87ebed</t>
  </si>
  <si>
    <t>9163d180-dd9a-4000-898b-8048b51b9888</t>
  </si>
  <si>
    <t>3b667742-8ffe-490d-98c8-36a4a320be23</t>
  </si>
  <si>
    <t>70753e1d-62a0-4b15-af37-0b714db50afe</t>
  </si>
  <si>
    <t>7c56471d-9264-446c-aea9-bcc97aef3912</t>
  </si>
  <si>
    <t>06bf7420-6e3a-46c5-ae3d-0886083db6e6</t>
  </si>
  <si>
    <t>e222d43d-f599-4d55-a2b4-b2cd9fd30e69</t>
  </si>
  <si>
    <t>1fc91e0a-c35a-4042-b5fb-b7e89f60146d</t>
  </si>
  <si>
    <t>7fcad6e2-0549-426b-be7c-ffe7f31bdbc1</t>
  </si>
  <si>
    <t>2ef213c3-9919-4851-be10-8ccacecb9a4f</t>
  </si>
  <si>
    <t>a8b43ee6-0155-4e11-9a00-f19f832930ba</t>
  </si>
  <si>
    <t>a1c84742-4e01-4a1a-ada3-029775d773a7</t>
  </si>
  <si>
    <t>acce851e-641d-4ebb-affc-45346df60602</t>
  </si>
  <si>
    <t>7b0966e6-231c-4443-a446-cd378b51ddd6</t>
  </si>
  <si>
    <t>c0342d1a-fe13-4ccd-85ef-47eecf2d352a</t>
  </si>
  <si>
    <t>97ecbf72-0752-41c3-8b1e-c1502f1df5d4</t>
  </si>
  <si>
    <t>525a4cbf-87dc-4623-ae8e-1641af410590</t>
  </si>
  <si>
    <t>3878d3e2-a8d8-400d-8ae2-5b460d609913</t>
  </si>
  <si>
    <t>adb067a4-39d8-418c-a672-837f84201faa</t>
  </si>
  <si>
    <t>d2ce0e2b-43ae-42af-8967-2351a4d06af2</t>
  </si>
  <si>
    <t>f1edd45a-607c-4712-b661-36435d7a753a</t>
  </si>
  <si>
    <t>fcb2fe66-fe21-4afc-8c91-d67273563d26</t>
  </si>
  <si>
    <t>3272e293-7cea-4e6d-9faf-be025b52f3a6</t>
  </si>
  <si>
    <t>f5bfeb48-47d2-49fc-b1b0-753356004cc5</t>
  </si>
  <si>
    <t>46da16d2-4b4f-4f73-b4ae-e6a778af2ef1</t>
  </si>
  <si>
    <t>6cdb1de1-e420-4734-84a1-e42f9a3af7da</t>
  </si>
  <si>
    <t>6dc92657-2320-40cd-bbb0-515287fd4033</t>
  </si>
  <si>
    <t>55a84bbe-5ec0-47a3-9d29-b9c3b7708e68</t>
  </si>
  <si>
    <t>12f7d0e9-66be-4a6a-9d1b-d1e3779da118</t>
  </si>
  <si>
    <t>9f70483e-90ec-4f3b-a90e-21ae4ef76eb9</t>
  </si>
  <si>
    <t>7a8fcb05-e8d3-449e-8379-a1c6d2500d48</t>
  </si>
  <si>
    <t>c0af1fb1-7c34-46ad-bc06-b742f44c7f2e</t>
  </si>
  <si>
    <t>5bc78d33-49c5-4f9a-834b-e726309106b9</t>
  </si>
  <si>
    <t>4b0ad1aa-c7c6-40fb-ba30-4c19c5fd9508</t>
  </si>
  <si>
    <t>a632ac98-65e0-4871-8dcb-c78deb9a1158</t>
  </si>
  <si>
    <t>9ed1cd35-8374-43b8-a683-961004917032</t>
  </si>
  <si>
    <t>e821735e-ec9d-46d7-a8c6-4142629d7045</t>
  </si>
  <si>
    <t>7aa65e91-926c-4e4d-949c-0e63a72bb5bc</t>
  </si>
  <si>
    <t>d7f9c457-1001-4f8b-bf74-24cdb67adefc</t>
  </si>
  <si>
    <t>e32dd752-4b67-4d08-8a23-3970d69c0266</t>
  </si>
  <si>
    <t>d1d30005-1f5e-4aed-aa30-e56fd3d50f88</t>
  </si>
  <si>
    <t>144df0a2-30a3-4224-8d51-4a04563e2bd0</t>
  </si>
  <si>
    <t>4d35c0ce-d663-4b9f-a2ee-fe39e6006659</t>
  </si>
  <si>
    <t>4b22d634-71bf-4e1e-8db9-27d9571a7e63</t>
  </si>
  <si>
    <t>15ada1d7-0ee1-462f-9623-2de3a0da2ea5</t>
  </si>
  <si>
    <t>2f084f8f-afbd-44d2-939d-c914fbe9b62a</t>
  </si>
  <si>
    <t>6491a9a1-488c-4d4b-8fd4-cd7362f5b318</t>
  </si>
  <si>
    <t>dc327cb6-0187-492e-966d-6fc1882ba662</t>
  </si>
  <si>
    <t>b40f89f8-aa26-4fe6-bc2d-756562001ac2</t>
  </si>
  <si>
    <t>98abffdc-c2d7-4416-8893-b081628d8767</t>
  </si>
  <si>
    <t>f81be240-d5ea-440b-a95f-199a845d66e8</t>
  </si>
  <si>
    <t>d3a48c94-0848-4d92-a3f2-143d3ee25750</t>
  </si>
  <si>
    <t>7393cb63-a4db-42cb-931f-d909baef6381</t>
  </si>
  <si>
    <t>89ea7100-67e2-404d-a708-e2d8593122b4</t>
  </si>
  <si>
    <t>2c84d7cb-d702-4479-bc5b-7cf5a9f0e1c8</t>
  </si>
  <si>
    <t>1838844f-8c15-49c0-a5e5-6bad4e5d30ef</t>
  </si>
  <si>
    <t>fdb1f63e-b46d-437f-bae6-062b7ed14cdd</t>
  </si>
  <si>
    <t>b4a75c42-b909-4307-ac0f-09cf1b186eea</t>
  </si>
  <si>
    <t>3d0ca2af-8ce7-45cf-b804-dc315671e47c</t>
  </si>
  <si>
    <t>b64a9da6-0107-4012-bba3-2057ae6efbb2</t>
  </si>
  <si>
    <t>88883a49-e435-445b-939a-167ca08d47f2</t>
  </si>
  <si>
    <t>260809c5-f100-49d1-a1c9-a73e1f02bbff</t>
  </si>
  <si>
    <t>ab2e62f5-cdde-4939-a971-7e334e0ab26c</t>
  </si>
  <si>
    <t>c08b3ba3-53f4-4d42-9cfb-df4382418e02</t>
  </si>
  <si>
    <t>4bfbef83-43cb-4f97-83d8-b8fe05fd4a57</t>
  </si>
  <si>
    <t>f9dfd867-61a1-469b-840e-71d0c4a2e631</t>
  </si>
  <si>
    <t>919ec1ef-5fe8-465a-8b3e-8442108780b6</t>
  </si>
  <si>
    <t>cdd7fa9b-100c-46e4-807c-5fd55a682c95</t>
  </si>
  <si>
    <t>af703c39-6da8-4954-afb0-2641eefba352</t>
  </si>
  <si>
    <t>2b1de31e-8f93-40ce-b05d-d4628b1d9fe2</t>
  </si>
  <si>
    <t>71708fcd-2fd3-4452-b9c1-11dd2a764751</t>
  </si>
  <si>
    <t>485af707-d563-452c-b5f0-d6e8d16961ca</t>
  </si>
  <si>
    <t>fe8387b1-9a58-4774-b935-23871e1e5450</t>
  </si>
  <si>
    <t>058cea79-8bb7-4ac1-9b7d-c698263e3622</t>
  </si>
  <si>
    <t>040a5b08-32b2-40db-a2bd-09a0d85e2c75</t>
  </si>
  <si>
    <t>d39c970b-ed77-43a5-9bdc-672aa33cbf39</t>
  </si>
  <si>
    <t>2d43639a-7c09-4b47-86f4-359d631fb58b</t>
  </si>
  <si>
    <t>96cdc862-e6d3-4aad-959c-92ae79b4c843</t>
  </si>
  <si>
    <t>d3e50309-3f24-4b9a-bd63-05296473b421</t>
  </si>
  <si>
    <t>5409669b-4de7-493b-9de0-1a4734a7abaa</t>
  </si>
  <si>
    <t>ecf9e047-4fad-4208-a3aa-30499d6dbb01</t>
  </si>
  <si>
    <t>45b57fc5-b081-4653-a862-9671b847575f</t>
  </si>
  <si>
    <t>1af5d57e-5f41-4179-8cd0-0861fca3cedd</t>
  </si>
  <si>
    <t>9434bb58-ec87-4e87-9177-25b9ea9c3b58</t>
  </si>
  <si>
    <t>31d33215-6af6-4b2b-954f-5d626138fa21</t>
  </si>
  <si>
    <t>a510c793-480a-4511-bce4-fef730ce2a10</t>
  </si>
  <si>
    <t>43882ab3-c3a3-4d84-91c6-811ddd309f6f</t>
  </si>
  <si>
    <t>50766172-6e2a-48c2-8d3d-40140b28a43e</t>
  </si>
  <si>
    <t>cd31f1ff-1388-49de-9c8e-624292735830</t>
  </si>
  <si>
    <t>7fc3ea13-7274-446a-b5d0-a82980065b03</t>
  </si>
  <si>
    <t>2a336913-4dc5-4657-be02-6e6c96aef479</t>
  </si>
  <si>
    <t>0e08ccde-bc5d-4523-8186-93ebf58083ac</t>
  </si>
  <si>
    <t>6019769e-7c0e-464c-bfb5-ffb2846a0e2c</t>
  </si>
  <si>
    <t>78d2100e-deb0-46af-b422-98b4ce2c301f</t>
  </si>
  <si>
    <t>db287e7b-2d6e-438b-a193-9aeb676ae4c1</t>
  </si>
  <si>
    <t>98fbe987-4102-4f0e-91c3-19f7e80e1f08</t>
  </si>
  <si>
    <t>121da01c-1787-44ec-9e7e-97051b47b465</t>
  </si>
  <si>
    <t>aca451fc-db23-4d9b-abff-0da9115648a9</t>
  </si>
  <si>
    <t>41e70412-d206-4b83-8fe8-fc402a235a04</t>
  </si>
  <si>
    <t>9449d282-eb22-4e87-90f6-8b1642d47375</t>
  </si>
  <si>
    <t>75b6f4dd-b3c6-4220-969f-54c372c22e1f</t>
  </si>
  <si>
    <t>ca09fedb-53b7-445c-be75-58eeaf0317a5</t>
  </si>
  <si>
    <t>be8343f8-4c74-4450-85ee-ffd3dab35b8a</t>
  </si>
  <si>
    <t>a33d1bf8-f73d-4858-bc29-c45a5c5b02a9</t>
  </si>
  <si>
    <t>f9c24e89-c8b5-450f-8841-fcd9cec7fa74</t>
  </si>
  <si>
    <t>fce04ba9-317f-4df7-a5f9-a1bd69e006d3</t>
  </si>
  <si>
    <t>9b89e440-9e23-4e14-ae4d-5bcd1c45aece</t>
  </si>
  <si>
    <t>ed13f60c-50b4-42f6-a7b0-e3dc666e645a</t>
  </si>
  <si>
    <t>dc77eba0-0429-44bb-87e0-88ce3d7dc6d3</t>
  </si>
  <si>
    <t>1030d083-c174-4051-b20c-af7d8dacbaf9</t>
  </si>
  <si>
    <t>dc696953-fa56-4593-9a55-0b3a15c837b2</t>
  </si>
  <si>
    <t>16acb987-ed6d-4981-bccf-bc996c633135</t>
  </si>
  <si>
    <t>4cd8f95a-1974-4201-9bb3-c4407dae8b2b</t>
  </si>
  <si>
    <t>404b9a82-1fb5-4fe8-9e9c-a1bfe38b2c7c</t>
  </si>
  <si>
    <t>358f1ac4-3cee-4790-becf-462f7c01e5de</t>
  </si>
  <si>
    <t>8ce48a9b-f9fe-4eb5-b400-220822b8660e</t>
  </si>
  <si>
    <t>0ae12723-f0b0-42a7-aa49-a8253d1d3697</t>
  </si>
  <si>
    <t>bef198dc-af56-4a47-bbbf-e2164e0fd9ad</t>
  </si>
  <si>
    <t>5a23a6b1-6292-47d4-a8f0-6743c97eb370</t>
  </si>
  <si>
    <t>3ffb0266-65fa-410d-a65a-569ac504ec01</t>
  </si>
  <si>
    <t>b9780ccd-cae9-4727-a002-1549fc0ac424</t>
  </si>
  <si>
    <t>76a0e6fc-cc80-4977-ac31-9248ece234b3</t>
  </si>
  <si>
    <t>1b643740-54c8-493f-8bfe-b2d1645c3a19</t>
  </si>
  <si>
    <t>4237e26b-6a82-4b5a-8906-51db1c66718c</t>
  </si>
  <si>
    <t>562b632e-fcc1-438a-9748-951e1d9867ce</t>
  </si>
  <si>
    <t>7a4cca06-82cf-4231-a48a-fc9f69262242</t>
  </si>
  <si>
    <t>c81a3693-b832-4a9a-bec0-722932d0ea54</t>
  </si>
  <si>
    <t>240579ce-b0d9-4d5d-9681-c9e38d7c638a</t>
  </si>
  <si>
    <t>2b8ce339-04fe-4247-b357-fc1ea38eccf7</t>
  </si>
  <si>
    <t>55df5dac-6c24-4b89-ba00-41b1d89c2258</t>
  </si>
  <si>
    <t>cd840ed8-f67f-43da-98b8-228af20f19c6</t>
  </si>
  <si>
    <t>0de9ae4f-0669-45d4-97ad-5a71425ac218</t>
  </si>
  <si>
    <t>a82ed54f-4dcb-4dea-aeaa-1676af5f6d88</t>
  </si>
  <si>
    <t>ceef9374-a4c3-4518-acf9-2a2fd38768ba</t>
  </si>
  <si>
    <t>ad4cef79-7205-4b52-b573-ed285926e547</t>
  </si>
  <si>
    <t>de78587a-56e8-495c-9a23-a2921b1f803d</t>
  </si>
  <si>
    <t>858a7ef5-165d-4667-84ea-6d2e8bfedc15</t>
  </si>
  <si>
    <t>644c8a1d-3e59-4cbf-9fc1-238399b28477</t>
  </si>
  <si>
    <t>0021712b-ea5a-4478-80e7-4789321f830a</t>
  </si>
  <si>
    <t>3463ebf8-6567-4a00-a378-51cd39c932b1</t>
  </si>
  <si>
    <t>8f6929dc-88b1-4b8c-a87f-e1e4457c60dd</t>
  </si>
  <si>
    <t>0fd78fa8-8d1b-4c3d-a3f1-4ce161b1a2da</t>
  </si>
  <si>
    <t>823293b1-6fea-4db4-b406-2d68e574715b</t>
  </si>
  <si>
    <t>780a5a3e-61e6-4473-b00d-a4109f2361a6</t>
  </si>
  <si>
    <t>7d91c943-f6f8-45e9-aedc-cdcddf7401dd</t>
  </si>
  <si>
    <t>2a77ea34-2350-483d-a390-c76268532c1c</t>
  </si>
  <si>
    <t>8d5a2ca0-943a-46a9-8b29-cffee22436c4</t>
  </si>
  <si>
    <t>9f62fff8-b67f-4ba1-be06-1c9af63cfe52</t>
  </si>
  <si>
    <t>99448ea6-a7c8-4977-a08c-69bc343985a7</t>
  </si>
  <si>
    <t>f7711fe4-6384-4ad3-8604-fb8ebf0c527c</t>
  </si>
  <si>
    <t>839089ec-b35d-460c-b623-da93ffb39960</t>
  </si>
  <si>
    <t>7fff04e9-478b-4da3-acfd-6a5c0f949ddb</t>
  </si>
  <si>
    <t>d103a2d9-3534-4715-b33d-458f45697a66</t>
  </si>
  <si>
    <t>e6446832-189d-488a-a695-a9589b523962</t>
  </si>
  <si>
    <t>a77fcfef-91ab-400b-89ec-4b18e66301be</t>
  </si>
  <si>
    <t>25647df0-688c-4181-948b-d2d6d3277e1c</t>
  </si>
  <si>
    <t>3f8e5612-feb2-4743-8b6a-7beb018ad41c</t>
  </si>
  <si>
    <t>d2e7d8bf-d1ad-40b3-9d17-45e0aa8fcb9b</t>
  </si>
  <si>
    <t>53049afb-6bac-44f9-91b4-ba3f7e263920</t>
  </si>
  <si>
    <t>d387058f-3b39-48ab-9eea-10e3c70ede07</t>
  </si>
  <si>
    <t>cf1765cc-be60-4fe6-8b18-249245fa037a</t>
  </si>
  <si>
    <t>f8e19364-1e97-4ceb-9054-1145091a633f</t>
  </si>
  <si>
    <t>a0bbfba5-c0a0-44b9-9ac2-e6404bd6607b</t>
  </si>
  <si>
    <t>b3b7b6af-f415-41bc-879c-45b4d8566c36</t>
  </si>
  <si>
    <t>af81a0bf-85b7-42b3-9e6c-bb3f4c5f89a3</t>
  </si>
  <si>
    <t>7420fe92-229c-4643-a3ad-4d12ce7c1f6d</t>
  </si>
  <si>
    <t>5e255085-de6f-4e39-b35e-c1a86231d357</t>
  </si>
  <si>
    <t>106c85d5-cdf6-4323-99d3-22d993aaecd0</t>
  </si>
  <si>
    <t>2158463f-c6e7-4985-86ea-c38e06b924f7</t>
  </si>
  <si>
    <t>064d7dae-46be-46c8-b635-459f33cc3b3a</t>
  </si>
  <si>
    <t>e6f03157-2859-413f-b8e4-039707805c4b</t>
  </si>
  <si>
    <t>f04a5152-3154-426b-8647-4f9ce778f861</t>
  </si>
  <si>
    <t>057a4126-5b06-4b0a-8d3e-37c272cd2003</t>
  </si>
  <si>
    <t>c49e61bf-8cee-4519-9de4-84ca2499a87c</t>
  </si>
  <si>
    <t>0f002804-4b3c-4ab3-a5ad-331f1548ca2c</t>
  </si>
  <si>
    <t>1a445b1c-32a7-49c6-82a0-3e9742e02635</t>
  </si>
  <si>
    <t>d5a5f0e6-8396-4647-be2b-62765db34da4</t>
  </si>
  <si>
    <t>b6c081e1-9fd8-41c2-ae40-166c03119b91</t>
  </si>
  <si>
    <t>fb5343f3-f71f-470e-ac14-789b902c6a88</t>
  </si>
  <si>
    <t>cc698d70-1b24-4b4a-b886-e835a29e22a3</t>
  </si>
  <si>
    <t>716d4bf3-6479-428d-9979-904aaf7a453c</t>
  </si>
  <si>
    <t>00fa638b-e857-458f-a849-f76e374cc2c3</t>
  </si>
  <si>
    <t>379e73c5-b1e9-4d58-b345-84f54fe43385</t>
  </si>
  <si>
    <t>1a7a407e-f91c-44ea-80ed-f5f4f890a394</t>
  </si>
  <si>
    <t>f4649e39-0bda-4aee-a665-18d1ea6cf9e7</t>
  </si>
  <si>
    <t>110c1914-53e0-4639-8773-32d128ca6116</t>
  </si>
  <si>
    <t>e6664f24-0b69-45aa-9f50-95941f12cd9f</t>
  </si>
  <si>
    <t>3535c73e-af3a-458a-90d6-0ba0d7a92f27</t>
  </si>
  <si>
    <t>ef0bd291-121a-4eeb-974e-ac80930ccf00</t>
  </si>
  <si>
    <t>021cfe48-3ce5-4602-ad2b-c21f1473d195</t>
  </si>
  <si>
    <t>bd94000f-f10c-4f88-a464-bdc439f69fc2</t>
  </si>
  <si>
    <t>15e0d842-f101-40a2-830a-ac58c51457a1</t>
  </si>
  <si>
    <t>d37a7231-7dce-491a-bdb6-4688d55711e1</t>
  </si>
  <si>
    <t>19941661-98e2-4800-93c9-a0e92057c813</t>
  </si>
  <si>
    <t>2f2aa20b-d173-4318-9435-85de7eee4f7f</t>
  </si>
  <si>
    <t>a645ef75-f106-4530-aab5-24ff886e55a1</t>
  </si>
  <si>
    <t>3c31ad7c-1a67-40c3-b071-62c404235918</t>
  </si>
  <si>
    <t>5cf58471-de79-4ce3-9545-6ca8086dc2e7</t>
  </si>
  <si>
    <t>d5e9db4d-98d3-49c6-98cb-c4feca082127</t>
  </si>
  <si>
    <t>8ce9f4e4-0044-4779-a4c5-66552927d0ab</t>
  </si>
  <si>
    <t>631347a6-b027-4f5f-8363-594b79aff617</t>
  </si>
  <si>
    <t>756777d0-42b5-4e33-bd4d-58bf1d13f644</t>
  </si>
  <si>
    <t>bfcb3eac-c8d9-4d6f-a002-0c9a3bf8c685</t>
  </si>
  <si>
    <t>7fd1cdc8-2eff-400d-a705-1602bdbbc87d</t>
  </si>
  <si>
    <t>89d77bcf-9910-477d-a755-0dd046cb35ff</t>
  </si>
  <si>
    <t>6e114107-2576-4a5b-91af-a7669333eca3</t>
  </si>
  <si>
    <t>e17ed1a4-1a75-43fa-bffb-be294a3f77c4</t>
  </si>
  <si>
    <t>7e90afe4-c090-43ac-b39e-90eed8c2d2fe</t>
  </si>
  <si>
    <t>206609fa-9e43-4fcf-a0f9-4e7103eecc4c</t>
  </si>
  <si>
    <t>6a907e9a-3ced-4f62-adec-6384a589b916</t>
  </si>
  <si>
    <t>2ae52dc5-742e-4377-b498-2070e163aa1d</t>
  </si>
  <si>
    <t>78b23697-9228-4ef6-a770-478c0171b764</t>
  </si>
  <si>
    <t>8f149fa9-23f6-4453-a82c-20ae5ffb6e95</t>
  </si>
  <si>
    <t>3c4686b9-b1f9-4afe-8f92-613aefa52e85</t>
  </si>
  <si>
    <t>51a7e7bb-5520-48f9-a1b8-9813e8107db3</t>
  </si>
  <si>
    <t>a647389d-fee2-463d-86c1-c7b8e9be8d27</t>
  </si>
  <si>
    <t>d2592b4e-f032-42c6-8fdf-3023fa3c9ce7</t>
  </si>
  <si>
    <t>67e93ee0-bb2f-4a16-9d06-6600d084baae</t>
  </si>
  <si>
    <t>5fdf69f6-b95f-4247-afe5-314efffc8bee</t>
  </si>
  <si>
    <t>f589bab3-3e5c-47aa-b3c5-8617f9098254</t>
  </si>
  <si>
    <t>8075f523-a006-49d5-bbfb-347cba8b4351</t>
  </si>
  <si>
    <t>1bdb2782-30ef-45e4-b936-48fbc200b5ac</t>
  </si>
  <si>
    <t>b756e180-7ba2-4721-a9cc-534c5bb642d2</t>
  </si>
  <si>
    <t>d3b5f171-9216-438d-96e2-5336c3204798</t>
  </si>
  <si>
    <t>86242eec-2c69-448a-93c5-c7d128eba38a</t>
  </si>
  <si>
    <t>579a0930-b731-47c4-afb0-36ee23e772eb</t>
  </si>
  <si>
    <t>8b9f778b-c3a4-4d51-9940-6ae35bc4b7db</t>
  </si>
  <si>
    <t>4e974240-4b7e-46ea-9d3c-2702989f18be</t>
  </si>
  <si>
    <t>a3e9cb3b-5724-402c-9d6f-cf616d9b7b35</t>
  </si>
  <si>
    <t>3b5dda29-a465-4715-87f0-86d6e7dc3e12</t>
  </si>
  <si>
    <t>a91c4290-8a2d-4cdd-bab9-60788dc14eb2</t>
  </si>
  <si>
    <t>01057261-5054-4448-b725-90ba98b82152</t>
  </si>
  <si>
    <t>2ad6f371-7797-4609-92af-23eb4a30a4bf</t>
  </si>
  <si>
    <t>c3e3bd3e-2841-41a2-8ed8-ace9f6f13a4a</t>
  </si>
  <si>
    <t>1d24a8f4-066d-4289-a245-176061d974b5</t>
  </si>
  <si>
    <t>11d42688-d6c7-4f1d-b32d-547d432050b8</t>
  </si>
  <si>
    <t>29c9b790-ef61-4a5f-9e78-dd614323f044</t>
  </si>
  <si>
    <t>d3008cbd-e499-4080-813b-629b5d6695ca</t>
  </si>
  <si>
    <t>40e2a136-e855-411c-877a-acff6f143d7c</t>
  </si>
  <si>
    <t>97514ea0-93a1-4b44-8c87-8852571f16a6</t>
  </si>
  <si>
    <t>1dabcfda-b1a1-4f89-b858-96d9ccab77a5</t>
  </si>
  <si>
    <t>666c0266-76b1-4f00-934e-6047498e61be</t>
  </si>
  <si>
    <t>173c7174-1d5e-4e59-bdee-354b32a171c5</t>
  </si>
  <si>
    <t>21ae217c-b415-4102-b033-9e99c04cb2e5</t>
  </si>
  <si>
    <t>ab2514e8-3bd4-4d64-8fd0-40533b132227</t>
  </si>
  <si>
    <t>719e7e4b-b7e7-4967-9b89-f833d81ccf0f</t>
  </si>
  <si>
    <t>a76f88e5-205d-4172-a260-a02d31dc975c</t>
  </si>
  <si>
    <t>fd7eb7a2-a39e-4f4e-b5ee-dec42f3a537a</t>
  </si>
  <si>
    <t>ab685182-eb88-49b6-aee0-cfb49d50288b</t>
  </si>
  <si>
    <t>4891a653-11b6-444b-82ac-e46db980cf91</t>
  </si>
  <si>
    <t>c322611d-f268-4a44-82a6-8eec45ae92fa</t>
  </si>
  <si>
    <t>13dca6a4-d993-4e0e-bafe-9efe877b8669</t>
  </si>
  <si>
    <t>c5b34502-10c1-46e6-b4fb-bfd3ecb95d1e</t>
  </si>
  <si>
    <t>823589bf-3911-4be5-8a44-368e8db077c9</t>
  </si>
  <si>
    <t>676a91e7-f978-4897-857d-b0619a354c08</t>
  </si>
  <si>
    <t>862cb1c6-cf59-4108-9ade-3edbd57ac59e</t>
  </si>
  <si>
    <t>85338b3c-6715-4eca-81f4-44540110f1cb</t>
  </si>
  <si>
    <t>510490c7-0e98-47f0-b353-2ad4711c012c</t>
  </si>
  <si>
    <t>817f26dc-b23c-44ca-a4e8-aa076cb7ea05</t>
  </si>
  <si>
    <t>018d5599-8c09-4c98-95ab-6d450dc6e416</t>
  </si>
  <si>
    <t>7f97ade2-4720-42c6-ab28-9ebcea043cf2</t>
  </si>
  <si>
    <t>1cd3aa7c-4376-493b-acad-cb29ebcd9257</t>
  </si>
  <si>
    <t>409c81f2-fbf9-4636-a734-f67e176f6589</t>
  </si>
  <si>
    <t>f6af927e-8cf8-4f51-bf42-bc3a84e880e0</t>
  </si>
  <si>
    <t>9d1f6f0e-a3ee-4e39-a6e5-727390babdba</t>
  </si>
  <si>
    <t>48c25a2a-a932-4080-9709-81c783151fe1</t>
  </si>
  <si>
    <t>64c6b07b-c8d7-47a2-bd19-4a698e6d0863</t>
  </si>
  <si>
    <t>4509ab8b-fda5-422c-8e71-b06684f71931</t>
  </si>
  <si>
    <t>5d745ebc-1eb1-4a7a-a14d-c71693e03fe6</t>
  </si>
  <si>
    <t>b470a9ba-f292-40c8-8930-bc030ef950d7</t>
  </si>
  <si>
    <t>daa1073c-1549-47a6-9613-7e119e969348</t>
  </si>
  <si>
    <t>1f0bd8c2-ac0e-4298-99cf-a4d5833316a3</t>
  </si>
  <si>
    <t>06e9516e-b22b-4659-80ac-aad5e871f195</t>
  </si>
  <si>
    <t>362ee5ad-b494-4847-a3b0-f9cd5ddcd2c0</t>
  </si>
  <si>
    <t>f4c3ce6e-3da2-49d1-8ff0-aeb12bb4a8ce</t>
  </si>
  <si>
    <t>92791a70-fc97-460a-aa6e-ad0b0a0e68d3</t>
  </si>
  <si>
    <t>41df3f35-84b1-40f8-908c-35c591d15f2c</t>
  </si>
  <si>
    <t>7e9d3fa1-b9d6-4869-9c37-26a99d3a1143</t>
  </si>
  <si>
    <t>7fbe8108-cfc6-4925-8021-e952321915e0</t>
  </si>
  <si>
    <t>3fa09eea-e901-4afb-a78d-adb917a38a45</t>
  </si>
  <si>
    <t>c0979432-6b2b-47fb-88be-290b2e0d3010</t>
  </si>
  <si>
    <t>8e6658e5-4eec-4397-ba60-dd279eb6f448</t>
  </si>
  <si>
    <t>ab4e245b-381d-4260-acff-8a6a58ba94c0</t>
  </si>
  <si>
    <t>4ab01738-05af-4ace-881e-0a435c452a47</t>
  </si>
  <si>
    <t>6e89cd20-19f4-4bc7-9e70-590c34a9acdd</t>
  </si>
  <si>
    <t>66124403-409b-42e0-b79c-61187746de84</t>
  </si>
  <si>
    <t>3a749d28-13c8-444f-af8c-788d2d944eb5</t>
  </si>
  <si>
    <t>9e815288-f863-4b4c-bc31-2ef070869c5e</t>
  </si>
  <si>
    <t>b071d166-881d-4f1e-bffc-c5b29ed2622d</t>
  </si>
  <si>
    <t>1376430c-3aec-4f17-acb5-c1b4626fbf94</t>
  </si>
  <si>
    <t>cc20dd6b-0229-40cd-8485-610a36c8a246</t>
  </si>
  <si>
    <t>b0e29963-ee8d-4a22-ae6e-15c7fe1407db</t>
  </si>
  <si>
    <t>cf0f4b83-0179-4a41-949c-439f147ac49c</t>
  </si>
  <si>
    <t>53577bb1-e451-4e5e-851c-fdaedb667c66</t>
  </si>
  <si>
    <t>bde31ca6-3e9e-4b8e-8f34-c94530d0ca37</t>
  </si>
  <si>
    <t>082a4886-264f-4a5e-a563-34bf467a5487</t>
  </si>
  <si>
    <t>ec96b122-c216-439b-833a-3f683c587469</t>
  </si>
  <si>
    <t>0b7ab558-9e37-4bd2-81e1-55a099fdb4e8</t>
  </si>
  <si>
    <t>eb0579cb-0c08-4b7b-b1ec-f7ba5ef1e95b</t>
  </si>
  <si>
    <t>a98bbd37-206d-4f81-a644-dacac1b23e51</t>
  </si>
  <si>
    <t>48e17c7f-648f-4110-b8bf-cb6c55934cee</t>
  </si>
  <si>
    <t>d14fe087-6ea3-4ed4-80dc-a2fde0fc5389</t>
  </si>
  <si>
    <t>9b2e47fe-07db-4d5f-9ca0-116e650496d3</t>
  </si>
  <si>
    <t>70d52005-13e3-44e3-8942-f9ba6d920912</t>
  </si>
  <si>
    <t>b913a3cc-c4c4-461f-8553-7ac2a88410e0</t>
  </si>
  <si>
    <t>51d762c9-4b63-4926-ac1d-64eba303d6ef</t>
  </si>
  <si>
    <t>40f81e7d-9d14-4bf6-bfc4-a19448221d89</t>
  </si>
  <si>
    <t>fb366861-2a26-4a0c-80c4-8fdae26e9099</t>
  </si>
  <si>
    <t>b4689e6e-45f0-42ab-9ff8-61dc0b02f3f8</t>
  </si>
  <si>
    <t>adfbb01f-2156-471f-87d2-84a91af0d93f</t>
  </si>
  <si>
    <t>4f09dde1-a987-433a-99de-91f3c2d445e6</t>
  </si>
  <si>
    <t>86b62db7-9526-4335-a386-063bcd82cb3d</t>
  </si>
  <si>
    <t>2105a980-75d4-4191-a12b-2e5cc7c18161</t>
  </si>
  <si>
    <t>d891a41d-f475-49a5-b475-d95b072a451f</t>
  </si>
  <si>
    <t>1299f13c-514e-40b1-bb0e-57add6fe3e37</t>
  </si>
  <si>
    <t>64d94dad-740f-4760-bdf6-3562006d7128</t>
  </si>
  <si>
    <t>b868e021-151d-4d2a-a19c-95ea92295641</t>
  </si>
  <si>
    <t>bde2c558-d1f8-4e9b-8920-ea8241a90ee9</t>
  </si>
  <si>
    <t>eeadd70e-80dc-4ebb-96c9-12a616727898</t>
  </si>
  <si>
    <t>c3239d9d-1761-453f-8f32-1740e52d5cdd</t>
  </si>
  <si>
    <t>82f5b5f0-0ccb-4e8a-8067-c7e34e6771ba</t>
  </si>
  <si>
    <t>3483498c-c247-4329-acec-91aeb5c245ab</t>
  </si>
  <si>
    <t>bcbd22b7-3fdf-4de9-8400-10e62f657f64</t>
  </si>
  <si>
    <t>2b374e0f-e505-479c-9f67-77ca8b1a5261</t>
  </si>
  <si>
    <t>5f99d4b8-6b1e-4c29-a740-c0f12e6f0888</t>
  </si>
  <si>
    <t>6337b5c4-3745-42b2-9bc9-313b66f6d99a</t>
  </si>
  <si>
    <t>f41b3508-a8af-4cd4-8b6f-8ed437fb68b4</t>
  </si>
  <si>
    <t>5d2aedf5-4d9a-409c-a600-d33f3a04e103</t>
  </si>
  <si>
    <t>a0605c6c-50ae-44ce-b6c0-00819a2bfc34</t>
  </si>
  <si>
    <t>8e92af1d-3239-455a-b1a5-9795d4b11bbb</t>
  </si>
  <si>
    <t>5fd1a1d0-ab03-4eb3-89a0-d761f6e2fe09</t>
  </si>
  <si>
    <t>8d9740d1-d26c-4db6-a042-6b8b6465e366</t>
  </si>
  <si>
    <t>15f37032-75b5-4dcb-86a0-6a47557cba61</t>
  </si>
  <si>
    <t>e65846b9-f042-4bfd-84c2-61688ed2ab17</t>
  </si>
  <si>
    <t>da105bec-b959-451e-9830-0f01afb1a940</t>
  </si>
  <si>
    <t>e5a50c20-93a3-4fae-a239-fcb0a899b718</t>
  </si>
  <si>
    <t>609230bd-f426-4227-8ad7-3da7233314f6</t>
  </si>
  <si>
    <t>cf6e16f5-e498-470e-a26b-be9716e7cee0</t>
  </si>
  <si>
    <t>f0031fd4-9e59-4661-8ada-f9a9739a90d9</t>
  </si>
  <si>
    <t>79c14eee-bde2-4138-8d04-a4f4567e85c3</t>
  </si>
  <si>
    <t>e3ad961a-dcaa-4f64-9bc8-3b272bc74ef7</t>
  </si>
  <si>
    <t>6bf8c8ce-4837-4fc7-8c35-fb847a413c17</t>
  </si>
  <si>
    <t>12edd88d-c4e2-475e-862c-92c7cec78bbe</t>
  </si>
  <si>
    <t>3d2ea5a2-7d1a-47d3-89c9-4e3dd926aaeb</t>
  </si>
  <si>
    <t>3b9812d3-595f-48ee-baf3-726f3dc117c5</t>
  </si>
  <si>
    <t>f822a943-eda5-4a79-bf70-ff28e86d47f5</t>
  </si>
  <si>
    <t>ee7af071-be80-42a0-a5c7-0a3c39b2e3db</t>
  </si>
  <si>
    <t>6eb17931-dd7d-4623-a857-09b59b1b0a61</t>
  </si>
  <si>
    <t>355dd59f-4903-4bed-a1ad-cc31129457f9</t>
  </si>
  <si>
    <t>50d28022-f1ce-40ae-986b-0e6abeca85f8</t>
  </si>
  <si>
    <t>620fec8d-80ff-44a8-b11c-cc63d5b6aacf</t>
  </si>
  <si>
    <t>b3d41859-2c02-48e7-a0ae-ff9a4e76ae8b</t>
  </si>
  <si>
    <t>f97a1cdd-7f92-4dc5-bccf-ebe1da480b0b</t>
  </si>
  <si>
    <t>0bdbef7d-e8ed-4e96-977d-e038a137e597</t>
  </si>
  <si>
    <t>e08c3d21-9329-4b19-a505-d8f287ccf5a7</t>
  </si>
  <si>
    <t>673bcab3-a781-4dc4-95e0-14a78276e6a2</t>
  </si>
  <si>
    <t>e53e2f03-33d4-4c4c-a387-578ebd999b1b</t>
  </si>
  <si>
    <t>354fbe1e-b0b8-4a90-a78e-9efaf9b4cba5</t>
  </si>
  <si>
    <t>fad03dfc-cc27-4955-ba69-93fa069e3431</t>
  </si>
  <si>
    <t>5350b11d-39c5-4f56-9f46-d8105a481b73</t>
  </si>
  <si>
    <t>6298e152-84e5-4dd3-a4cd-41cd40ef58c1</t>
  </si>
  <si>
    <t>a992d10d-d4fb-4edf-8614-98b723f1b435</t>
  </si>
  <si>
    <t>b6a65f31-489c-4f5c-8957-4f402f07a308</t>
  </si>
  <si>
    <t>916d95cf-2225-4ea8-a273-2ae5567be19d</t>
  </si>
  <si>
    <t>d7d34b76-a9ea-40e8-a9bc-9075e9df4361</t>
  </si>
  <si>
    <t>c8568b7f-d4d2-4b1a-aa95-a1a4d4e8a3c5</t>
  </si>
  <si>
    <t>5b0dbf1d-2ce6-4440-b473-3bf5d84cc720</t>
  </si>
  <si>
    <t>5a12f723-b483-4929-aaaf-30c2e840476c</t>
  </si>
  <si>
    <t>36961187-b092-415f-9572-bcd46a1cfb9c</t>
  </si>
  <si>
    <t>32d06b3a-5a7d-4e40-aa83-c0c51d37cc51</t>
  </si>
  <si>
    <t>86685553-f46b-492d-abad-06d2dc1bc370</t>
  </si>
  <si>
    <t>1efb32da-81dc-489e-b01f-163afdb79fb0</t>
  </si>
  <si>
    <t>e5865761-30b2-444c-8b07-1e44a57df561</t>
  </si>
  <si>
    <t>058f0963-9ad6-49b9-84c2-a50d2b283837</t>
  </si>
  <si>
    <t>6bc47024-31f2-4d20-b5aa-acb09e00b163</t>
  </si>
  <si>
    <t>c7179b65-9565-4c66-9a4d-03895d76e770</t>
  </si>
  <si>
    <t>eabbf22d-6170-46ce-a511-d8cee63fc00f</t>
  </si>
  <si>
    <t>10fad0e9-073d-460c-a41b-b3adf38ca369</t>
  </si>
  <si>
    <t>e344c542-c88d-4067-8fca-c8c4ca3974d2</t>
  </si>
  <si>
    <t>af6f67a1-3a23-4b84-ad7f-716b9c09ef78</t>
  </si>
  <si>
    <t>1299929d-cf69-401d-9e39-ab96c1ff8a66</t>
  </si>
  <si>
    <t>7c06a279-9653-4185-961e-39d5fe242e4d</t>
  </si>
  <si>
    <t>526b6746-fe75-46ae-a699-ae298cd9c378</t>
  </si>
  <si>
    <t>9b324cfb-905c-4cdc-92fb-fd84d475cc10</t>
  </si>
  <si>
    <t>887c4c97-0da1-44ca-872d-53c0c0ba04f3</t>
  </si>
  <si>
    <t>9a11bbae-5df7-4840-8364-ce28852805f7</t>
  </si>
  <si>
    <t>87efeab2-2997-4005-a7aa-9b2cc908c1c6</t>
  </si>
  <si>
    <t>d33a364a-0d38-4af3-9011-dde304127abd</t>
  </si>
  <si>
    <t>577ab45e-47ee-4be2-af61-2d944512c5fb</t>
  </si>
  <si>
    <t>fd46e5bd-361b-4cb1-a1de-4f570524a605</t>
  </si>
  <si>
    <t>10abd023-2f6d-4bc3-9ff1-fa84b3fc061d</t>
  </si>
  <si>
    <t>8ad11744-c94f-4f7b-8038-42bffadbedb7</t>
  </si>
  <si>
    <t>e8307e3f-f70f-4d02-b418-18734b746017</t>
  </si>
  <si>
    <t>49e7490e-5847-4541-9d62-c8a2b757cfdd</t>
  </si>
  <si>
    <t>2bdf4410-bfb6-448f-8337-63e6fd01a7e0</t>
  </si>
  <si>
    <t>f3cc5aae-b846-4e4d-a5c7-8bf25cf95c14</t>
  </si>
  <si>
    <t>3319838f-c476-40ed-b142-a5ad9a2813d7</t>
  </si>
  <si>
    <t>47eadf69-2fea-43f2-885c-a76f7c92d7e1</t>
  </si>
  <si>
    <t>cd85fc71-a410-492e-a260-dfd660a31b30</t>
  </si>
  <si>
    <t>979675c7-4cb6-497d-9941-9ed2562c6c60</t>
  </si>
  <si>
    <t>278914f0-fe04-49cd-844d-a6dd8476b600</t>
  </si>
  <si>
    <t>71a86951-50e3-43ab-9d06-87d7bc264e33</t>
  </si>
  <si>
    <t>e035819f-64aa-45a1-b86b-335bb4979f3f</t>
  </si>
  <si>
    <t>480ecd21-b00e-4bf9-8547-7b5269d05ede</t>
  </si>
  <si>
    <t>840763ec-bdab-4bb2-ab0a-87c037c3a378</t>
  </si>
  <si>
    <t>b2892b2c-c302-41a1-8a6a-1a52338fd2b1</t>
  </si>
  <si>
    <t>77c6b54a-a0a3-4dda-8ac2-2af5988846f5</t>
  </si>
  <si>
    <t>4c7abe43-507b-4d01-b3ec-b46b82ecbe04</t>
  </si>
  <si>
    <t>8c97d885-83ad-4b64-b5a6-92c4ccbeb48d</t>
  </si>
  <si>
    <t>d11855a2-35f1-4370-bf82-1e1e7fe6d817</t>
  </si>
  <si>
    <t>baf401b2-5313-499c-9ae3-1d9369c37d3a</t>
  </si>
  <si>
    <t>47e8c33f-5923-45a9-b5b7-30fd03cf1543</t>
  </si>
  <si>
    <t>6134f961-2dd3-4773-806c-33289517dddc</t>
  </si>
  <si>
    <t>8d25ce7b-92be-4ff0-a134-f3398fb4624e</t>
  </si>
  <si>
    <t>deed9021-d878-4200-b8f4-94f4c63b9b01</t>
  </si>
  <si>
    <t>ab10e32a-c187-4313-b9cd-9e210ce93bdf</t>
  </si>
  <si>
    <t>2d658da1-af60-4906-a23e-dcbac33d95b9</t>
  </si>
  <si>
    <t>f70e194c-3df7-4ebe-acfb-388cac5fcfdd</t>
  </si>
  <si>
    <t>2e958113-d15b-479c-a3bb-35ec85460817</t>
  </si>
  <si>
    <t>5d4cc1e3-7890-401e-9760-2a1dafb7d00c</t>
  </si>
  <si>
    <t>074de4c9-5e54-4934-a6a6-d7360b12f651</t>
  </si>
  <si>
    <t>176596bc-30a8-4b95-8cb2-f4ff24e3bd7e</t>
  </si>
  <si>
    <t>1278e0fd-cc5b-4e65-8282-f9ace5e87bf4</t>
  </si>
  <si>
    <t>da7d3376-3992-4068-bc29-a20929c64ed2</t>
  </si>
  <si>
    <t>3720e858-cf85-4876-88c6-2d1662b2899f</t>
  </si>
  <si>
    <t>aabf4f9d-13ce-47f7-b65b-1930d66a1a33</t>
  </si>
  <si>
    <t>653ec81a-ef1d-4033-9b7e-cb17ac527ccf</t>
  </si>
  <si>
    <t>57edc3a9-1995-4333-b173-a45504ac7a1e</t>
  </si>
  <si>
    <t>22e6fc82-11a7-4da1-939c-ec3c8101d698</t>
  </si>
  <si>
    <t>e9e768e1-c7b5-464e-8c30-5edd4afcf4d7</t>
  </si>
  <si>
    <t>6025af4b-cdab-4afc-9a6f-d54be33360b2</t>
  </si>
  <si>
    <t>e3c0b9f3-6eda-4c0f-adc8-2e11dc28ec6f</t>
  </si>
  <si>
    <t>e9ad91de-370e-4ae5-bd9d-f7fc538a5a79</t>
  </si>
  <si>
    <t>c1498408-335b-4499-86a7-0c4760a29a5b</t>
  </si>
  <si>
    <t>6dcac565-9aeb-4a3f-b1dc-b9e9ea2bfb08</t>
  </si>
  <si>
    <t>2b38d634-6d1b-438e-b614-3b3dbac96d48</t>
  </si>
  <si>
    <t>dae190eb-1c33-4458-b34d-c14d915ab118</t>
  </si>
  <si>
    <t>9377bdfc-c01a-4b7f-9dcd-6e6155cce7e8</t>
  </si>
  <si>
    <t>46c28ad4-17c7-4e10-9d9f-f36bfa3dc44f</t>
  </si>
  <si>
    <t>035d46fb-9903-4e90-9954-fb605622d539</t>
  </si>
  <si>
    <t>5c9ece92-1798-4d26-8813-1b2094ac4624</t>
  </si>
  <si>
    <t>9f971c03-73fa-4cb0-9b71-95eb9a8ff399</t>
  </si>
  <si>
    <t>70187894-7f5b-4101-90d4-62c4b925c1f0</t>
  </si>
  <si>
    <t>f3aeb64c-5712-43d3-9896-6eab7adbdc6c</t>
  </si>
  <si>
    <t>1df19f58-466d-4753-b28f-4a67e833fa3f</t>
  </si>
  <si>
    <t>aac67f72-fe21-4656-b675-af81e6d1c4ac</t>
  </si>
  <si>
    <t>d507e397-ea02-479b-a9b4-db17514ad722</t>
  </si>
  <si>
    <t>aac6059a-0c38-43a0-ba58-f95367667bbc</t>
  </si>
  <si>
    <t>4b9c2fe5-8953-4cb4-8b40-610ad7223e8f</t>
  </si>
  <si>
    <t>3bae464f-b995-470a-8f0d-29826f10756e</t>
  </si>
  <si>
    <t>d05e0fef-0b8a-4f1b-bffe-24f3fe30bf42</t>
  </si>
  <si>
    <t>6bc91a19-3e02-4ac7-8951-914fa7c139c5</t>
  </si>
  <si>
    <t>7bed6288-37f6-473c-8a6f-6b76491aa4f3</t>
  </si>
  <si>
    <t>8f31d7d2-e50b-4071-97e5-718e956f3632</t>
  </si>
  <si>
    <t>9305ecb1-87c6-4046-8326-fd16ca5e5800</t>
  </si>
  <si>
    <t>4468f98f-a921-4524-bc8e-eded86ec4b10</t>
  </si>
  <si>
    <t>3bf47435-6990-439e-bd56-f0bcf7c913be</t>
  </si>
  <si>
    <t>93863691-c7ed-4af7-b53e-a85570383460</t>
  </si>
  <si>
    <t>9443557f-17dc-4de9-9eb5-621c3046dd24</t>
  </si>
  <si>
    <t>d3945e29-69fd-4c57-8b07-e5152ebc33f0</t>
  </si>
  <si>
    <t>959ea3bc-40c4-41a1-a9c8-1546076db243</t>
  </si>
  <si>
    <t>e849b404-a91e-4ffe-92f1-2a06e99d65a6</t>
  </si>
  <si>
    <t>328c2ba0-7bab-4cc6-839f-5b282bc7d38a</t>
  </si>
  <si>
    <t>4b0824a8-9ef4-4e93-889d-d120ebe5c5e1</t>
  </si>
  <si>
    <t>b8eb74b6-c4b9-488c-93f7-e8ace0d5c2db</t>
  </si>
  <si>
    <t>84afbad5-a16f-4af3-b4d8-37d475b540fe</t>
  </si>
  <si>
    <t>5fa9ee40-8421-4e44-92de-a7757ca04f8a</t>
  </si>
  <si>
    <t>194c82b6-29f1-4093-b80a-94469e3d395d</t>
  </si>
  <si>
    <t>40a57661-77a5-4732-8166-f2d081e8822b</t>
  </si>
  <si>
    <t>3d7b5458-384f-455f-a978-08c41a3f2856</t>
  </si>
  <si>
    <t>89a75574-61d1-41f9-90cc-738ada12ab9c</t>
  </si>
  <si>
    <t>df7bea99-4e87-4c5e-8f76-9c2c4d147e01</t>
  </si>
  <si>
    <t>3d2d4c23-a350-43f2-a0ef-97db8d22aea4</t>
  </si>
  <si>
    <t>ae8d0ebe-205f-48a3-90ca-fb64306c80a0</t>
  </si>
  <si>
    <t>d27046bf-979b-40ed-b0c6-4e43b4c24d6e</t>
  </si>
  <si>
    <t>ea3c5f6d-1d77-4d32-89ff-d31291001e7e</t>
  </si>
  <si>
    <t>bda04956-9b63-4c91-a93b-6e6b85f45483</t>
  </si>
  <si>
    <t>710ccb54-2251-4dd0-a366-9c5777018558</t>
  </si>
  <si>
    <t>db4a19fb-f3b0-4098-bc2b-23c7bc4d8d76</t>
  </si>
  <si>
    <t>53b0f0d1-f02e-4e23-8f8d-389313b665d3</t>
  </si>
  <si>
    <t>217d696e-f89d-4b34-bb0e-671eaa8fdcf9</t>
  </si>
  <si>
    <t>2191e828-577b-4210-a501-e7de13aac82d</t>
  </si>
  <si>
    <t>8cc45685-d0d8-4a7f-945b-5d703cd36dda</t>
  </si>
  <si>
    <t>857ca84f-1696-49b2-91cb-a7e12a824a24</t>
  </si>
  <si>
    <t>9379820c-d2ab-4433-93c9-576e1350a297</t>
  </si>
  <si>
    <t>30213973-3e39-4472-916a-06e375bd3fac</t>
  </si>
  <si>
    <t>967cf3f5-6e9c-4819-8a89-4b6e3ec6770f</t>
  </si>
  <si>
    <t>e9756027-6058-4a39-b52b-d2ac5f6646f3</t>
  </si>
  <si>
    <t>c11b696d-457d-457f-94e2-daa36cd68831</t>
  </si>
  <si>
    <t>e27b5bfc-6f93-48d0-970f-59341606062e</t>
  </si>
  <si>
    <t>04777e65-e65b-4149-85fc-89556cbcec96</t>
  </si>
  <si>
    <t>9ea59c8a-5b3a-44a0-90ce-a6f2fe804463</t>
  </si>
  <si>
    <t>47119274-b8d3-4d74-9d75-76133ad54025</t>
  </si>
  <si>
    <t>e2e5e73d-e22c-469d-809c-8a33f2efb493</t>
  </si>
  <si>
    <t>b760d32b-ef0b-4a56-89fb-256637ba5488</t>
  </si>
  <si>
    <t>b8b310d6-accc-42fa-8f4d-4a8481c4b7cc</t>
  </si>
  <si>
    <t>0f58de51-9c4a-4a09-9ebf-25b35fccb543</t>
  </si>
  <si>
    <t>078f7f4d-bdb9-4c11-944e-657bf9b5a333</t>
  </si>
  <si>
    <t>18672bb4-e1e4-4e7c-aa98-2fde18bf316c</t>
  </si>
  <si>
    <t>fe6a921b-f70f-4901-ad30-1c15b6bf5f27</t>
  </si>
  <si>
    <t>9a92cfc9-0786-4873-adeb-67991ee049dc</t>
  </si>
  <si>
    <t>fae73d75-089a-4406-9c2b-94c37baa8009</t>
  </si>
  <si>
    <t>3e904b87-dd61-411f-9d1e-7383e632e7c3</t>
  </si>
  <si>
    <t>d0e52082-50bd-4742-8af7-13819832fac9</t>
  </si>
  <si>
    <t>ebf4c9ca-b7fd-4d73-b2b1-4186ee386a1f</t>
  </si>
  <si>
    <t>855ea063-a403-4f50-92e3-32717107bd31</t>
  </si>
  <si>
    <t>79f991de-7a20-4f7a-8663-60f8758a590b</t>
  </si>
  <si>
    <t>2065177a-fe64-4039-9ccc-048fd32b2bc2</t>
  </si>
  <si>
    <t>c86ed289-e22e-48ea-bbb4-b5d5da20c3c0</t>
  </si>
  <si>
    <t>1dc38dc3-33c8-42b4-977d-2be50672f729</t>
  </si>
  <si>
    <t>1406f826-a4af-4f0e-b4b2-f2dda2fa1623</t>
  </si>
  <si>
    <t>9072669a-741c-487c-8a87-37bd74dc2373</t>
  </si>
  <si>
    <t>f554efff-6a6f-4c68-8627-e2a9f4641af6</t>
  </si>
  <si>
    <t>8837e9f1-de9e-43fb-86ac-9f7540c1d7ac</t>
  </si>
  <si>
    <t>ed884917-1142-4286-8c3e-5b2704bd25c8</t>
  </si>
  <si>
    <t>dd7414bd-295b-42da-9649-f4d90a0eb206</t>
  </si>
  <si>
    <t>5e4a0a10-4dfd-4f9f-85c2-abfbd448a5c0</t>
  </si>
  <si>
    <t>c776cd24-04e5-4040-b5dd-4eea0f1aff00</t>
  </si>
  <si>
    <t>cfdb6b8e-64a7-4ff2-86da-127e6ac480b3</t>
  </si>
  <si>
    <t>a58f5106-c2da-4877-8c87-ff3ddf97fce8</t>
  </si>
  <si>
    <t>e01e2fc6-3811-48e3-ab85-95e125b4a617</t>
  </si>
  <si>
    <t>bfadb5c4-7647-4ca7-a0bf-2aadae01e80c</t>
  </si>
  <si>
    <t>4c216b6b-acf7-4d78-8d42-ab29b9e7930b</t>
  </si>
  <si>
    <t>047408bc-a739-445c-bf15-78e78e5dd412</t>
  </si>
  <si>
    <t>d7cf94ac-982c-49b7-9ff0-2cbda3c67f93</t>
  </si>
  <si>
    <t>08d428d5-00d2-4bbe-9b66-430831f65972</t>
  </si>
  <si>
    <t>5f9a77ab-afec-4fb2-949f-8d1282e1e7ce</t>
  </si>
  <si>
    <t>32bf9369-54dc-4138-993b-89773ccf470a</t>
  </si>
  <si>
    <t>282cc900-5994-4524-842d-7434fd38fc50</t>
  </si>
  <si>
    <t>1a450add-37fa-45e6-be63-976ef50d98c4</t>
  </si>
  <si>
    <t>00bfbeb5-3807-4afa-a66f-244ca100b986</t>
  </si>
  <si>
    <t>2e97377f-8e54-4f67-acac-1743397c547f</t>
  </si>
  <si>
    <t>5a3155c1-ef6e-4e7f-a149-73fe87028dfa</t>
  </si>
  <si>
    <t>d0b91e68-6d24-4a62-8b89-155620a21f8d</t>
  </si>
  <si>
    <t>6d9b754e-086a-4176-924b-25306bac63ce</t>
  </si>
  <si>
    <t>91784ec5-9fc7-465f-891f-9178b4b2cd02</t>
  </si>
  <si>
    <t>ce0d05e9-62e8-48d0-b4cd-6b1c1d78eb2e</t>
  </si>
  <si>
    <t>a9d21c1b-d737-4ede-b121-958b02aea759</t>
  </si>
  <si>
    <t>f35eabf6-3510-4dbb-9720-8bbb7cb7f778</t>
  </si>
  <si>
    <t>50d9a522-3780-4ddb-8158-10d4cc9a00ed</t>
  </si>
  <si>
    <t>04a845da-7c56-43f1-9be5-64c55ead8c2c</t>
  </si>
  <si>
    <t>6fe407e0-0b9b-4356-8fd7-0c52f828a559</t>
  </si>
  <si>
    <t>b7f6c39f-26a9-4c99-b4ab-7a8222835753</t>
  </si>
  <si>
    <t>4cd10387-f511-4827-83f5-1e0ad8b47495</t>
  </si>
  <si>
    <t>16dea61c-e055-4790-b466-2abdc8e839c6</t>
  </si>
  <si>
    <t>602b0ed8-728b-4330-908e-30b006916239</t>
  </si>
  <si>
    <t>13ce2659-2f0c-4ef0-b607-4b591052a666</t>
  </si>
  <si>
    <t>28918fca-f642-469b-a04d-c7f1082de76e</t>
  </si>
  <si>
    <t>3e1dfda5-8c2b-4cae-9a5d-e7a3dc8be311</t>
  </si>
  <si>
    <t>b31c5fee-2153-4cc4-9834-74e924468c1b</t>
  </si>
  <si>
    <t>4d0dae14-74e4-4038-b07f-affbb5d72dd2</t>
  </si>
  <si>
    <t>62194645-4f3a-4f41-b592-d18784346be3</t>
  </si>
  <si>
    <t>655fe105-0c6b-4f85-b1b0-e63abcb64c29</t>
  </si>
  <si>
    <t>5398f0c1-60ee-4434-9279-9f20997c27e6</t>
  </si>
  <si>
    <t>f8a4e585-6a0c-49b7-8664-3294433f6c5f</t>
  </si>
  <si>
    <t>971bf336-dc0c-4087-801b-37622569659c</t>
  </si>
  <si>
    <t>6e1778e9-47a8-45a8-96cc-15cb5d7d0421</t>
  </si>
  <si>
    <t>7bdca1a0-abbb-4f80-9d36-a6079de3b59d</t>
  </si>
  <si>
    <t>83301fda-d1cf-49f4-a92a-5ff7385ec05e</t>
  </si>
  <si>
    <t>a09815c0-ed19-4e3f-89a4-c6c69437a869</t>
  </si>
  <si>
    <t>cd0b815b-28fe-44f2-8621-696419628213</t>
  </si>
  <si>
    <t>17b3a950-d9a4-4a65-8468-e5f8b92c826b</t>
  </si>
  <si>
    <t>8b2b7db8-80f3-43f0-a71a-5adf7f79ef43</t>
  </si>
  <si>
    <t>c2e8c7a6-7578-45d7-9407-39ae9bf21521</t>
  </si>
  <si>
    <t>2001cb68-b7a1-4863-9b03-db9595ccabf6</t>
  </si>
  <si>
    <t>05f9b1ab-4d3f-4794-9bf6-aecf472e6fcb</t>
  </si>
  <si>
    <t>e9577b96-ac54-40af-b20c-0cc40dd9a4a8</t>
  </si>
  <si>
    <t>fffc6027-7506-4a93-bf58-6346730f2602</t>
  </si>
  <si>
    <t>39140d88-8ee1-4431-b252-339bd7d65259</t>
  </si>
  <si>
    <t>7e4f7f54-1d18-425c-aa67-8e40fd4b38a2</t>
  </si>
  <si>
    <t>03ead93f-4a1e-40f2-a515-38ad3501c373</t>
  </si>
  <si>
    <t>8e2c334e-025d-4f1b-905f-34cb098caf14</t>
  </si>
  <si>
    <t>38db54a0-5206-41c8-b730-9bc412f82f4b</t>
  </si>
  <si>
    <t>5d5e6bab-fc43-4388-b70a-96ccf974669a</t>
  </si>
  <si>
    <t>14b275c1-e3bb-4795-b9b0-bc643c4bd38e</t>
  </si>
  <si>
    <t>41efe084-10a2-421e-887d-a7bdcac12bf7</t>
  </si>
  <si>
    <t>93e27a0a-2578-4e93-be99-ee7d6bbc55f5</t>
  </si>
  <si>
    <t>2bda88fe-19fd-4e76-a82b-dc94ebd073d3</t>
  </si>
  <si>
    <t>a28b8613-1a56-4488-b144-17a0b398d0a0</t>
  </si>
  <si>
    <t>9e7c1911-e2c6-4868-b3ce-fa77d759ad90</t>
  </si>
  <si>
    <t>61a450f6-180d-48ae-9ccc-1f8e8a873afc</t>
  </si>
  <si>
    <t>b17e908e-2685-48ad-b4eb-aba50b941e45</t>
  </si>
  <si>
    <t>b7c9cf87-28d8-4733-9676-4f168c938b9e</t>
  </si>
  <si>
    <t>5f2f3ec8-45e0-4506-961c-d37ed6ffd3b4</t>
  </si>
  <si>
    <t>442eacdb-5cef-4093-ab03-1d1c561eef1b</t>
  </si>
  <si>
    <t>66cce1d8-9e3d-484f-8849-971ee395e4d4</t>
  </si>
  <si>
    <t>49a5379c-0655-427c-864a-7fb82f46f7b0</t>
  </si>
  <si>
    <t>2f5a2f24-52b0-4ff4-a6b6-12902fc04c19</t>
  </si>
  <si>
    <t>d9c79be8-4a3a-4e26-bee2-a3dfe20c6893</t>
  </si>
  <si>
    <t>48378452-205b-44ad-aefc-ec2a217af9e2</t>
  </si>
  <si>
    <t>2719fe1b-0ab4-4dfe-9a9e-69bfa365cbbd</t>
  </si>
  <si>
    <t>438488f1-7f32-4f99-9647-831ce785efae</t>
  </si>
  <si>
    <t>12213715-551a-4afd-9a27-7ba91a2dc460</t>
  </si>
  <si>
    <t>656de0ac-9b9f-4c47-9b9f-bb460de2204b</t>
  </si>
  <si>
    <t>8e3a2e28-511b-4e41-b726-84cc6d614e92</t>
  </si>
  <si>
    <t>aaabd1d3-ca88-4655-b234-09941a699a89</t>
  </si>
  <si>
    <t>2ab51ba5-4665-479a-a619-1557b539d63a</t>
  </si>
  <si>
    <t>d5218d6b-9db2-4fc9-872d-ec5fa358f9dd</t>
  </si>
  <si>
    <t>3e434acd-09fd-490f-b4c3-aba614ee5e22</t>
  </si>
  <si>
    <t>226e350f-e782-4ae3-876b-4d2b676afc19</t>
  </si>
  <si>
    <t>5ab88861-ca91-4371-af9f-da338dab4807</t>
  </si>
  <si>
    <t>35aea42b-4456-40f8-9e4a-7b93b4947bf2</t>
  </si>
  <si>
    <t>93e2bda9-b01a-429d-b4e9-00485f49fbf3</t>
  </si>
  <si>
    <t>3be3170c-f4cc-4160-9329-3bdcfe4e2344</t>
  </si>
  <si>
    <t>49b32f45-ca26-4fa3-9ec6-2bf05e7bd3f8</t>
  </si>
  <si>
    <t>c72aa52e-d987-4eec-abd8-bd1d29efb1d0</t>
  </si>
  <si>
    <t>c33eb25a-f3ea-438f-b348-2d5fbb68b761</t>
  </si>
  <si>
    <t>1a28f176-5918-494d-9e61-ddbac7c3e678</t>
  </si>
  <si>
    <t>6b27a3e6-9c2d-42f3-b14f-b6eeddf6394d</t>
  </si>
  <si>
    <t>575d5aba-ad45-49a1-9b21-19026bd6c2c7</t>
  </si>
  <si>
    <t>828e215d-dd59-4ed1-be52-6b9d0d6027a2</t>
  </si>
  <si>
    <t>5c821f35-7ee0-4d75-9daf-f7c49085c3d0</t>
  </si>
  <si>
    <t>118ec4b7-c76c-4df6-9f7e-9e2951ccc30b</t>
  </si>
  <si>
    <t>4a2db08b-579c-4d44-b3fa-e8e7d258d7b4</t>
  </si>
  <si>
    <t>40a36fd0-2874-4734-85b1-c445a89feaf8</t>
  </si>
  <si>
    <t>0b63b0da-eb15-489c-9a9e-2d6ca233207c</t>
  </si>
  <si>
    <t>ba4a0090-50e3-4f9f-9be2-572190fe4429</t>
  </si>
  <si>
    <t>6c855362-32f5-4639-bbbb-b040821488de</t>
  </si>
  <si>
    <t>d9f81f39-8908-4939-8724-2902b1aa2e35</t>
  </si>
  <si>
    <t>bca21dc6-1316-4d73-99ba-f527dc2f2328</t>
  </si>
  <si>
    <t>8cf8ffd1-870f-43f0-bec1-e4a5d3d5f70a</t>
  </si>
  <si>
    <t>450fa09c-d15f-4103-a767-78ec95c89072</t>
  </si>
  <si>
    <t>bf242e3e-66ac-43ae-bfc0-73c9c556b9d0</t>
  </si>
  <si>
    <t>cb9f0979-7c81-4c89-b37b-880febd4953b</t>
  </si>
  <si>
    <t>6ce7e08c-2852-431a-8c6e-630215246b06</t>
  </si>
  <si>
    <t>c8353a98-95d7-4142-8b97-4e6b8adad954</t>
  </si>
  <si>
    <t>a885cac6-1500-44df-9f7d-9e4c6841be39</t>
  </si>
  <si>
    <t>3237ac11-f53e-47f2-b08b-5997a79c1506</t>
  </si>
  <si>
    <t>220c5eab-701c-4fa9-8f8b-df03dd549304</t>
  </si>
  <si>
    <t>067e8864-ada5-4989-858b-f5a9463d73e7</t>
  </si>
  <si>
    <t>dbe8e6bb-392c-4873-bfd8-1c1f4b41c8d2</t>
  </si>
  <si>
    <t>419e7529-dc25-443c-b3c0-00f7ab12d10e</t>
  </si>
  <si>
    <t>020dd440-42ea-47c0-8fd1-4ce13904f5c8</t>
  </si>
  <si>
    <t>0d31509a-b754-46dd-8d97-649e98a2b234</t>
  </si>
  <si>
    <t>59586d6f-a669-40df-b228-4b642130b0b3</t>
  </si>
  <si>
    <t>07326dcb-8d39-4822-a0f5-fe36ceba5d31</t>
  </si>
  <si>
    <t>ef838dab-52d7-419c-b66e-b16a2c051ddd</t>
  </si>
  <si>
    <t>fbf0a5bc-1f06-4e05-9b0b-cc6a4caf1f6c</t>
  </si>
  <si>
    <t>073a3d8f-82c0-451c-8d7d-8a5ca3304dea</t>
  </si>
  <si>
    <t>066064a0-41e5-42af-9824-a240adbcd8e6</t>
  </si>
  <si>
    <t>a1d70c6b-1a4d-45cf-a8fb-13eb137ce881</t>
  </si>
  <si>
    <t>0df4174c-5242-470f-8f08-819da60b7ecc</t>
  </si>
  <si>
    <t>618c7824-626c-49b2-b07c-d8c25eccee0f</t>
  </si>
  <si>
    <t>de4d30d6-70ed-4189-82b2-41a9ab4824bc</t>
  </si>
  <si>
    <t>ae282cf8-130f-4d22-8165-0183b843543c</t>
  </si>
  <si>
    <t>95f14d81-ce05-44d8-9417-7fd20736d7b6</t>
  </si>
  <si>
    <t>39fb4ac1-798f-4646-ae79-c3f2c22acd1c</t>
  </si>
  <si>
    <t>5570f76e-5113-460a-a5f8-6cc0b44a9b83</t>
  </si>
  <si>
    <t>575bad5b-ac46-43eb-8e4c-6edff7985a83</t>
  </si>
  <si>
    <t>38d74813-5774-4e82-95e0-fb3ef557e599</t>
  </si>
  <si>
    <t>9358e279-5801-484b-87cb-ebef567bc122</t>
  </si>
  <si>
    <t>6e8cf0e7-979a-4f14-a2fe-ba740d6ba278</t>
  </si>
  <si>
    <t>3b423e5c-b7e1-42f9-9157-487237d1c31b</t>
  </si>
  <si>
    <t>e19b2b24-af9d-4b3a-a17e-8b583dc6e72a</t>
  </si>
  <si>
    <t>666cc3ad-65fe-4708-9fd4-75910d6b5ccc</t>
  </si>
  <si>
    <t>6706eabd-8728-4cbe-9893-145f3b22be1d</t>
  </si>
  <si>
    <t>55034780-31c1-40bd-9c2c-e7898d360362</t>
  </si>
  <si>
    <t>c10cd4e0-1805-439b-b062-25a8df63396a</t>
  </si>
  <si>
    <t>0ec0d182-cf8f-40db-9462-d4b374ea36df</t>
  </si>
  <si>
    <t>48558568-496f-437f-b04b-6a99d8390fc3</t>
  </si>
  <si>
    <t>8147b8dc-d83b-449e-a7ef-8ffa03702f5d</t>
  </si>
  <si>
    <t>15f9a4a2-d071-49f9-bef7-0a7b41e28d24</t>
  </si>
  <si>
    <t>d65533b4-2903-440e-8934-dbdf0e26fc88</t>
  </si>
  <si>
    <t>5bad259c-eb19-49f6-acf8-b4fe2f24b700</t>
  </si>
  <si>
    <t>a9742d60-56a6-4ab0-b3d9-b463eab995eb</t>
  </si>
  <si>
    <t>17baf7de-35aa-4755-90d7-fffc1eaeff3a</t>
  </si>
  <si>
    <t>93774e00-bedb-4ce4-8582-9cb01c10b702</t>
  </si>
  <si>
    <t>1042c873-8a49-420f-b62a-08dfcc71cb5e</t>
  </si>
  <si>
    <t>a58b1f58-8799-4537-a014-14706d0abb55</t>
  </si>
  <si>
    <t>d0a63fa7-5d32-4775-890a-8cd2e92faf24</t>
  </si>
  <si>
    <t>7f9d9c68-622f-43bf-a2a6-54dff3c1836f</t>
  </si>
  <si>
    <t>c5c7c00f-e785-4221-8204-e1959e5e6982</t>
  </si>
  <si>
    <t>957f81ed-be3c-4d28-8786-8de65160c78d</t>
  </si>
  <si>
    <t>c5d1ed0a-01b1-465f-bc67-93ad442e9ecf</t>
  </si>
  <si>
    <t>47ffb722-c5ef-428c-a9e9-697e9b89b36c</t>
  </si>
  <si>
    <t>e2e48aed-a63a-4e86-b726-eeaac2163064</t>
  </si>
  <si>
    <t>187eb9b2-aaec-4360-8a20-195d00a39cb8</t>
  </si>
  <si>
    <t>26877bff-3569-4024-a7e2-af24ae637977</t>
  </si>
  <si>
    <t>22435cfd-b071-455f-901a-dd2a9d3eda3c</t>
  </si>
  <si>
    <t>47110b7f-da2c-4574-a1cf-dd1ea84ce804</t>
  </si>
  <si>
    <t>cd02c9c2-4702-4252-9e7c-5e7577942a3a</t>
  </si>
  <si>
    <t>54d8a404-711d-44dd-8226-cd94ac5afe1f</t>
  </si>
  <si>
    <t>31ab777c-c885-45fb-a0d4-471a6a144d69</t>
  </si>
  <si>
    <t>3b501624-1455-4427-96f4-2b92411e9652</t>
  </si>
  <si>
    <t>8cb62404-9df4-4102-ae2a-78a19389f9bc</t>
  </si>
  <si>
    <t>09551bce-da2c-4512-b811-6c32a07c11c8</t>
  </si>
  <si>
    <t>ad04e26e-bc99-4680-967a-a19f809993c6</t>
  </si>
  <si>
    <t>a8215401-eadb-488c-9775-578794150174</t>
  </si>
  <si>
    <t>0c03bf72-7ce6-4ba9-a929-e4103da5dba5</t>
  </si>
  <si>
    <t>34d7bc55-4b3e-4587-8c80-dce023c9be6c</t>
  </si>
  <si>
    <t>9b904ba2-1fd1-4b7f-94d6-018682203871</t>
  </si>
  <si>
    <t>839feba9-0007-417c-917e-802af3aac580</t>
  </si>
  <si>
    <t>71cf355b-6a1d-450d-8e0e-c9dbf4e945c5</t>
  </si>
  <si>
    <t>0c006a8d-9e9d-4e10-abd8-a213d7766b8c</t>
  </si>
  <si>
    <t>4dc21984-2dc1-492c-bd1f-c0bb2bc51f0e</t>
  </si>
  <si>
    <t>4cfb59ad-828c-42d2-9ba7-cf242f2845bc</t>
  </si>
  <si>
    <t>9e673c26-e703-48cb-81a6-a6756684a219</t>
  </si>
  <si>
    <t>32b9f205-1f85-4fc9-ace0-8e0e52ee309d</t>
  </si>
  <si>
    <t>f751cace-c532-4677-998d-a9d74a8d9806</t>
  </si>
  <si>
    <t>27e215bd-7daf-40ce-ace8-5b5568e62eed</t>
  </si>
  <si>
    <t>51015fd2-7eaa-4996-bddc-2a99b3cf9dbe</t>
  </si>
  <si>
    <t>8d74cf56-941a-41b4-bb8b-5bda59397a1a</t>
  </si>
  <si>
    <t>cdaade7b-fce4-430c-96ab-cc072212088c</t>
  </si>
  <si>
    <t>bd4174b5-b81c-48d5-84a2-efce7273360e</t>
  </si>
  <si>
    <t>07693021-ce94-437a-a82f-2b8483a769ce</t>
  </si>
  <si>
    <t>06eadc94-9408-4b48-9520-38864489871f</t>
  </si>
  <si>
    <t>70ced9d2-7718-4201-a94b-1a1067142ffb</t>
  </si>
  <si>
    <t>8b7827e2-15a3-451c-8f4f-17858c5e81fc</t>
  </si>
  <si>
    <t>25410b76-2896-48b4-ae77-a1e30c7f2089</t>
  </si>
  <si>
    <t>a5ab2a03-4e66-4a0b-ba2e-b77cee28cb93</t>
  </si>
  <si>
    <t>1cc6e22c-5007-408e-ad2d-eed48279474a</t>
  </si>
  <si>
    <t>4c5b171c-40d9-4cb9-beab-27bbc3bce9d3</t>
  </si>
  <si>
    <t>84f6332f-91a2-47d0-9212-09c33c60ec63</t>
  </si>
  <si>
    <t>45809eb7-4537-40bd-84aa-820f7ab277c7</t>
  </si>
  <si>
    <t>3b4fc8db-2218-4c9d-9824-ca06626e0211</t>
  </si>
  <si>
    <t>a2e3645c-dac6-4f31-8e42-99d76e20aa78</t>
  </si>
  <si>
    <t>f4c5fe16-e3e8-43cb-8253-1d28c25770e7</t>
  </si>
  <si>
    <t>f0a14b11-fba2-4ebc-a49a-09a27fb0cc40</t>
  </si>
  <si>
    <t>2bd2c7ac-7a04-472a-940f-e8a64ad63160</t>
  </si>
  <si>
    <t>c5512d92-3712-40a6-b1f5-f196403e503d</t>
  </si>
  <si>
    <t>465a6349-38d8-477c-a51f-46f78153fbfa</t>
  </si>
  <si>
    <t>4c394e3d-b54a-499c-8dae-243317a60720</t>
  </si>
  <si>
    <t>20fd9020-9463-43b8-9c22-194bbebf101f</t>
  </si>
  <si>
    <t>a78200ed-9a91-4667-9647-47cfe8041150</t>
  </si>
  <si>
    <t>02a92d8a-0508-40eb-9bb5-a9c6fc1019cd</t>
  </si>
  <si>
    <t>d4bf240e-2751-441f-914d-0a49e112a7c9</t>
  </si>
  <si>
    <t>608611e2-f6f2-4516-9b0f-80cee808c05d</t>
  </si>
  <si>
    <t>b8720b8a-10df-4c9c-b499-021a8cb9dd5d</t>
  </si>
  <si>
    <t>c99be92d-e51f-4bec-9cd9-8732c7dfa298</t>
  </si>
  <si>
    <t>1a38d11c-9698-4695-9070-f8d818a9c6dd</t>
  </si>
  <si>
    <t>9df45839-070a-4ca9-8823-fad775d80f7e</t>
  </si>
  <si>
    <t>bba9601f-b719-4b29-a1ab-649a2b60fa6f</t>
  </si>
  <si>
    <t>59d717c7-daba-4eac-b818-ee5a6a257083</t>
  </si>
  <si>
    <t>e6c640ef-c258-4fdc-b92a-af7f8acf34da</t>
  </si>
  <si>
    <t>adb75e4c-be7f-4032-8ced-da782f476bb2</t>
  </si>
  <si>
    <t>bbb3383b-f33c-407c-98f4-9dd63b878928</t>
  </si>
  <si>
    <t>82e6f16a-2597-4559-8eea-5229fe35d6e5</t>
  </si>
  <si>
    <t>d4683df2-6cb0-4417-a1b7-af6e37757085</t>
  </si>
  <si>
    <t>95b42ab3-3ba6-45ed-8aa9-a019ad0dc1c4</t>
  </si>
  <si>
    <t>9da1da45-484e-42cd-b450-b81764db5e56</t>
  </si>
  <si>
    <t>306a3005-7f22-4c19-a8e6-cb69c50faa43</t>
  </si>
  <si>
    <t>4476c490-e6dc-4044-8939-57ebc97b5ca3</t>
  </si>
  <si>
    <t>91e4ce3b-d824-4041-aedb-fb4f64142cd9</t>
  </si>
  <si>
    <t>3ddfc2ab-e751-47bc-88ad-cce07763e3f5</t>
  </si>
  <si>
    <t>56577b66-07a6-417b-acca-394d7a42170c</t>
  </si>
  <si>
    <t>cd45d3db-94cb-415b-95ea-a0d7705a015d</t>
  </si>
  <si>
    <t>4f19270e-385b-4c2f-be91-731164511e85</t>
  </si>
  <si>
    <t>60715bc6-ea96-44d4-bb93-3a67e777d397</t>
  </si>
  <si>
    <t>f606379c-7a3e-4a8d-b5cb-5284c6997ba1</t>
  </si>
  <si>
    <t>044ed96e-752a-41b9-a21b-18f9b18c1c34</t>
  </si>
  <si>
    <t>780f2dba-adea-4d8b-bbd1-c55e37882c40</t>
  </si>
  <si>
    <t>56d3612a-75ed-4655-b2c2-ad769bb851f2</t>
  </si>
  <si>
    <t>8e31da98-a5d1-43a4-bd7d-08d389ccd9aa</t>
  </si>
  <si>
    <t>da832d82-ba12-4be1-a2c9-944bfa59c9dd</t>
  </si>
  <si>
    <t>cbd968ff-3af4-493b-86d0-9bbc1a0c9100</t>
  </si>
  <si>
    <t>5aa43efa-9173-40b1-9f33-ef2b4c7c77bf</t>
  </si>
  <si>
    <t>48ecb5f6-bd0f-4c88-b254-74e8e1eeb814</t>
  </si>
  <si>
    <t>43de4f4e-4813-4b98-ab3b-ebb116e0a569</t>
  </si>
  <si>
    <t>8be64d8f-9259-4536-bd9d-0c49e463c9f0</t>
  </si>
  <si>
    <t>b065373b-88fd-4ae4-a7be-ccb8f757453c</t>
  </si>
  <si>
    <t>1918512f-7d02-4e03-ad10-c321db9bd0d6</t>
  </si>
  <si>
    <t>d942d440-d71a-4c23-b5eb-45d4a4169c9a</t>
  </si>
  <si>
    <t>29e6a2dc-2570-4c76-980e-083ba8096bb5</t>
  </si>
  <si>
    <t>259d8be6-6afb-46b4-9309-14bfdcc9fedc</t>
  </si>
  <si>
    <t>6201f781-d2a6-4bbf-8f5b-afa83c412559</t>
  </si>
  <si>
    <t>87da6da3-1ae1-416f-9921-04e1baab18cc</t>
  </si>
  <si>
    <t>4f1eb263-76e7-42e0-abb7-99358e951730</t>
  </si>
  <si>
    <t>511909f0-3ab2-4929-a383-6bf74f93b74d</t>
  </si>
  <si>
    <t>6742cff9-8609-4f27-8de8-be461bde7a04</t>
  </si>
  <si>
    <t>4da089b3-2a0e-4bd1-ac95-1ba125bdcdbb</t>
  </si>
  <si>
    <t>e8877a7e-0591-420b-9a81-8b82659ab882</t>
  </si>
  <si>
    <t>6b128802-bdc6-4a16-ae1c-c0851167e752</t>
  </si>
  <si>
    <t>d0ff9097-bed0-480b-80d1-39777a50792c</t>
  </si>
  <si>
    <t>c85e8ff9-0e5e-482c-9ad6-35acd16cdeab</t>
  </si>
  <si>
    <t>2af8bfa6-3ab7-4f14-b71a-2ee5dfed5038</t>
  </si>
  <si>
    <t>6504d7a6-628f-4b67-b2cf-a62876bf65bd</t>
  </si>
  <si>
    <t>836644a0-fe8f-4c39-b62a-83472d9bb3b2</t>
  </si>
  <si>
    <t>5052efb5-c669-4b69-ad7a-41b06b9b3f83</t>
  </si>
  <si>
    <t>e14cce30-64ca-4c2d-a561-2a9e32794fae</t>
  </si>
  <si>
    <t>2434920b-19e0-4d33-b293-5186f5c88e2e</t>
  </si>
  <si>
    <t>be208dcb-f79d-44b2-9f69-75589499372c</t>
  </si>
  <si>
    <t>1ad45ded-1e86-4f41-ba2c-3fbb11a7228d</t>
  </si>
  <si>
    <t>804213f4-73b3-49d4-9f6b-cd8bfa09d279</t>
  </si>
  <si>
    <t>1f8a2969-be14-4b17-9ed0-bf7d9465c962</t>
  </si>
  <si>
    <t>f1ca4068-7914-4058-b276-a40d4e71d6c0</t>
  </si>
  <si>
    <t>8f316f59-314a-4dbb-9625-a9f1df648c0d</t>
  </si>
  <si>
    <t>755a116f-d5b7-40fb-b8f0-583c9b52cabc</t>
  </si>
  <si>
    <t>a5ceece0-c917-49f4-9c92-933093287117</t>
  </si>
  <si>
    <t>0a1cbeab-44e8-4366-bd31-9459dcce1ff0</t>
  </si>
  <si>
    <t>2d783eed-deb5-42b7-a7a4-d34408141253</t>
  </si>
  <si>
    <t>85ee2e04-1cd1-428d-a66a-e658f9ea48f7</t>
  </si>
  <si>
    <t>48af83bc-a382-4872-aa82-362c7d23c440</t>
  </si>
  <si>
    <t>32821491-7434-4977-b5d3-0c54c17d8869</t>
  </si>
  <si>
    <t>24eeadbe-2a30-47d8-8289-bced495414ac</t>
  </si>
  <si>
    <t>c4552960-5389-4827-bbc9-ecfa0c7fe071</t>
  </si>
  <si>
    <t>74643cfc-8bf9-48ce-a5e6-55a5f21ccbdc</t>
  </si>
  <si>
    <t>96c6e2cf-9715-47d7-adee-8e58478be793</t>
  </si>
  <si>
    <t>5662ddce-b424-441f-964e-014976f54537</t>
  </si>
  <si>
    <t>29e515ed-e8d3-4d25-a096-0a2f11c0db92</t>
  </si>
  <si>
    <t>a2f53cf0-4be4-4fb3-b256-99715f5310ca</t>
  </si>
  <si>
    <t>baff779b-6db6-4aa4-ae9e-612f8cd9965a</t>
  </si>
  <si>
    <t>2fd6c069-3088-425c-a103-2bcd39045412</t>
  </si>
  <si>
    <t>4a02d4be-9e81-47a8-a21d-ea56d82e1fea</t>
  </si>
  <si>
    <t>4f136098-a7fb-4473-aa86-4f7e140bde0f</t>
  </si>
  <si>
    <t>5e0dbf17-0568-41fa-8534-d5336c6ed89a</t>
  </si>
  <si>
    <t>748bc205-e205-481b-9012-60f0385f288f</t>
  </si>
  <si>
    <t>27aa06c2-806d-4fe0-8726-a94a767424eb</t>
  </si>
  <si>
    <t>7db5f79b-ebae-49a4-9055-a7562b285389</t>
  </si>
  <si>
    <t>0b0d12e0-e593-49fc-9dd2-e01b8a3ae121</t>
  </si>
  <si>
    <t>77da2104-80fc-4d65-a095-65dea123fe10</t>
  </si>
  <si>
    <t>eaa4e4e9-ea49-43c9-b49f-8c45fb8e7de6</t>
  </si>
  <si>
    <t>10b6058c-c637-4a3b-a909-ac130555ed0e</t>
  </si>
  <si>
    <t>2fbbb212-4c9a-4469-a001-4096ab2ed7f7</t>
  </si>
  <si>
    <t>8a68583c-6dde-4d14-bb90-e79e853f8bd5</t>
  </si>
  <si>
    <t>4ea67148-38ca-4688-9356-db14e56d6e10</t>
  </si>
  <si>
    <t>2a78a14e-2781-44c0-ba03-7f629d975429</t>
  </si>
  <si>
    <t>d5d149e7-5918-478c-8af0-889eb06e4352</t>
  </si>
  <si>
    <t>d03efca2-adbd-4d48-baef-f78d62d6be80</t>
  </si>
  <si>
    <t>da1de7f3-8d7e-4680-b47d-5ec0c205b9bc</t>
  </si>
  <si>
    <t>de668fb9-8638-4676-870f-d24a47bbc0f2</t>
  </si>
  <si>
    <t>b96a8da7-7c9b-42c5-b0cc-baec86acfd44</t>
  </si>
  <si>
    <t>0d8daa84-5a54-4736-9761-b882d3b559f3</t>
  </si>
  <si>
    <t>68f48b57-2a62-4da7-8e4f-b53aae8c1a4d</t>
  </si>
  <si>
    <t>ac1693b3-7df6-4456-88ea-51a21724661a</t>
  </si>
  <si>
    <t>192bc557-cd9b-4c14-a9e6-59ba96fc5f06</t>
  </si>
  <si>
    <t>9fb1ad76-eeb4-4e22-9533-4b94d89edf02</t>
  </si>
  <si>
    <t>61c1ced2-5271-40e4-92c8-e8425fd52143</t>
  </si>
  <si>
    <t>2c433864-b08e-4dfa-850b-395a36e84950</t>
  </si>
  <si>
    <t>60f0f4e0-3986-46e3-bb5e-64bdce9c045f</t>
  </si>
  <si>
    <t>d19fe356-f219-4624-ab6d-be53df6deee7</t>
  </si>
  <si>
    <t>54886261-722c-4032-b622-994f4a980926</t>
  </si>
  <si>
    <t>f99719f4-0dc6-4ed2-ac0f-2e1e88e7ac3e</t>
  </si>
  <si>
    <t>7c8e2129-fb3b-480c-b0eb-532a151812c5</t>
  </si>
  <si>
    <t>b1c7f131-45fa-4a53-ace7-1f538715e130</t>
  </si>
  <si>
    <t>b5f3fb8d-95f7-4df9-8180-e5ee8a46de70</t>
  </si>
  <si>
    <t>bc301b42-c7ac-43a0-afc4-f628d1ae8918</t>
  </si>
  <si>
    <t>cc58d787-d423-40ee-b1e5-706be95eaf7f</t>
  </si>
  <si>
    <t>27f90c43-00bd-4d09-bdec-1a865c679f00</t>
  </si>
  <si>
    <t>0cbfb2a5-ff94-4dbb-bcf9-6bc0bd5c9e95</t>
  </si>
  <si>
    <t>28f97812-a3ad-40e0-acf8-426a838504f1</t>
  </si>
  <si>
    <t>eb37cb89-507e-4390-8a9c-c9e1eafc2d50</t>
  </si>
  <si>
    <t>31f34c02-a3c9-4384-adff-a591b06a177c</t>
  </si>
  <si>
    <t>2446bd8f-e614-4a93-8c99-55c4824eba13</t>
  </si>
  <si>
    <t>a7abd60b-7a59-425d-9925-460987ec6c3e</t>
  </si>
  <si>
    <t>c82a8ee2-8c19-42f4-abb3-026a6c715e00</t>
  </si>
  <si>
    <t>9c015267-04ee-4b5f-bed8-0e10f6ea36ea</t>
  </si>
  <si>
    <t>603246c5-8c17-4aa7-8879-e1a5c9c3de87</t>
  </si>
  <si>
    <t>8d4039e2-37db-400c-9fd8-b63fbf875555</t>
  </si>
  <si>
    <t>30c4cfc2-15e7-4833-b4fd-8823d362118d</t>
  </si>
  <si>
    <t>fdd59d55-6bfb-497c-9858-42883d4ba3f6</t>
  </si>
  <si>
    <t>726e50be-3ae4-43c4-bd59-cdc406a8b056</t>
  </si>
  <si>
    <t>0c4e47e3-f426-4e0b-8436-3c91d02fda0c</t>
  </si>
  <si>
    <t>a49ad179-164a-4109-8353-b7589d8bf594</t>
  </si>
  <si>
    <t>6181e925-d5d8-46a2-af7c-2eb1e0880257</t>
  </si>
  <si>
    <t>59d3bc3f-9409-4911-b987-cb2ae9b89ccc</t>
  </si>
  <si>
    <t>9699568c-ea41-4c89-a184-a19fc876459c</t>
  </si>
  <si>
    <t>69cf6d62-9f60-4786-a2a8-afaedf87ce2e</t>
  </si>
  <si>
    <t>f7e430c4-029f-4ca6-9ca3-21ffca56f5bf</t>
  </si>
  <si>
    <t>2cf5aba4-6eca-419c-8a99-afbbe1cefbdd</t>
  </si>
  <si>
    <t>8d1de553-e0ea-429f-9791-f55fa8c99ee1</t>
  </si>
  <si>
    <t>6944e76f-c877-4782-bd47-8689b418d091</t>
  </si>
  <si>
    <t>e4b13240-43a4-49e6-be12-bf70f69d9492</t>
  </si>
  <si>
    <t>349a9d0c-f5b0-49df-991e-1d628d2f47c1</t>
  </si>
  <si>
    <t>336159c4-7a7a-4ece-ac14-dbba1de63e4a</t>
  </si>
  <si>
    <t>c91f11ac-68fe-4303-8f44-8a4dc3d1e0fe</t>
  </si>
  <si>
    <t>f03980f5-58c2-46b6-ba61-55c5b71c3471</t>
  </si>
  <si>
    <t>5c9f4154-4962-4f0f-abf5-db4f2a8ce2d5</t>
  </si>
  <si>
    <t>9547beca-dd1e-4da8-8a3e-d121eabe920c</t>
  </si>
  <si>
    <t>d40c5b24-8646-4128-8fec-6e005d4bcaff</t>
  </si>
  <si>
    <t>dace8b80-194b-410d-8eec-5df2afb17310</t>
  </si>
  <si>
    <t>da591410-ac89-4bdb-9dbb-a4dc0a514350</t>
  </si>
  <si>
    <t>2448e353-eaa6-48b3-9c84-b1555faf5d2c</t>
  </si>
  <si>
    <t>9e13a612-6c1e-461d-b830-e77e5752c2b5</t>
  </si>
  <si>
    <t>f79fecc8-b33e-43ec-b850-521380e615e7</t>
  </si>
  <si>
    <t>f00775f8-f70a-47e2-84c2-7597aab3b430</t>
  </si>
  <si>
    <t>5f071653-25b3-4940-82b2-74a44cb5c052</t>
  </si>
  <si>
    <t>37a544e5-7dc7-42f1-916b-23a259fac590</t>
  </si>
  <si>
    <t>13f860f3-73e4-4d7b-a6e6-82a7d0fe8df5</t>
  </si>
  <si>
    <t>8a72143c-e6b8-4331-81a6-49dcdd78a0f1</t>
  </si>
  <si>
    <t>28720c21-9466-4e16-8b15-047adae95389</t>
  </si>
  <si>
    <t>cf1eb3c5-c14c-444f-8151-a67ff76800d2</t>
  </si>
  <si>
    <t>ad9257ea-3056-4867-a4d3-7b1938405649</t>
  </si>
  <si>
    <t>6c75b88b-30d4-4109-83c6-f5134fe42195</t>
  </si>
  <si>
    <t>0332dbab-ce6a-4eea-89f0-6b9e1c42eb21</t>
  </si>
  <si>
    <t>c2ddd5b7-5938-46f1-bfc0-321c571ebf9e</t>
  </si>
  <si>
    <t>908e07ff-9c66-4f3a-9cd4-ed1255c83eb8</t>
  </si>
  <si>
    <t>fa62964d-e8b9-4bd8-8fbc-9c75ae934fb4</t>
  </si>
  <si>
    <t>f596990e-f36d-4914-b29e-9d87c99b200e</t>
  </si>
  <si>
    <t>4963d404-5a22-4183-91a7-5c71db5f56a4</t>
  </si>
  <si>
    <t>5686a1f4-1250-4376-be77-51e222766d37</t>
  </si>
  <si>
    <t>4a369b32-499f-4112-adf5-0f739ffbf8bb</t>
  </si>
  <si>
    <t>57df5806-e920-48df-842e-361487781af6</t>
  </si>
  <si>
    <t>2ce109a0-456f-49fe-a40f-78fdf4ac5223</t>
  </si>
  <si>
    <t>0fde2e42-e7af-4ec6-b51a-b74b5c410f03</t>
  </si>
  <si>
    <t>a76aab6a-4b42-46ab-8898-91351e25d969</t>
  </si>
  <si>
    <t>2f77b396-4687-4189-9781-dd7edec088d1</t>
  </si>
  <si>
    <t>30e42314-3fe5-49e7-a758-dabd45d5901c</t>
  </si>
  <si>
    <t>b55aada5-7b8d-4cbe-b982-6e6fca8fc19c</t>
  </si>
  <si>
    <t>5e4a0b86-f639-4aad-a38c-7646c7bb15d3</t>
  </si>
  <si>
    <t>2a070e0e-0d08-4966-b857-0c57eeef4931</t>
  </si>
  <si>
    <t>65220108-67b8-4631-8497-059168fcc464</t>
  </si>
  <si>
    <t>4962cffe-c225-4f8c-95b2-7207a1655a4a</t>
  </si>
  <si>
    <t>05d6e70e-6bff-4918-acba-50f76ac58cde</t>
  </si>
  <si>
    <t>a3de6da6-d59c-4320-b4b9-d32404bc7a1b</t>
  </si>
  <si>
    <t>e1886207-6d8b-4bcd-b6e9-0c7d7ce1b4ac</t>
  </si>
  <si>
    <t>534be4c3-45bc-486d-8658-21c32fae814e</t>
  </si>
  <si>
    <t>f4ab24a6-9bbd-4a0b-8dc1-d1388e1a5882</t>
  </si>
  <si>
    <t>0fdd6b51-cf89-4a42-9064-c88c90581acc</t>
  </si>
  <si>
    <t>75fc6688-6d38-4b76-b145-c80552130679</t>
  </si>
  <si>
    <t>d91ac4c6-6023-43e1-bc0e-1c1cdbde66ec</t>
  </si>
  <si>
    <t>af21db09-b0d1-42c7-92e6-170170f5dcf8</t>
  </si>
  <si>
    <t>3e14ef2e-8a50-40e8-bbf2-b895124d1486</t>
  </si>
  <si>
    <t>ad125cf7-946f-459a-a3d0-08d36748b7aa</t>
  </si>
  <si>
    <t>f0701754-e783-414c-83de-af8cd9d920ed</t>
  </si>
  <si>
    <t>0427866b-c3da-4794-aa74-b13e9f30fa17</t>
  </si>
  <si>
    <t>d5c36d65-43eb-4fe6-9d73-ccf70a6f7147</t>
  </si>
  <si>
    <t>c8065825-f4d7-4db3-bede-5005691ad175</t>
  </si>
  <si>
    <t>c4ced673-112c-4495-8f48-59d22c09b8c2</t>
  </si>
  <si>
    <t>fd2a90b1-b171-4416-a473-4272aeb1b7e8</t>
  </si>
  <si>
    <t>2b7823a3-a277-4ca0-8e70-a52608a32549</t>
  </si>
  <si>
    <t>5da32a38-7c53-4ab3-931f-1754150c1f06</t>
  </si>
  <si>
    <t>58ddda92-44e9-4eef-b2e4-4de06813de2b</t>
  </si>
  <si>
    <t>cd86abe1-15ef-44ca-b9a4-32abe32000aa</t>
  </si>
  <si>
    <t>c6572bf6-9c30-46d1-8ce6-bce9dc55b9f2</t>
  </si>
  <si>
    <t>64eae788-ea19-403a-b2d5-9bc9d1c8ce12</t>
  </si>
  <si>
    <t>5b8abdb0-207f-4ed1-8d13-2dad5f5e78eb</t>
  </si>
  <si>
    <t>0c91f352-514c-4e46-ab16-72812c7009d7</t>
  </si>
  <si>
    <t>11ddc5c8-23f4-4a8d-b75a-20197df401c2</t>
  </si>
  <si>
    <t>9dbdf5a9-9d16-4ade-8c3f-2c0b86636f60</t>
  </si>
  <si>
    <t>db573cbd-d6ca-4847-bc94-0e0f5114cf63</t>
  </si>
  <si>
    <t>3efc3a71-b34c-4ce8-9087-ccd589ea2529</t>
  </si>
  <si>
    <t>ed62d057-7b85-4de7-8fd1-9a0a213eef6e</t>
  </si>
  <si>
    <t>70e18920-01ef-4210-99cb-b4cb5f6dd5fd</t>
  </si>
  <si>
    <t>c8a92289-6e3a-418e-acf6-c0ebcd93983c</t>
  </si>
  <si>
    <t>f6b656ba-bd37-441a-bdf4-96b2f5544fd4</t>
  </si>
  <si>
    <t>b1c51dbc-523f-466a-a72c-c18d0d619b84</t>
  </si>
  <si>
    <t>d1e5e19b-7960-4444-a337-c013a33bde09</t>
  </si>
  <si>
    <t>3c5478e3-eabc-4103-af2c-c132af2998e7</t>
  </si>
  <si>
    <t>be88bd89-226e-4349-90e1-8647f88bb5d0</t>
  </si>
  <si>
    <t>621b894b-261a-41dc-88a3-ea6d863a3a61</t>
  </si>
  <si>
    <t>312f4113-ca71-436a-a016-ae45958ddde4</t>
  </si>
  <si>
    <t>8a8fdc4a-6ccc-4b32-8414-20be994692ab</t>
  </si>
  <si>
    <t>b5b425c5-c4b6-48c4-95e3-53792305f6ed</t>
  </si>
  <si>
    <t>3af35d63-33c0-4d72-868d-e485331e0da6</t>
  </si>
  <si>
    <t>265c20dd-90b0-4fd3-8429-1dd4bf918af3</t>
  </si>
  <si>
    <t>4d1a6974-a684-474e-b47c-b1496352e95c</t>
  </si>
  <si>
    <t>e104b113-a9e7-459f-b196-cff5c6de9f12</t>
  </si>
  <si>
    <t>1c80d5ad-8367-4894-ab6f-cdda4c5504af</t>
  </si>
  <si>
    <t>a1a1755e-9ef6-4af4-b331-444e2756dac4</t>
  </si>
  <si>
    <t>3e7e8f60-1fc1-411f-886b-3964cb9bc807</t>
  </si>
  <si>
    <t>65dd53bb-6b66-46c4-87c5-137dbed15bf6</t>
  </si>
  <si>
    <t>e49ded88-29f1-40f8-8048-5ef1a30eeef6</t>
  </si>
  <si>
    <t>8cbfe936-992a-436f-b005-6edb06018847</t>
  </si>
  <si>
    <t>e604834b-2b48-44dd-9e24-19fad4c81602</t>
  </si>
  <si>
    <t>5e1c9374-3032-4e45-94a3-db149205ce0f</t>
  </si>
  <si>
    <t>705577ba-484d-47f0-a553-d4c2c88d6e51</t>
  </si>
  <si>
    <t>c0ed6375-b0bf-4897-9435-3e60e03248ab</t>
  </si>
  <si>
    <t>9fcf07e7-abc3-4ef6-b1d5-26a6561d25d6</t>
  </si>
  <si>
    <t>91688b35-d725-4ac5-85f8-981a9a75b06d</t>
  </si>
  <si>
    <t>f0dbbaf0-b2d7-48d5-8248-073986908b40</t>
  </si>
  <si>
    <t>a1156a6b-62a3-4cea-b7d3-27592e8f26ed</t>
  </si>
  <si>
    <t>d698584d-c6aa-4a57-8eed-0d8db2d2f633</t>
  </si>
  <si>
    <t>81e5428b-a03d-4f53-b150-00aef1d1ed68</t>
  </si>
  <si>
    <t>1e1534ac-8c70-4298-a7e0-eb74462ae000</t>
  </si>
  <si>
    <t>716fec9a-d973-48ec-b5f2-84f4dfe78298</t>
  </si>
  <si>
    <t>8de45d20-3cb2-408d-b886-1b1d58ac37ba</t>
  </si>
  <si>
    <t>379c1838-fe78-4132-a7fc-df948703a0ac</t>
  </si>
  <si>
    <t>0e467f42-e276-4bee-a032-de91fc0571c2</t>
  </si>
  <si>
    <t>1e8561ec-4905-42f6-b4e3-2310e45227e0</t>
  </si>
  <si>
    <t>90dcefd9-b407-45eb-9937-cf0b0177eb10</t>
  </si>
  <si>
    <t>e5ba349d-d3a4-4822-870b-d333152133db</t>
  </si>
  <si>
    <t>fca4d57e-e22e-48e2-9d1a-42b750452c25</t>
  </si>
  <si>
    <t>0f772e7e-f71a-4fd0-ac87-50db06d4f263</t>
  </si>
  <si>
    <t>3a2ab379-e2b1-468e-ae54-72c784616788</t>
  </si>
  <si>
    <t>eb6e6610-5f80-4552-8839-ce4d88ada950</t>
  </si>
  <si>
    <t>823f3d4a-da40-4f0e-85f7-83e3fd0aa351</t>
  </si>
  <si>
    <t>85bc0dad-26b3-429d-83e8-486559bb4640</t>
  </si>
  <si>
    <t>0b920c5c-a312-4356-b9d0-c3eb4e3ca486</t>
  </si>
  <si>
    <t>ce2d5b7f-5c98-40ac-a6fc-e3f23ad7878d</t>
  </si>
  <si>
    <t>9d143754-01a5-444d-8f02-acf85b51c55c</t>
  </si>
  <si>
    <t>d2d7893c-27c4-4cc7-8e40-69e4e83eb358</t>
  </si>
  <si>
    <t>e4f235d2-1867-4741-813e-9896f760ceb6</t>
  </si>
  <si>
    <t>f1a06b3f-5500-4988-b7dc-551304c90e22</t>
  </si>
  <si>
    <t>3a91fac6-fd28-464a-990f-f0a533d2efe0</t>
  </si>
  <si>
    <t>8b07719a-4f23-4e50-9abb-dec1929755e3</t>
  </si>
  <si>
    <t>49b74cc7-4736-40f6-9f72-e9c98a787c08</t>
  </si>
  <si>
    <t>0c1ed830-7fe1-402b-af4a-ab7e722c2a49</t>
  </si>
  <si>
    <t>289cbf03-97f2-4c1c-98ef-7785ccdc0e94</t>
  </si>
  <si>
    <t>68dcbeb3-fa40-459b-abbc-27190252dab6</t>
  </si>
  <si>
    <t>5f182706-5f96-4d9c-a103-3796e3a0a612</t>
  </si>
  <si>
    <t>3b11af3e-fe5a-497a-adbd-910ed6f6f306</t>
  </si>
  <si>
    <t>20cec3d1-26e8-4b68-9d5e-92c9482ef377</t>
  </si>
  <si>
    <t>54d6bb24-4e69-44e2-ba19-a846cf648335</t>
  </si>
  <si>
    <t>f3d82ff4-05d0-4513-9254-a267db8be887</t>
  </si>
  <si>
    <t>3bbee81c-510a-490a-84fe-a3a2e42ba220</t>
  </si>
  <si>
    <t>60218360-9629-4cba-a91b-111951e7dbba</t>
  </si>
  <si>
    <t>4d99f63f-df13-4e54-aec1-1f0e77dee138</t>
  </si>
  <si>
    <t>359d092f-2884-4cad-adec-5c3bfe2fbf76</t>
  </si>
  <si>
    <t>a8694f04-0d6f-4b18-851a-2b5496bbc394</t>
  </si>
  <si>
    <t>b0fac61e-b41a-4aa5-8217-1763c5237337</t>
  </si>
  <si>
    <t>02c36826-da5d-41b3-8b8e-5b58add0c339</t>
  </si>
  <si>
    <t>dd44a6d0-4997-487f-adf0-e85f537dd45b</t>
  </si>
  <si>
    <t>773c2c9b-59c4-4667-994d-bd42b87aa403</t>
  </si>
  <si>
    <t>b1db9aaf-739a-4e1a-9453-1cb51ed562f1</t>
  </si>
  <si>
    <t>3a7885b6-fc27-4105-a779-97bcf7d1dca7</t>
  </si>
  <si>
    <t>06d51e8e-ef9f-4ccf-9b6d-219e97b15fb3</t>
  </si>
  <si>
    <t>daef3dd3-ac49-43e3-a90e-e44f45af8dca</t>
  </si>
  <si>
    <t>b8a66042-638c-4b8e-88f1-6b9c7d094bb4</t>
  </si>
  <si>
    <t>f78f3759-9ff6-483b-a277-695810b0b8eb</t>
  </si>
  <si>
    <t>4287473b-57b4-44f6-bdc2-8bb70a8c5b85</t>
  </si>
  <si>
    <t>d40f741a-92e1-4547-addd-775eed289441</t>
  </si>
  <si>
    <t>29ccf1c2-c56f-47bc-ba23-cc40f58076b9</t>
  </si>
  <si>
    <t>5875264a-d7cf-4f6b-8be6-9cb4ed78142b</t>
  </si>
  <si>
    <t>01d86d59-a20f-4d2e-9cb4-b9157a6b13e8</t>
  </si>
  <si>
    <t>3ff1f7f8-d578-48f8-9466-7550c3aa0e85</t>
  </si>
  <si>
    <t>c33445ab-e7a6-4218-a199-579ec286d04e</t>
  </si>
  <si>
    <t>6b257294-0226-467c-8767-3ef94c7fb2c7</t>
  </si>
  <si>
    <t>145159fa-cfd1-4b9c-9848-f80631497bb6</t>
  </si>
  <si>
    <t>b28905eb-a713-4f51-88ca-e264d2667f54</t>
  </si>
  <si>
    <t>33748f75-2183-410f-80f1-6137f15dc6cf</t>
  </si>
  <si>
    <t>f1f9e87c-d5a6-4315-be58-ef2992d3d185</t>
  </si>
  <si>
    <t>29a594bc-1ca1-4272-b9d4-1ac2fcd0cdc6</t>
  </si>
  <si>
    <t>8c6678d2-f486-428d-9ea2-a9a54ffb5246</t>
  </si>
  <si>
    <t>d85626a4-48c9-4746-b073-3348864324f5</t>
  </si>
  <si>
    <t>2dd6f780-0831-4779-ab97-f913ed0b48f6</t>
  </si>
  <si>
    <t>94c8b781-f9eb-4dc1-932d-ab47ad51d042</t>
  </si>
  <si>
    <t>a18cb579-6dd3-484e-abd9-65846d31bca7</t>
  </si>
  <si>
    <t>fa54d330-b6a8-4c39-b245-9527bb483378</t>
  </si>
  <si>
    <t>58569d71-b1d2-4226-b524-8fd1bacb5453</t>
  </si>
  <si>
    <t>c03878ff-cce3-496a-8055-b5baa510084b</t>
  </si>
  <si>
    <t>945ebe95-ca44-41f5-b1fa-dfdefa4e0477</t>
  </si>
  <si>
    <t>b4f48ac9-19a5-4f4f-a5d4-8465f8b8a7d0</t>
  </si>
  <si>
    <t>a75fc3a1-677e-408b-bc43-8cd272905092</t>
  </si>
  <si>
    <t>ed74b109-325f-44b5-9d66-619bb2a8fff0</t>
  </si>
  <si>
    <t>33aa069d-a514-4c4e-b8c5-eaf9d20831aa</t>
  </si>
  <si>
    <t>8c979501-9968-4e5b-8eca-8c22405a899c</t>
  </si>
  <si>
    <t>63c5a3e5-1b7d-423b-9a8e-b93e8ff2ad3b</t>
  </si>
  <si>
    <t>649c03f7-478d-439f-abcf-260688117cc7</t>
  </si>
  <si>
    <t>cc3cdc8d-b2ec-48c3-8c50-5e597443296e</t>
  </si>
  <si>
    <t>2a4a6121-e607-49f7-82ea-6c12297affec</t>
  </si>
  <si>
    <t>b8602659-ced8-47b6-bb1e-34036163c025</t>
  </si>
  <si>
    <t>686dbe54-31da-48de-aa5e-23209628ee30</t>
  </si>
  <si>
    <t>1f364296-f23f-4f4e-ac15-ca0328004750</t>
  </si>
  <si>
    <t>5b1d9cf7-d09c-4a2f-91c8-79ea213f3afb</t>
  </si>
  <si>
    <t>9b9602a0-2fd0-4a2e-be3a-de02542e3286</t>
  </si>
  <si>
    <t>d37955be-29fb-42e9-b9fc-2795dfd2a381</t>
  </si>
  <si>
    <t>3c0cf898-1a00-4d16-a4ed-7f09fa5e71ea</t>
  </si>
  <si>
    <t>c7624725-b91d-4eec-a065-0430f9e4a8ce</t>
  </si>
  <si>
    <t>80f1cdaf-3225-4f44-8b1c-f88bbcae57c5</t>
  </si>
  <si>
    <t>d05d78b2-4a68-4819-b944-28ac99f3815b</t>
  </si>
  <si>
    <t>7d960bb3-0274-4b69-9d07-11e7af87ba70</t>
  </si>
  <si>
    <t>9804713b-61de-44a9-9efc-14e520018481</t>
  </si>
  <si>
    <t>e1a08473-db17-4a07-b888-b4425368aedb</t>
  </si>
  <si>
    <t>d18edc72-d117-4491-b73f-f6f4761c36cb</t>
  </si>
  <si>
    <t>90b0ee93-dabc-4e96-851b-e5865bb02fa0</t>
  </si>
  <si>
    <t>7d592a84-c9c5-41ef-9e95-56182f1d657d</t>
  </si>
  <si>
    <t>51a37845-1b53-450c-9e65-83d462be3270</t>
  </si>
  <si>
    <t>2728bf13-764f-44da-8938-0c1cea146b4e</t>
  </si>
  <si>
    <t>ced8bb43-4628-43bb-8018-eeb25fc8403e</t>
  </si>
  <si>
    <t>6fb791ca-5124-4149-a445-b9f1bc40d990</t>
  </si>
  <si>
    <t>4c4f7973-829d-48bd-91db-1f96ce1d6f24</t>
  </si>
  <si>
    <t>cdfd06c1-7e1f-4ffa-b89e-25e3e41f4753</t>
  </si>
  <si>
    <t>0d327452-6657-45d3-9260-cd9ae68ffaa2</t>
  </si>
  <si>
    <t>3e0f7e65-9dcb-4da1-8166-d0a10d92fa58</t>
  </si>
  <si>
    <t>292f4ac4-71bf-44e2-b8b0-5b594a9456e4</t>
  </si>
  <si>
    <t>dbec6e5e-d9f4-4a31-bb2d-c48788f08448</t>
  </si>
  <si>
    <t>4b6003ad-5e2a-404e-b955-b4ec6a1d4123</t>
  </si>
  <si>
    <t>bbd0e803-568b-4574-b260-a96efbeae309</t>
  </si>
  <si>
    <t>b1559fc5-f350-4930-ac2d-cfb347693b93</t>
  </si>
  <si>
    <t>4297b6ab-e01f-472c-b2f0-755deabddd30</t>
  </si>
  <si>
    <t>29b4a514-5220-40d8-bd70-aeb73d08831e</t>
  </si>
  <si>
    <t>96b7db3f-0a45-4260-b8e2-6d04c2f7c0b0</t>
  </si>
  <si>
    <t>b33e028b-37e2-4b60-8348-a57a9ae8ef42</t>
  </si>
  <si>
    <t>8f29694d-8b10-433d-908c-f78f736ae40d</t>
  </si>
  <si>
    <t>569bdc25-e6f9-4f99-bcfe-2ae85a5e944d</t>
  </si>
  <si>
    <t>a0f51fd3-d44e-478a-93e5-8eb103aae837</t>
  </si>
  <si>
    <t>92be0d20-ef42-48b9-9cd3-70aa8eb6146a</t>
  </si>
  <si>
    <t>bd2970f9-92ce-4192-b80c-ff83cea87bd3</t>
  </si>
  <si>
    <t>01bd144a-479e-4317-adff-8138388bf998</t>
  </si>
  <si>
    <t>4143f442-9590-4552-9eb3-baf1ca0326a9</t>
  </si>
  <si>
    <t>dd151820-42c3-401b-aae1-c49ced57a6ba</t>
  </si>
  <si>
    <t>0f6d5e13-d94d-4174-a035-caa2518c017d</t>
  </si>
  <si>
    <t>a55184ff-cd24-4248-893a-4e0f93d91e47</t>
  </si>
  <si>
    <t>93479576-2563-451f-9752-120784c76ef2</t>
  </si>
  <si>
    <t>8b2f90cf-d08b-4b9e-9583-c415a383050d</t>
  </si>
  <si>
    <t>bc1b324c-f66d-4f60-a8ec-525fe6456ab4</t>
  </si>
  <si>
    <t>5b351e23-f3ca-4a7e-ba50-b2ae9b7071fc</t>
  </si>
  <si>
    <t>10cb1231-2c52-4636-9837-3d00cd32ff99</t>
  </si>
  <si>
    <t>c7ca1a28-e92a-4008-8150-db0bce34b03f</t>
  </si>
  <si>
    <t>2014280f-4223-404a-b077-e79ba9a79cff</t>
  </si>
  <si>
    <t>49abfdda-f725-47f1-9ecc-e56a426dfc43</t>
  </si>
  <si>
    <t>b568aacf-dd27-46b8-acf1-522c7de59985</t>
  </si>
  <si>
    <t>8bac7b01-376b-4d3c-8134-965683795f55</t>
  </si>
  <si>
    <t>b181b75f-cb87-48eb-bbd0-fca933dcd395</t>
  </si>
  <si>
    <t>40061953-706e-4329-919c-faa927a9adbe</t>
  </si>
  <si>
    <t>4de7f66c-71a9-4b46-841b-1690269e98a2</t>
  </si>
  <si>
    <t>4a448cc6-5759-4e8d-bdbb-ab728bfb7dc8</t>
  </si>
  <si>
    <t>e774b29a-b846-4025-b71f-7085b26d3420</t>
  </si>
  <si>
    <t>476d4337-26cd-4f3f-9b78-06e0947f59bb</t>
  </si>
  <si>
    <t>f1988b5f-524e-4a99-b3ab-e4c5398f7eaf</t>
  </si>
  <si>
    <t>79d10348-fba6-4e7e-98bd-848c1da87c90</t>
  </si>
  <si>
    <t>de5dd7c7-007d-48fb-b46e-86834df7030b</t>
  </si>
  <si>
    <t>ea28c5f1-320b-41e9-b363-0ef8ff11f147</t>
  </si>
  <si>
    <t>b1e73481-ba55-4b0f-bb94-f5221888d790</t>
  </si>
  <si>
    <t>726acbef-b894-44aa-8827-f99fa541dba9</t>
  </si>
  <si>
    <t>15e78333-7be0-47c1-9440-6ea1da4f9bf5</t>
  </si>
  <si>
    <t>650bb2dc-df1e-4744-af4d-e4f2d7016c6d</t>
  </si>
  <si>
    <t>e5d35061-0c80-43fa-953d-837443a4dbec</t>
  </si>
  <si>
    <t>524a08da-9a15-4796-b930-736dd4567d90</t>
  </si>
  <si>
    <t>75cdaf88-6cad-4a52-9264-53dae3afdb4d</t>
  </si>
  <si>
    <t>d6eeb750-a12f-49ef-943b-d4a5c4d88907</t>
  </si>
  <si>
    <t>0594396c-a1e1-4efb-9baf-6a80716d7c3d</t>
  </si>
  <si>
    <t>df80bc8e-d8fe-4ef3-b31d-ce38a91fce7d</t>
  </si>
  <si>
    <t>2afaa2bf-afe8-40eb-851b-c076bd9217e7</t>
  </si>
  <si>
    <t>c36ba462-46a7-48a7-afb6-b036750f996b</t>
  </si>
  <si>
    <t>0f606a5d-9a63-4f00-8415-9d6cad41e08f</t>
  </si>
  <si>
    <t>4959fbc6-301c-4a74-8e4d-2c186f722e1f</t>
  </si>
  <si>
    <t>45153cbc-4c45-48cd-a927-33113dc00dab</t>
  </si>
  <si>
    <t>b4775d32-426f-4619-a30c-67a3ae73d1a0</t>
  </si>
  <si>
    <t>8a589bd6-5856-45e9-87f9-68ddda842c4e</t>
  </si>
  <si>
    <t>7121f2ba-7291-4d14-9df7-37b1497c8aa9</t>
  </si>
  <si>
    <t>51912caf-1e03-4ac7-bfec-e899a2e2375b</t>
  </si>
  <si>
    <t>2e3817d2-1fd0-433a-8474-6855663ba1f9</t>
  </si>
  <si>
    <t>0ac9c1a1-94b9-4894-af59-6a34ebcf14a1</t>
  </si>
  <si>
    <t>9eb8ecc6-c7d1-4c2f-bf34-24ef39c577e7</t>
  </si>
  <si>
    <t>bb578c23-5a0d-474b-ba68-14cacc9b4081</t>
  </si>
  <si>
    <t>f4bdfc41-dee0-4457-adf1-0b83d61b8173</t>
  </si>
  <si>
    <t>7b439716-513e-46a3-bcec-9f8fec82101a</t>
  </si>
  <si>
    <t>7d20bfbe-3a36-4eb8-b237-cab70920d527</t>
  </si>
  <si>
    <t>afe5a05c-8165-4767-82e8-28d0b6e55136</t>
  </si>
  <si>
    <t>64cba960-e172-4db3-bc0e-a4fa5fc127bf</t>
  </si>
  <si>
    <t>208fecb9-40fb-47aa-8e3b-e5d28faceea9</t>
  </si>
  <si>
    <t>cd65a2dd-4f9a-4224-be7e-e03baac13687</t>
  </si>
  <si>
    <t>78abf564-eebc-4086-bc72-2fbd79dd9e36</t>
  </si>
  <si>
    <t>0890811f-0a70-4caa-b8ca-adadcaa4a826</t>
  </si>
  <si>
    <t>dfe87834-58da-4fd1-a688-16b7b5c1b8d9</t>
  </si>
  <si>
    <t>94b29841-fd9f-44c6-8e2d-8ae244c7bb83</t>
  </si>
  <si>
    <t>483f9f34-14a6-4344-802d-8e371c06e157</t>
  </si>
  <si>
    <t>b1b25b17-bfbe-450f-911b-0f187ae6abf2</t>
  </si>
  <si>
    <t>a8821e0c-35c7-4279-a9e9-96984c838262</t>
  </si>
  <si>
    <t>6363f1fd-5f4f-43b0-8783-10fa9507fc8c</t>
  </si>
  <si>
    <t>5a169042-6120-4528-be22-c8d81582246a</t>
  </si>
  <si>
    <t>9ce8ebe2-7dde-428f-8f8d-ac7e2b101845</t>
  </si>
  <si>
    <t>353a480d-6ee8-4588-acc6-6a1c77363429</t>
  </si>
  <si>
    <t>1fa5ff55-f380-45bd-90ce-c8b35b0b0b29</t>
  </si>
  <si>
    <t>b4f7b5d3-e138-46cd-b77b-2b28b70e2890</t>
  </si>
  <si>
    <t>73cfea7d-a454-4e3a-84cc-ff274688a6da</t>
  </si>
  <si>
    <t>ac24a40c-5ab4-4d57-a3dc-de7c86de4672</t>
  </si>
  <si>
    <t>c4930dd2-fa40-487d-bbcc-51b3deb135f4</t>
  </si>
  <si>
    <t>ea91b8ee-58bb-416f-a519-8dad286fb595</t>
  </si>
  <si>
    <t>64c41a05-5d70-4d73-8292-23194f167da1</t>
  </si>
  <si>
    <t>a97b4197-7c89-4078-a3b1-1618f4bb35be</t>
  </si>
  <si>
    <t>3eb3d13f-9afa-4f01-b614-cb93795727e2</t>
  </si>
  <si>
    <t>4a1f3508-77ef-493d-89bd-128026651e39</t>
  </si>
  <si>
    <t>35c0fc78-a2d0-48ca-abf3-50215ae8a6bd</t>
  </si>
  <si>
    <t>4d598004-cc29-4049-9b5e-03f101b399aa</t>
  </si>
  <si>
    <t>2288c274-d686-4215-a9ef-9c82b313ca16</t>
  </si>
  <si>
    <t>c6f9d8c6-d3c1-4ee0-8638-12a29a11b9f6</t>
  </si>
  <si>
    <t>798df618-0e1b-4813-b0cd-953babc73710</t>
  </si>
  <si>
    <t>12a1dc68-9813-4265-8355-2821cfe623f4</t>
  </si>
  <si>
    <t>fdad9d0d-c631-4e4d-8914-cbe37e5ada02</t>
  </si>
  <si>
    <t>1cfad5a4-c54f-412c-963d-e8d6a9872147</t>
  </si>
  <si>
    <t>27d3f54e-a464-47de-add1-24b30505915a</t>
  </si>
  <si>
    <t>b7bf27b3-b9d0-40ad-a300-07ce865127b5</t>
  </si>
  <si>
    <t>f2e2c480-fa67-4014-aa27-fcb2cbac5a81</t>
  </si>
  <si>
    <t>124273e4-98b8-41b3-a877-da1a539fd702</t>
  </si>
  <si>
    <t>c4c869e3-2a17-4ff7-ad41-f39de0b214a6</t>
  </si>
  <si>
    <t>b96ec9d5-8be9-40d2-8edd-18ca8c2b62ce</t>
  </si>
  <si>
    <t>6c85e576-941f-4976-be30-658881607d79</t>
  </si>
  <si>
    <t>f4d3a933-cecf-432e-a547-6cba6db72612</t>
  </si>
  <si>
    <t>6491574f-763e-40b9-8630-2905c89598b4</t>
  </si>
  <si>
    <t>5bb9b80c-71bb-4f64-8e1e-62eea2969362</t>
  </si>
  <si>
    <t>4a944c24-87b1-4079-9f7a-e28f03eb42ce</t>
  </si>
  <si>
    <t>3a1aa0e3-db3a-4d9b-be76-32b37f9bda3b</t>
  </si>
  <si>
    <t>464c6df6-9bf3-4c1a-b5cb-6084d36bdc76</t>
  </si>
  <si>
    <t>f8719eb0-ad2d-4bfe-a717-208df926d394</t>
  </si>
  <si>
    <t>6268a9d3-6896-4681-9ba0-8b8024f38dd8</t>
  </si>
  <si>
    <t>1894c80f-a3e7-4e01-8c22-64c8d49b7f43</t>
  </si>
  <si>
    <t>ec2502b6-b5fb-4b48-b06c-99c0ced63970</t>
  </si>
  <si>
    <t>23c9fb16-14b9-403b-a1b7-6a6f53e3acdb</t>
  </si>
  <si>
    <t>ea180b24-4885-4db7-9994-cce672820151</t>
  </si>
  <si>
    <t>08fe30ec-1bc5-4108-a10b-af01acfe22c9</t>
  </si>
  <si>
    <t>0cb93236-178f-4c4e-bd3e-483e49924f08</t>
  </si>
  <si>
    <t>85d23b5e-2312-4e0a-89e6-3ffb241653d1</t>
  </si>
  <si>
    <t>322db8fc-2a16-4349-9903-eb8f9d0dab92</t>
  </si>
  <si>
    <t>4fc0a4e1-30e1-4df5-bcb5-ec7db9fc1fd9</t>
  </si>
  <si>
    <t>1fab6177-f5c3-4f5d-8d6a-76fceb9054bb</t>
  </si>
  <si>
    <t>4ccbe775-c172-4f1f-8642-3831c4be2f2f</t>
  </si>
  <si>
    <t>5505ca45-e465-42b1-9dbb-d434bae74e1d</t>
  </si>
  <si>
    <t>31d940d1-a325-4bf8-9eed-c71d7f9d4eaa</t>
  </si>
  <si>
    <t>295d68cc-7359-4604-96c2-2e0464dc5e5d</t>
  </si>
  <si>
    <t>03c4d4ba-1def-4e5d-b87e-3d62069d1660</t>
  </si>
  <si>
    <t>5a0dd0f3-f6e4-4713-8e89-d695cb0e2ce9</t>
  </si>
  <si>
    <t>b33a9ce3-60a4-4e4f-8d8c-51c7944b4c0e</t>
  </si>
  <si>
    <t>dec07619-7502-4afa-8066-bd69a8109611</t>
  </si>
  <si>
    <t>bd1e4061-1540-4680-846c-316f10d23c63</t>
  </si>
  <si>
    <t>ee8d7b44-2acb-4285-853e-a3d9e4dd01b4</t>
  </si>
  <si>
    <t>386fbae9-f1d7-4b31-bc8c-3b08e6c32cde</t>
  </si>
  <si>
    <t>b7bd8b48-bd4f-4574-bed3-ccfc89c24233</t>
  </si>
  <si>
    <t>a912d984-3920-46d0-9b82-334da50596d2</t>
  </si>
  <si>
    <t>6a52efe8-8cea-460e-99f2-cabd86754fc4</t>
  </si>
  <si>
    <t>728b75b1-a1eb-46e2-84e4-244ba0067b1f</t>
  </si>
  <si>
    <t>49814a80-cbd1-49cb-a490-890133c2bf47</t>
  </si>
  <si>
    <t>992b007f-65e9-4673-9136-55062a615c1c</t>
  </si>
  <si>
    <t>acffb102-0839-4764-86f4-e76bffbf69df</t>
  </si>
  <si>
    <t>e13b36eb-1f88-4b41-8827-b1133c8bfb38</t>
  </si>
  <si>
    <t>206499dc-8502-434b-a892-74231226cb29</t>
  </si>
  <si>
    <t>d25bc86d-2a6f-4853-b064-ec966a73ceff</t>
  </si>
  <si>
    <t>5d789cde-6e92-4d61-a1a8-da8dd8c3668e</t>
  </si>
  <si>
    <t>7c8ca538-9ede-4473-b978-e8de6cace8f0</t>
  </si>
  <si>
    <t>ed635a2a-c667-45e4-9c56-a03c5af5fb97</t>
  </si>
  <si>
    <t>d438794b-f38a-4784-a6e6-ca98a1201e08</t>
  </si>
  <si>
    <t>04e5927e-4063-4b87-96bc-b0926869c8dd</t>
  </si>
  <si>
    <t>e505cd69-a36a-4b1c-94a3-2a0a52ceb2db</t>
  </si>
  <si>
    <t>9b4868dc-715f-430c-b461-8325ee04a193</t>
  </si>
  <si>
    <t>1836a793-fa6b-4635-a62a-c03b18806975</t>
  </si>
  <si>
    <t>173110ca-491c-415b-97af-1acbfe0243a4</t>
  </si>
  <si>
    <t>df37ec52-079d-4fe1-ac3e-9af957a1e86c</t>
  </si>
  <si>
    <t>15979d91-955d-4351-8a60-e97babba6c68</t>
  </si>
  <si>
    <t>84a8f87f-fbed-46d2-8342-ca36513ac4a1</t>
  </si>
  <si>
    <t>0bf8e7e8-371a-4575-9f5c-32617c8d16ff</t>
  </si>
  <si>
    <t>a88f81dd-63e9-4ee0-b6b5-b544cee9a644</t>
  </si>
  <si>
    <t>7d33560e-5b32-4864-a54b-a5bf715bd882</t>
  </si>
  <si>
    <t>c1df0fdb-52a5-4e7d-a420-01751a56e47e</t>
  </si>
  <si>
    <t>22bfc751-6e54-4906-81b1-02a8c53236c5</t>
  </si>
  <si>
    <t>903248cd-fa88-4cfc-9a3b-87ad94994897</t>
  </si>
  <si>
    <t>0194e40b-d2a8-4410-b580-2931b30d868b</t>
  </si>
  <si>
    <t>8db74807-7972-49d4-9285-ae960e18451d</t>
  </si>
  <si>
    <t>80caf145-783c-4f8d-aa6a-bd2d57e89c56</t>
  </si>
  <si>
    <t>cac82069-9262-42f7-b497-c5e38d7c743b</t>
  </si>
  <si>
    <t>15e77ff6-fe81-4749-b5ab-182542d22e8a</t>
  </si>
  <si>
    <t>b46d7e04-32da-405c-9396-4225cfeb94fc</t>
  </si>
  <si>
    <t>cf80b3b2-3622-46a0-8bf6-f92bf329c3c7</t>
  </si>
  <si>
    <t>de9bfee2-6db8-430a-ab5a-f6430a0a93cc</t>
  </si>
  <si>
    <t>bb94fa1f-3774-4f49-925d-d9adb7dfa19a</t>
  </si>
  <si>
    <t>e91506f3-e37a-4025-ab10-407a25f8cb14</t>
  </si>
  <si>
    <t>5ce0f793-44ef-494d-8105-5cc4ba5622e2</t>
  </si>
  <si>
    <t>29911bdf-fafc-49a2-a45c-a854ff0f444f</t>
  </si>
  <si>
    <t>bf87fb55-da6c-4fc8-ad65-56ccb8aae0f8</t>
  </si>
  <si>
    <t>07c42abf-3348-4081-8c53-e45d06833ecc</t>
  </si>
  <si>
    <t>f95c7892-188a-472f-ad85-39dec27ffe67</t>
  </si>
  <si>
    <t>f1c23786-bf76-48be-8b27-9da9ee7e5a26</t>
  </si>
  <si>
    <t>9c58ff57-72a5-4b56-ac26-9cca7e7d89db</t>
  </si>
  <si>
    <t>33eaf352-8701-497e-b4e9-0442605335ce</t>
  </si>
  <si>
    <t>d5bfc52d-e31b-4990-be6a-6d9299706138</t>
  </si>
  <si>
    <t>fd202d91-4d91-42e3-88f7-eb38ba631d14</t>
  </si>
  <si>
    <t>3657dc46-f5a6-419f-b835-f942cc5e381d</t>
  </si>
  <si>
    <t>4224da98-3662-4e91-9cff-1c7d2af1bbb4</t>
  </si>
  <si>
    <t>443fea84-3ddf-4472-8bc8-e4db719b3d35</t>
  </si>
  <si>
    <t>d6c644f0-2da9-4fd6-bf82-c9e1a1d4157f</t>
  </si>
  <si>
    <t>8d8f2eae-fe09-4cbe-bc84-3f9f9d374cf6</t>
  </si>
  <si>
    <t>417671d7-7f78-4710-8ecf-8c69136c5a4c</t>
  </si>
  <si>
    <t>599d3182-737c-4f11-864d-97f4da680f8c</t>
  </si>
  <si>
    <t>4a21cd29-1a0a-4a64-8431-6dff208b636f</t>
  </si>
  <si>
    <t>5a52b571-4ed3-45b4-8ab1-b35a8576d8a2</t>
  </si>
  <si>
    <t>f74c8300-4f96-4bac-8ad7-2d5bede99073</t>
  </si>
  <si>
    <t>272c55f7-f23e-47b7-ba21-c88554b9feb3</t>
  </si>
  <si>
    <t>27cf0603-9f07-4ab5-8d9b-45bebce92589</t>
  </si>
  <si>
    <t>ff6617e2-b455-4541-b105-8e30fa0f87cf</t>
  </si>
  <si>
    <t>2efb40b1-c1ca-4ff9-b2e2-176960af0cd5</t>
  </si>
  <si>
    <t>fc5d0f5f-ffed-42eb-a5a1-6dcb145b1ea5</t>
  </si>
  <si>
    <t>2c62b35d-0b15-4a4b-bdec-0916fe60956d</t>
  </si>
  <si>
    <t>1c12fa16-9788-4efd-81ff-58aa00de59da</t>
  </si>
  <si>
    <t>b7abee8b-5086-4a38-a008-815e365aa8b3</t>
  </si>
  <si>
    <t>403b7303-92f1-456a-955b-9f3b5f066459</t>
  </si>
  <si>
    <t>ca5a089a-f473-4a50-b7e2-34646d4677e0</t>
  </si>
  <si>
    <t>24e09d5f-5b36-4f80-ac2b-eb57b49765f1</t>
  </si>
  <si>
    <t>f14d8042-6d7c-4f87-bfb1-e1e6758db9c3</t>
  </si>
  <si>
    <t>9df09a54-befe-4438-8c4a-55d78a7ee306</t>
  </si>
  <si>
    <t>15458da9-e186-4945-b56f-4a8702020344</t>
  </si>
  <si>
    <t>fe285526-b332-4bec-8576-e554224a4962</t>
  </si>
  <si>
    <t>7b3f10eb-6b39-4122-81a4-b4f375d46da9</t>
  </si>
  <si>
    <t>348d4912-a6b0-4328-aa6e-73caee88c600</t>
  </si>
  <si>
    <t>c1c626d1-2999-44b7-a488-fb242f8d28bd</t>
  </si>
  <si>
    <t>a6793f8e-40f4-4717-b48f-e707acc56be0</t>
  </si>
  <si>
    <t>5ba3fc10-5312-4a91-8c35-6c4742c04b4a</t>
  </si>
  <si>
    <t>c18b046c-c153-4f10-8f20-b6c56355dcd3</t>
  </si>
  <si>
    <t>2f7072c8-2f35-4601-9bfb-15b4a3c3b821</t>
  </si>
  <si>
    <t>61279878-b0af-43e9-8d2a-12677c7af7f6</t>
  </si>
  <si>
    <t>5baceee3-78d0-4ef7-af55-28b6dd72089d</t>
  </si>
  <si>
    <t>f4720df9-8034-46d2-95cc-0b116c744d92</t>
  </si>
  <si>
    <t>a1f66da4-ba46-450c-9490-b42e54177fac</t>
  </si>
  <si>
    <t>cb33032d-3fad-4c2b-be9a-7d71515e09ac</t>
  </si>
  <si>
    <t>59fd5dec-c5c8-48ee-aef6-c41d6a2bad80</t>
  </si>
  <si>
    <t>46b21afc-7bde-4d1c-93f9-7de14ec52b12</t>
  </si>
  <si>
    <t>74181236-8090-46e6-8ff5-345636aaf806</t>
  </si>
  <si>
    <t>366c3cf0-cf9a-4fbf-8e42-c3e6a16af8a8</t>
  </si>
  <si>
    <t>03e5d6ac-db4c-43de-b896-d20c77d8c56d</t>
  </si>
  <si>
    <t>b0bba69d-dc08-4e12-9098-cf375be2b9ee</t>
  </si>
  <si>
    <t>c06a4fdd-4893-49a3-bf19-b9af1d23e97f</t>
  </si>
  <si>
    <t>fc0054df-047a-4a37-a3d3-16147bceac69</t>
  </si>
  <si>
    <t>3fc8fb61-574e-42c4-a9ce-6e5bb3b6dd60</t>
  </si>
  <si>
    <t>99d451ca-47a0-46f6-bf98-19511d43891d</t>
  </si>
  <si>
    <t>4d450bf0-9372-4462-8e7b-21922366b1d5</t>
  </si>
  <si>
    <t>c4470d10-a92a-406d-b5c7-2860bacd9041</t>
  </si>
  <si>
    <t>05f78068-1064-46ed-9463-01a574e96196</t>
  </si>
  <si>
    <t>703264c2-e077-4081-934a-b1c320c2092e</t>
  </si>
  <si>
    <t>167f6b3b-11c3-424f-b2e7-8765fb05e6a2</t>
  </si>
  <si>
    <t>9afc8fec-2360-42e4-93b9-c3746f342218</t>
  </si>
  <si>
    <t>687a242e-2127-45af-a616-8b869244a464</t>
  </si>
  <si>
    <t>09fc9d20-236f-40e6-b388-c714337c319e</t>
  </si>
  <si>
    <t>26853fe1-2a98-4852-8ec6-8946ab8c223e</t>
  </si>
  <si>
    <t>0e2a24d3-2cb5-4a11-8a49-81fc770a2d63</t>
  </si>
  <si>
    <t>57d5e3fa-bd51-4ef4-8251-83cc8eb4f7cc</t>
  </si>
  <si>
    <t>c33ac172-49f7-4766-8e8c-858621ab4f33</t>
  </si>
  <si>
    <t>db3c9de4-ae89-4796-8fa6-42aab7e2654f</t>
  </si>
  <si>
    <t>1ef230bc-76eb-4c7c-92f0-35d92fd0492c</t>
  </si>
  <si>
    <t>f738301c-62e3-45b7-a7e6-73f78887096d</t>
  </si>
  <si>
    <t>8e2c22a7-51dc-4cfa-9739-d2222d7a7854</t>
  </si>
  <si>
    <t>7e83d1cc-ea59-4db8-9b3a-01ed5a1ec4dc</t>
  </si>
  <si>
    <t>ac1a7711-2b3b-4f33-b288-0f8fccbb0a19</t>
  </si>
  <si>
    <t>fb23508f-e762-496e-a854-97f15d806254</t>
  </si>
  <si>
    <t>6d28365f-17e9-4206-bb3f-0613285ad791</t>
  </si>
  <si>
    <t>8ff8af7c-4658-467d-96b4-06f68a9fc489</t>
  </si>
  <si>
    <t>6d0d9fe9-e992-4521-819b-6342246f0104</t>
  </si>
  <si>
    <t>b1c928bd-4928-4df6-bb56-7a0d94489226</t>
  </si>
  <si>
    <t>197faede-c725-430a-bcdb-68c97625af7c</t>
  </si>
  <si>
    <t>80396301-b0ac-417c-8e58-faf83f80a07e</t>
  </si>
  <si>
    <t>4bba7bfc-965b-4648-915e-54ca7e32e759</t>
  </si>
  <si>
    <t>145c77a3-a407-4161-85f8-67ae951a35f1</t>
  </si>
  <si>
    <t>1bb59090-ee78-45ba-8568-f66da087d5d8</t>
  </si>
  <si>
    <t>93ca1f42-39fb-4fff-b665-cc68d2d4e422</t>
  </si>
  <si>
    <t>b64f1334-0b0e-46d9-b4b0-7de2eb2f81fb</t>
  </si>
  <si>
    <t>32d66015-938a-4bb7-8f96-2d7ce8b2e476</t>
  </si>
  <si>
    <t>1fb2387f-9ed7-4978-9cdc-79b46bbb7eda</t>
  </si>
  <si>
    <t>c5aebfd0-7545-4d98-8875-bc835da4f9d4</t>
  </si>
  <si>
    <t>90b6a3db-4808-4131-a0d1-5dbbb66af4d4</t>
  </si>
  <si>
    <t>bb51fa53-de03-452c-9642-e794fec1a9ae</t>
  </si>
  <si>
    <t>ab53ab60-b284-45b4-965b-2dc5dd87d3bf</t>
  </si>
  <si>
    <t>50511f43-9a8f-4e9b-8e69-0f7cbcd7fbea</t>
  </si>
  <si>
    <t>d351c139-4aa5-4ff6-a0da-7fbf467fd80c</t>
  </si>
  <si>
    <t>92c8d2cf-9e0c-4c29-898e-2a191f1045d1</t>
  </si>
  <si>
    <t>cf835aa5-6820-4152-80d5-4d0aa3507bc5</t>
  </si>
  <si>
    <t>b701c72f-a67a-4bb0-85b0-a48287ab8e9f</t>
  </si>
  <si>
    <t>b66d5ba5-f729-4282-93cf-83ec060a4088</t>
  </si>
  <si>
    <t>70b37d05-48fc-4079-8567-f09dfe69d22d</t>
  </si>
  <si>
    <t>90e43776-79d2-45c4-ad89-13b148c95e4d</t>
  </si>
  <si>
    <t>18ca1522-d603-4b4e-811b-ecdfb2d249b3</t>
  </si>
  <si>
    <t>39e68e74-15af-406c-a32f-6a4546a90154</t>
  </si>
  <si>
    <t>c964919c-8f7f-4872-a8e0-b9110349b22a</t>
  </si>
  <si>
    <t>cb6a4ea4-83ec-4185-a9dd-0fc472450fb2</t>
  </si>
  <si>
    <t>69a39e2e-a3cc-45fc-b256-a72aac52e928</t>
  </si>
  <si>
    <t>c36b7534-1046-46a9-941b-c6fbd137676a</t>
  </si>
  <si>
    <t>fe551c0b-7e40-4258-b9f3-357ce95dccb6</t>
  </si>
  <si>
    <t>c5fe1722-fe80-4e3b-bd50-26f49068b3ef</t>
  </si>
  <si>
    <t>8c3e2b19-860e-4367-8aae-12d03200e05e</t>
  </si>
  <si>
    <t>cb87b478-27fd-42bc-9324-57e044dbbe17</t>
  </si>
  <si>
    <t>146f1b5b-8372-4ead-a912-8a5a166d7593</t>
  </si>
  <si>
    <t>33ea67f5-abd0-4a59-9e22-0525e226c7cb</t>
  </si>
  <si>
    <t>277ce792-7895-4df7-ae9b-6349b7e48261</t>
  </si>
  <si>
    <t>a4a5ad5b-bc2a-4c16-aff0-f14baf1ec1d6</t>
  </si>
  <si>
    <t>1c7ced74-b1c5-4728-b25c-f69ddfa5a060</t>
  </si>
  <si>
    <t>66ed9248-b192-4286-8b87-13fe055cdf92</t>
  </si>
  <si>
    <t>5757e8a3-0615-4fb7-9033-7cae3458aa6f</t>
  </si>
  <si>
    <t>b5122a31-c91e-461d-b678-8215eeacc69c</t>
  </si>
  <si>
    <t>d93d5503-1a71-4160-a04d-9f75f01d863e</t>
  </si>
  <si>
    <t>0820ef0b-c1d9-40a1-ad87-225e7cfc72f5</t>
  </si>
  <si>
    <t>1f76e90b-5417-497a-b134-8f4d2478f3f0</t>
  </si>
  <si>
    <t>f36523d1-3060-47e1-be7c-33ff7abca005</t>
  </si>
  <si>
    <t>04facb53-8f64-4aea-980c-3a3febb0dbe3</t>
  </si>
  <si>
    <t>01f8453b-bc09-413c-aef9-fbded7f9d375</t>
  </si>
  <si>
    <t>ca3c336d-32c3-4cf4-bbad-4967f3e60eb8</t>
  </si>
  <si>
    <t>4c9d4eae-19ea-43cd-bc45-6c35c0cbc8ee</t>
  </si>
  <si>
    <t>c02351cb-9530-4340-b05f-8621040428f9</t>
  </si>
  <si>
    <t>6a6d91c6-e8ff-4ad2-9207-78f886ccba91</t>
  </si>
  <si>
    <t>e2f79824-9225-40cd-bac6-daa068722f29</t>
  </si>
  <si>
    <t>0b945b76-a670-4e55-8528-dee971bac49e</t>
  </si>
  <si>
    <t>5e818401-25c4-42c4-b8c9-4a769945ba71</t>
  </si>
  <si>
    <t>cb8000e4-3993-4bad-ae0f-533302d4361d</t>
  </si>
  <si>
    <t>5a2a5685-477e-4470-aa22-aa85467d17ff</t>
  </si>
  <si>
    <t>bf77fdc1-24fb-427a-9a0d-fe8552ec57fa</t>
  </si>
  <si>
    <t>e11932bb-38c9-4a31-b470-cf101a5bd5a5</t>
  </si>
  <si>
    <t>bb5aae8a-6389-4583-8aeb-4524cd3c1358</t>
  </si>
  <si>
    <t>d2b6ea87-e5c3-476e-81e8-65c286318457</t>
  </si>
  <si>
    <t>03e63399-7b68-4979-a4ba-78faf7731cf7</t>
  </si>
  <si>
    <t>79e9d1de-914a-472f-9384-709afccaa175</t>
  </si>
  <si>
    <t>906f970d-681e-4bdd-ad4b-08a0ab9c89a6</t>
  </si>
  <si>
    <t>a2f50f00-44a7-4b19-8d90-99d7590f8537</t>
  </si>
  <si>
    <t>96aa1b52-496d-40dd-b2ee-5305559684b6</t>
  </si>
  <si>
    <t>9e0bf23e-a657-4052-adc3-a9a4e406608d</t>
  </si>
  <si>
    <t>0969ef37-1387-4cf2-bf5a-569fb3510066</t>
  </si>
  <si>
    <t>a72ce732-1028-40bf-be2d-a92d0ad157bc</t>
  </si>
  <si>
    <t>a66452df-4938-44e9-bf48-1f5f61780dff</t>
  </si>
  <si>
    <t>4592eec7-7939-4448-b040-0182f5b85a86</t>
  </si>
  <si>
    <t>5c828bae-028e-4c5c-a1d8-a2748735b6d6</t>
  </si>
  <si>
    <t>f98274b4-c2a3-4542-a04d-104b0225e231</t>
  </si>
  <si>
    <t>978586ee-05e8-4d9e-a01e-e844538ffcc2</t>
  </si>
  <si>
    <t>4adc8ca4-ed21-4567-bda2-e6caef29bd4b</t>
  </si>
  <si>
    <t>7b3250d2-400e-4a96-a912-972495ee464d</t>
  </si>
  <si>
    <t>729aa0fe-b5c2-4c9e-9bda-bbbae9a472d9</t>
  </si>
  <si>
    <t>8ea60eb5-c8c2-4557-a107-662b31021e28</t>
  </si>
  <si>
    <t>4863932d-8653-419c-86a7-64b78bc966b6</t>
  </si>
  <si>
    <t>b8701e4d-a8b3-41e3-b800-ec88e2781c4e</t>
  </si>
  <si>
    <t>ece59f5c-b40e-4867-965e-4b3337934660</t>
  </si>
  <si>
    <t>0cc91c49-d4fb-4917-91a3-0ccfe423d7d5</t>
  </si>
  <si>
    <t>1c7523f0-f98a-4eff-9507-ad2b333aa311</t>
  </si>
  <si>
    <t>b8c577ae-aafe-47f0-abc7-b9f0785b20cc</t>
  </si>
  <si>
    <t>e95d8b59-2907-47a8-9a76-39221da3997c</t>
  </si>
  <si>
    <t>6d5448de-74b8-4dc3-a893-d07c30ca6ff8</t>
  </si>
  <si>
    <t>9e0b33f9-067a-4979-8e9e-3c169484518a</t>
  </si>
  <si>
    <t>a7f3171e-b94f-4ee2-8806-962cc8244450</t>
  </si>
  <si>
    <t>4341e5fc-e0e4-4919-89b9-d6afd56e5424</t>
  </si>
  <si>
    <t>911525d9-a6bd-4fa2-b50e-80c3df52dc37</t>
  </si>
  <si>
    <t>786dbaee-3c3f-4210-b4fe-e9cdeabc8894</t>
  </si>
  <si>
    <t>c7a44e80-b739-4317-8c2b-b9060a8c02a4</t>
  </si>
  <si>
    <t>6e3ddedf-8484-48f5-becd-2248c7d0e0d9</t>
  </si>
  <si>
    <t>ba1bc983-aa8b-4712-a4c6-ea3d837759e5</t>
  </si>
  <si>
    <t>56e718a0-92d5-4f8b-8539-89ad35ce7169</t>
  </si>
  <si>
    <t>8bd7e755-6d55-414b-bdce-2cc4561bb223</t>
  </si>
  <si>
    <t>98ae6bad-e4a5-4844-b8ea-291cf132ea45</t>
  </si>
  <si>
    <t>5708f88b-a42c-4c68-99d6-8e7f37ced52a</t>
  </si>
  <si>
    <t>0480a681-8935-4cf0-8699-789696ce470a</t>
  </si>
  <si>
    <t>0aadfb40-c02e-4a7c-a5f2-a2890ce0d796</t>
  </si>
  <si>
    <t>96ffb210-6dd6-4c56-80d1-1044185301ea</t>
  </si>
  <si>
    <t>3190471a-ea53-44f5-b0bf-8a5e1bc8c948</t>
  </si>
  <si>
    <t>47fa3c11-2e10-48b0-b59b-cda6f7f3c161</t>
  </si>
  <si>
    <t>feb567e7-9746-4cbf-a939-de2d0412ef84</t>
  </si>
  <si>
    <t>9f35f3f5-b9bc-40a1-b82f-d77570315445</t>
  </si>
  <si>
    <t>17931585-63b3-49bf-897e-b14b61d3285e</t>
  </si>
  <si>
    <t>cc4bd6b1-d485-4bad-ad6b-f856fa20f2d1</t>
  </si>
  <si>
    <t>534279fb-e7bc-48ee-b3e6-4ff4b03a994f</t>
  </si>
  <si>
    <t>075960b3-4f1a-40f2-a2aa-af722916315b</t>
  </si>
  <si>
    <t>9e229a36-73ca-4eb3-bfde-bec3273ddd4c</t>
  </si>
  <si>
    <t>683873ce-b81f-4254-b33e-0e5c815d796a</t>
  </si>
  <si>
    <t>6415b38b-67e7-4a34-988e-f2916b982dc2</t>
  </si>
  <si>
    <t>f522c40d-88cf-4d54-90ab-90d9670cfae0</t>
  </si>
  <si>
    <t>c63bc59d-51f1-4534-9288-a10136b48a2f</t>
  </si>
  <si>
    <t>2fdbe282-15ad-4d2c-a48d-e60e4b339a47</t>
  </si>
  <si>
    <t>fb5dd724-701e-4537-b641-2cb76a9610ac</t>
  </si>
  <si>
    <t>8e019b6a-7659-4fd9-989a-20bdece85ab5</t>
  </si>
  <si>
    <t>7eeae236-23ee-4a6d-ad6b-d21f91121529</t>
  </si>
  <si>
    <t>aee8ae64-29a4-4a0d-8896-03f613eabbe5</t>
  </si>
  <si>
    <t>4343b7d7-1e92-4df4-ae50-060b4faf11f8</t>
  </si>
  <si>
    <t>53b991f6-2793-4629-a92d-9ad442ce1b48</t>
  </si>
  <si>
    <t>Столбец1</t>
  </si>
  <si>
    <t>свадьба</t>
  </si>
  <si>
    <t>малый бизнес</t>
  </si>
  <si>
    <t>медицинские препараты</t>
  </si>
  <si>
    <t>оплата обучения</t>
  </si>
  <si>
    <t>Среднее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</si>
  <si>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</si>
  <si>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</si>
  <si>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</si>
  <si>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</si>
  <si>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</si>
  <si>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</si>
  <si>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</si>
  <si>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</si>
  <si>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</si>
  <si>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</si>
  <si>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</si>
  <si>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</si>
  <si>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4. Выбросы</t>
  </si>
  <si>
    <t>1-й квартиль</t>
  </si>
  <si>
    <t>3-й квартиль</t>
  </si>
  <si>
    <t>IQR</t>
  </si>
  <si>
    <t>Верхняя граница</t>
  </si>
  <si>
    <t>Нижняя граница</t>
  </si>
  <si>
    <t>Работа с пропусками</t>
  </si>
  <si>
    <t>Пропуски заменяем на медиану</t>
  </si>
  <si>
    <t>Мин</t>
  </si>
  <si>
    <t>Максимальный выданный кредит (все значения)</t>
  </si>
  <si>
    <t>Максимальный выданный кредит (без двух предпоследних значений)</t>
  </si>
  <si>
    <t>Выбросы Ежемесячный платёж</t>
  </si>
  <si>
    <t>Сколько имеет в ипотеку</t>
  </si>
  <si>
    <t>минамакс размер кредита</t>
  </si>
  <si>
    <t xml:space="preserve">Сумма 1 </t>
  </si>
  <si>
    <t>Столбец2</t>
  </si>
  <si>
    <t>сумма 2</t>
  </si>
  <si>
    <t>Столбец3</t>
  </si>
  <si>
    <t>среднее</t>
  </si>
  <si>
    <t>Названия строк</t>
  </si>
  <si>
    <t>Общий итог</t>
  </si>
  <si>
    <t>Названия столбцов</t>
  </si>
  <si>
    <t>Количество по полю Статус кредита</t>
  </si>
  <si>
    <t>Среднее по полю Кредитный рейтинг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</si>
</sst>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3" fontId="0" fillId="0" borderId="0" xfId="0" applyNumberFormat="1"/>
    <xf numFmtId="11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33" borderId="0" xfId="0" applyFill="1" applyBorder="1" applyAlignment="1"/>
    <xf numFmtId="0" fontId="0" fillId="33" borderId="0" xfId="0" applyFill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7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Кредиты_2000_0!$E$1</c:f>
              <c:strCache>
                <c:ptCount val="1"/>
                <c:pt idx="0">
                  <c:v>Годовой доход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Кредиты_2000_0!$D$2:$D$2001</c:f>
              <c:numCache>
                <c:formatCode>General</c:formatCode>
                <c:ptCount val="2000"/>
                <c:pt idx="0">
                  <c:v>709</c:v>
                </c:pt>
                <c:pt idx="1">
                  <c:v>723</c:v>
                </c:pt>
                <c:pt idx="2">
                  <c:v>741</c:v>
                </c:pt>
                <c:pt idx="3">
                  <c:v>721</c:v>
                </c:pt>
                <c:pt idx="4">
                  <c:v>723</c:v>
                </c:pt>
                <c:pt idx="5">
                  <c:v>729</c:v>
                </c:pt>
                <c:pt idx="6">
                  <c:v>730</c:v>
                </c:pt>
                <c:pt idx="7">
                  <c:v>723</c:v>
                </c:pt>
                <c:pt idx="8">
                  <c:v>678</c:v>
                </c:pt>
                <c:pt idx="9">
                  <c:v>739</c:v>
                </c:pt>
                <c:pt idx="10">
                  <c:v>728</c:v>
                </c:pt>
                <c:pt idx="11">
                  <c:v>723</c:v>
                </c:pt>
                <c:pt idx="12">
                  <c:v>740</c:v>
                </c:pt>
                <c:pt idx="13">
                  <c:v>743</c:v>
                </c:pt>
                <c:pt idx="14">
                  <c:v>727</c:v>
                </c:pt>
                <c:pt idx="15">
                  <c:v>723</c:v>
                </c:pt>
                <c:pt idx="16">
                  <c:v>723</c:v>
                </c:pt>
                <c:pt idx="17">
                  <c:v>723</c:v>
                </c:pt>
                <c:pt idx="18">
                  <c:v>723</c:v>
                </c:pt>
                <c:pt idx="19">
                  <c:v>747</c:v>
                </c:pt>
                <c:pt idx="20">
                  <c:v>687</c:v>
                </c:pt>
                <c:pt idx="21">
                  <c:v>750</c:v>
                </c:pt>
                <c:pt idx="22">
                  <c:v>714</c:v>
                </c:pt>
                <c:pt idx="23">
                  <c:v>724</c:v>
                </c:pt>
                <c:pt idx="24">
                  <c:v>704</c:v>
                </c:pt>
                <c:pt idx="25">
                  <c:v>688</c:v>
                </c:pt>
                <c:pt idx="26">
                  <c:v>724</c:v>
                </c:pt>
                <c:pt idx="27">
                  <c:v>749</c:v>
                </c:pt>
                <c:pt idx="28">
                  <c:v>746</c:v>
                </c:pt>
                <c:pt idx="29">
                  <c:v>723</c:v>
                </c:pt>
                <c:pt idx="30">
                  <c:v>737</c:v>
                </c:pt>
                <c:pt idx="31">
                  <c:v>729</c:v>
                </c:pt>
                <c:pt idx="32">
                  <c:v>733</c:v>
                </c:pt>
                <c:pt idx="33">
                  <c:v>725</c:v>
                </c:pt>
                <c:pt idx="34">
                  <c:v>723</c:v>
                </c:pt>
                <c:pt idx="35">
                  <c:v>745</c:v>
                </c:pt>
                <c:pt idx="36">
                  <c:v>743</c:v>
                </c:pt>
                <c:pt idx="37">
                  <c:v>720</c:v>
                </c:pt>
                <c:pt idx="38">
                  <c:v>723</c:v>
                </c:pt>
                <c:pt idx="39">
                  <c:v>718</c:v>
                </c:pt>
                <c:pt idx="40">
                  <c:v>682</c:v>
                </c:pt>
                <c:pt idx="41">
                  <c:v>723</c:v>
                </c:pt>
                <c:pt idx="42">
                  <c:v>723</c:v>
                </c:pt>
                <c:pt idx="43">
                  <c:v>712</c:v>
                </c:pt>
                <c:pt idx="44">
                  <c:v>680</c:v>
                </c:pt>
                <c:pt idx="45">
                  <c:v>750</c:v>
                </c:pt>
                <c:pt idx="46">
                  <c:v>723</c:v>
                </c:pt>
                <c:pt idx="47">
                  <c:v>737</c:v>
                </c:pt>
                <c:pt idx="48">
                  <c:v>710</c:v>
                </c:pt>
                <c:pt idx="49">
                  <c:v>598</c:v>
                </c:pt>
                <c:pt idx="50">
                  <c:v>719</c:v>
                </c:pt>
                <c:pt idx="51">
                  <c:v>661</c:v>
                </c:pt>
                <c:pt idx="52">
                  <c:v>723</c:v>
                </c:pt>
                <c:pt idx="53">
                  <c:v>652</c:v>
                </c:pt>
                <c:pt idx="54">
                  <c:v>730</c:v>
                </c:pt>
                <c:pt idx="55">
                  <c:v>736</c:v>
                </c:pt>
                <c:pt idx="56">
                  <c:v>738</c:v>
                </c:pt>
                <c:pt idx="57">
                  <c:v>725</c:v>
                </c:pt>
                <c:pt idx="58">
                  <c:v>747</c:v>
                </c:pt>
                <c:pt idx="59">
                  <c:v>721</c:v>
                </c:pt>
                <c:pt idx="60">
                  <c:v>644</c:v>
                </c:pt>
                <c:pt idx="61">
                  <c:v>672</c:v>
                </c:pt>
                <c:pt idx="62">
                  <c:v>723</c:v>
                </c:pt>
                <c:pt idx="63">
                  <c:v>741</c:v>
                </c:pt>
                <c:pt idx="64">
                  <c:v>747</c:v>
                </c:pt>
                <c:pt idx="65">
                  <c:v>737</c:v>
                </c:pt>
                <c:pt idx="66">
                  <c:v>699</c:v>
                </c:pt>
                <c:pt idx="67">
                  <c:v>723</c:v>
                </c:pt>
                <c:pt idx="68">
                  <c:v>723</c:v>
                </c:pt>
                <c:pt idx="69">
                  <c:v>751</c:v>
                </c:pt>
                <c:pt idx="70">
                  <c:v>694</c:v>
                </c:pt>
                <c:pt idx="71">
                  <c:v>720</c:v>
                </c:pt>
                <c:pt idx="72">
                  <c:v>699</c:v>
                </c:pt>
                <c:pt idx="73">
                  <c:v>675</c:v>
                </c:pt>
                <c:pt idx="74">
                  <c:v>724</c:v>
                </c:pt>
                <c:pt idx="75">
                  <c:v>723</c:v>
                </c:pt>
                <c:pt idx="76">
                  <c:v>657</c:v>
                </c:pt>
                <c:pt idx="77">
                  <c:v>678</c:v>
                </c:pt>
                <c:pt idx="78">
                  <c:v>736</c:v>
                </c:pt>
                <c:pt idx="79">
                  <c:v>737</c:v>
                </c:pt>
                <c:pt idx="80">
                  <c:v>748</c:v>
                </c:pt>
                <c:pt idx="81">
                  <c:v>748</c:v>
                </c:pt>
                <c:pt idx="82">
                  <c:v>688</c:v>
                </c:pt>
                <c:pt idx="83">
                  <c:v>723</c:v>
                </c:pt>
                <c:pt idx="84">
                  <c:v>743</c:v>
                </c:pt>
                <c:pt idx="85">
                  <c:v>666</c:v>
                </c:pt>
                <c:pt idx="86">
                  <c:v>714</c:v>
                </c:pt>
                <c:pt idx="87">
                  <c:v>734</c:v>
                </c:pt>
                <c:pt idx="88">
                  <c:v>742</c:v>
                </c:pt>
                <c:pt idx="89">
                  <c:v>705</c:v>
                </c:pt>
                <c:pt idx="90">
                  <c:v>723</c:v>
                </c:pt>
                <c:pt idx="91">
                  <c:v>723</c:v>
                </c:pt>
                <c:pt idx="92">
                  <c:v>723</c:v>
                </c:pt>
                <c:pt idx="93">
                  <c:v>748</c:v>
                </c:pt>
                <c:pt idx="94">
                  <c:v>723</c:v>
                </c:pt>
                <c:pt idx="95">
                  <c:v>723</c:v>
                </c:pt>
                <c:pt idx="96">
                  <c:v>731</c:v>
                </c:pt>
                <c:pt idx="97">
                  <c:v>624</c:v>
                </c:pt>
                <c:pt idx="98">
                  <c:v>712</c:v>
                </c:pt>
                <c:pt idx="99">
                  <c:v>685</c:v>
                </c:pt>
                <c:pt idx="100">
                  <c:v>705</c:v>
                </c:pt>
                <c:pt idx="101">
                  <c:v>751</c:v>
                </c:pt>
                <c:pt idx="102">
                  <c:v>745</c:v>
                </c:pt>
                <c:pt idx="103">
                  <c:v>723</c:v>
                </c:pt>
                <c:pt idx="104">
                  <c:v>742</c:v>
                </c:pt>
                <c:pt idx="105">
                  <c:v>717</c:v>
                </c:pt>
                <c:pt idx="106">
                  <c:v>714</c:v>
                </c:pt>
                <c:pt idx="107">
                  <c:v>722</c:v>
                </c:pt>
                <c:pt idx="108">
                  <c:v>680</c:v>
                </c:pt>
                <c:pt idx="109">
                  <c:v>618</c:v>
                </c:pt>
                <c:pt idx="110">
                  <c:v>719</c:v>
                </c:pt>
                <c:pt idx="111">
                  <c:v>745</c:v>
                </c:pt>
                <c:pt idx="112">
                  <c:v>737</c:v>
                </c:pt>
                <c:pt idx="113">
                  <c:v>718</c:v>
                </c:pt>
                <c:pt idx="114">
                  <c:v>750</c:v>
                </c:pt>
                <c:pt idx="115">
                  <c:v>676</c:v>
                </c:pt>
                <c:pt idx="116">
                  <c:v>692</c:v>
                </c:pt>
                <c:pt idx="117">
                  <c:v>721</c:v>
                </c:pt>
                <c:pt idx="118">
                  <c:v>678</c:v>
                </c:pt>
                <c:pt idx="119">
                  <c:v>709</c:v>
                </c:pt>
                <c:pt idx="120">
                  <c:v>740</c:v>
                </c:pt>
                <c:pt idx="121">
                  <c:v>723</c:v>
                </c:pt>
                <c:pt idx="122">
                  <c:v>746</c:v>
                </c:pt>
                <c:pt idx="123">
                  <c:v>732</c:v>
                </c:pt>
                <c:pt idx="124">
                  <c:v>723</c:v>
                </c:pt>
                <c:pt idx="125">
                  <c:v>723</c:v>
                </c:pt>
                <c:pt idx="126">
                  <c:v>709</c:v>
                </c:pt>
                <c:pt idx="127">
                  <c:v>723</c:v>
                </c:pt>
                <c:pt idx="128">
                  <c:v>742</c:v>
                </c:pt>
                <c:pt idx="129">
                  <c:v>649</c:v>
                </c:pt>
                <c:pt idx="130">
                  <c:v>734</c:v>
                </c:pt>
                <c:pt idx="131">
                  <c:v>723</c:v>
                </c:pt>
                <c:pt idx="132">
                  <c:v>695</c:v>
                </c:pt>
                <c:pt idx="133">
                  <c:v>744</c:v>
                </c:pt>
                <c:pt idx="134">
                  <c:v>686</c:v>
                </c:pt>
                <c:pt idx="135">
                  <c:v>723</c:v>
                </c:pt>
                <c:pt idx="136">
                  <c:v>723</c:v>
                </c:pt>
                <c:pt idx="137">
                  <c:v>723</c:v>
                </c:pt>
                <c:pt idx="138">
                  <c:v>741</c:v>
                </c:pt>
                <c:pt idx="139">
                  <c:v>723</c:v>
                </c:pt>
                <c:pt idx="140">
                  <c:v>637</c:v>
                </c:pt>
                <c:pt idx="141">
                  <c:v>719</c:v>
                </c:pt>
                <c:pt idx="142">
                  <c:v>740</c:v>
                </c:pt>
                <c:pt idx="143">
                  <c:v>704</c:v>
                </c:pt>
                <c:pt idx="144">
                  <c:v>743</c:v>
                </c:pt>
                <c:pt idx="145">
                  <c:v>746</c:v>
                </c:pt>
                <c:pt idx="146">
                  <c:v>723</c:v>
                </c:pt>
                <c:pt idx="147">
                  <c:v>697</c:v>
                </c:pt>
                <c:pt idx="148">
                  <c:v>723</c:v>
                </c:pt>
                <c:pt idx="149">
                  <c:v>694</c:v>
                </c:pt>
                <c:pt idx="150">
                  <c:v>725</c:v>
                </c:pt>
                <c:pt idx="151">
                  <c:v>736</c:v>
                </c:pt>
                <c:pt idx="152">
                  <c:v>722</c:v>
                </c:pt>
                <c:pt idx="153">
                  <c:v>706</c:v>
                </c:pt>
                <c:pt idx="154">
                  <c:v>741</c:v>
                </c:pt>
                <c:pt idx="155">
                  <c:v>715</c:v>
                </c:pt>
                <c:pt idx="156">
                  <c:v>678</c:v>
                </c:pt>
                <c:pt idx="157">
                  <c:v>707</c:v>
                </c:pt>
                <c:pt idx="158">
                  <c:v>726</c:v>
                </c:pt>
                <c:pt idx="159">
                  <c:v>738</c:v>
                </c:pt>
                <c:pt idx="160">
                  <c:v>750</c:v>
                </c:pt>
                <c:pt idx="161">
                  <c:v>716</c:v>
                </c:pt>
                <c:pt idx="162">
                  <c:v>737</c:v>
                </c:pt>
                <c:pt idx="163">
                  <c:v>748</c:v>
                </c:pt>
                <c:pt idx="164">
                  <c:v>741</c:v>
                </c:pt>
                <c:pt idx="165">
                  <c:v>702</c:v>
                </c:pt>
                <c:pt idx="166">
                  <c:v>723</c:v>
                </c:pt>
                <c:pt idx="167">
                  <c:v>651</c:v>
                </c:pt>
                <c:pt idx="168">
                  <c:v>723</c:v>
                </c:pt>
                <c:pt idx="169">
                  <c:v>723</c:v>
                </c:pt>
                <c:pt idx="170">
                  <c:v>730</c:v>
                </c:pt>
                <c:pt idx="171">
                  <c:v>736</c:v>
                </c:pt>
                <c:pt idx="172">
                  <c:v>725</c:v>
                </c:pt>
                <c:pt idx="173">
                  <c:v>718</c:v>
                </c:pt>
                <c:pt idx="174">
                  <c:v>712</c:v>
                </c:pt>
                <c:pt idx="175">
                  <c:v>708</c:v>
                </c:pt>
                <c:pt idx="176">
                  <c:v>710</c:v>
                </c:pt>
                <c:pt idx="177">
                  <c:v>698</c:v>
                </c:pt>
                <c:pt idx="178">
                  <c:v>723</c:v>
                </c:pt>
                <c:pt idx="179">
                  <c:v>743</c:v>
                </c:pt>
                <c:pt idx="180">
                  <c:v>689</c:v>
                </c:pt>
                <c:pt idx="181">
                  <c:v>685</c:v>
                </c:pt>
                <c:pt idx="182">
                  <c:v>735</c:v>
                </c:pt>
                <c:pt idx="183">
                  <c:v>703</c:v>
                </c:pt>
                <c:pt idx="184">
                  <c:v>747</c:v>
                </c:pt>
                <c:pt idx="185">
                  <c:v>707</c:v>
                </c:pt>
                <c:pt idx="186">
                  <c:v>736</c:v>
                </c:pt>
                <c:pt idx="187">
                  <c:v>707</c:v>
                </c:pt>
                <c:pt idx="188">
                  <c:v>723</c:v>
                </c:pt>
                <c:pt idx="189">
                  <c:v>738</c:v>
                </c:pt>
                <c:pt idx="190">
                  <c:v>682</c:v>
                </c:pt>
                <c:pt idx="191">
                  <c:v>716</c:v>
                </c:pt>
                <c:pt idx="192">
                  <c:v>723</c:v>
                </c:pt>
                <c:pt idx="193">
                  <c:v>723</c:v>
                </c:pt>
                <c:pt idx="194">
                  <c:v>749</c:v>
                </c:pt>
                <c:pt idx="195">
                  <c:v>740</c:v>
                </c:pt>
                <c:pt idx="196">
                  <c:v>693</c:v>
                </c:pt>
                <c:pt idx="197">
                  <c:v>724</c:v>
                </c:pt>
                <c:pt idx="198">
                  <c:v>746</c:v>
                </c:pt>
                <c:pt idx="199">
                  <c:v>732</c:v>
                </c:pt>
                <c:pt idx="200">
                  <c:v>708</c:v>
                </c:pt>
                <c:pt idx="201">
                  <c:v>727</c:v>
                </c:pt>
                <c:pt idx="202">
                  <c:v>737</c:v>
                </c:pt>
                <c:pt idx="203">
                  <c:v>723</c:v>
                </c:pt>
                <c:pt idx="204">
                  <c:v>712</c:v>
                </c:pt>
                <c:pt idx="205">
                  <c:v>737</c:v>
                </c:pt>
                <c:pt idx="206">
                  <c:v>645</c:v>
                </c:pt>
                <c:pt idx="207">
                  <c:v>718</c:v>
                </c:pt>
                <c:pt idx="208">
                  <c:v>724</c:v>
                </c:pt>
                <c:pt idx="209">
                  <c:v>715</c:v>
                </c:pt>
                <c:pt idx="210">
                  <c:v>707</c:v>
                </c:pt>
                <c:pt idx="211">
                  <c:v>691</c:v>
                </c:pt>
                <c:pt idx="212">
                  <c:v>717</c:v>
                </c:pt>
                <c:pt idx="213">
                  <c:v>673</c:v>
                </c:pt>
                <c:pt idx="214">
                  <c:v>733</c:v>
                </c:pt>
                <c:pt idx="215">
                  <c:v>700</c:v>
                </c:pt>
                <c:pt idx="216">
                  <c:v>714</c:v>
                </c:pt>
                <c:pt idx="217">
                  <c:v>700</c:v>
                </c:pt>
                <c:pt idx="218">
                  <c:v>731</c:v>
                </c:pt>
                <c:pt idx="219">
                  <c:v>719</c:v>
                </c:pt>
                <c:pt idx="220">
                  <c:v>743</c:v>
                </c:pt>
                <c:pt idx="221">
                  <c:v>708</c:v>
                </c:pt>
                <c:pt idx="222">
                  <c:v>741</c:v>
                </c:pt>
                <c:pt idx="223">
                  <c:v>658</c:v>
                </c:pt>
                <c:pt idx="224">
                  <c:v>716</c:v>
                </c:pt>
                <c:pt idx="225">
                  <c:v>723</c:v>
                </c:pt>
                <c:pt idx="226">
                  <c:v>723</c:v>
                </c:pt>
                <c:pt idx="227">
                  <c:v>742</c:v>
                </c:pt>
                <c:pt idx="228">
                  <c:v>699</c:v>
                </c:pt>
                <c:pt idx="229">
                  <c:v>724</c:v>
                </c:pt>
                <c:pt idx="230">
                  <c:v>750</c:v>
                </c:pt>
                <c:pt idx="231">
                  <c:v>720</c:v>
                </c:pt>
                <c:pt idx="232">
                  <c:v>685</c:v>
                </c:pt>
                <c:pt idx="233">
                  <c:v>699</c:v>
                </c:pt>
                <c:pt idx="234">
                  <c:v>709</c:v>
                </c:pt>
                <c:pt idx="235">
                  <c:v>739</c:v>
                </c:pt>
                <c:pt idx="236">
                  <c:v>715</c:v>
                </c:pt>
                <c:pt idx="237">
                  <c:v>737</c:v>
                </c:pt>
                <c:pt idx="238">
                  <c:v>722</c:v>
                </c:pt>
                <c:pt idx="239">
                  <c:v>748</c:v>
                </c:pt>
                <c:pt idx="240">
                  <c:v>723</c:v>
                </c:pt>
                <c:pt idx="241">
                  <c:v>657</c:v>
                </c:pt>
                <c:pt idx="242">
                  <c:v>695</c:v>
                </c:pt>
                <c:pt idx="243">
                  <c:v>735</c:v>
                </c:pt>
                <c:pt idx="244">
                  <c:v>723</c:v>
                </c:pt>
                <c:pt idx="245">
                  <c:v>729</c:v>
                </c:pt>
                <c:pt idx="246">
                  <c:v>737</c:v>
                </c:pt>
                <c:pt idx="247">
                  <c:v>722</c:v>
                </c:pt>
                <c:pt idx="248">
                  <c:v>724</c:v>
                </c:pt>
                <c:pt idx="249">
                  <c:v>735</c:v>
                </c:pt>
                <c:pt idx="250">
                  <c:v>722</c:v>
                </c:pt>
                <c:pt idx="251">
                  <c:v>728</c:v>
                </c:pt>
                <c:pt idx="252">
                  <c:v>723</c:v>
                </c:pt>
                <c:pt idx="253">
                  <c:v>738</c:v>
                </c:pt>
                <c:pt idx="254">
                  <c:v>674</c:v>
                </c:pt>
                <c:pt idx="255">
                  <c:v>746</c:v>
                </c:pt>
                <c:pt idx="256">
                  <c:v>709</c:v>
                </c:pt>
                <c:pt idx="257">
                  <c:v>654</c:v>
                </c:pt>
                <c:pt idx="258">
                  <c:v>715</c:v>
                </c:pt>
                <c:pt idx="259">
                  <c:v>744</c:v>
                </c:pt>
                <c:pt idx="260">
                  <c:v>723</c:v>
                </c:pt>
                <c:pt idx="261">
                  <c:v>716</c:v>
                </c:pt>
                <c:pt idx="262">
                  <c:v>723</c:v>
                </c:pt>
                <c:pt idx="263">
                  <c:v>733</c:v>
                </c:pt>
                <c:pt idx="264">
                  <c:v>719</c:v>
                </c:pt>
                <c:pt idx="265">
                  <c:v>744</c:v>
                </c:pt>
                <c:pt idx="266">
                  <c:v>735</c:v>
                </c:pt>
                <c:pt idx="267">
                  <c:v>716</c:v>
                </c:pt>
                <c:pt idx="268">
                  <c:v>721</c:v>
                </c:pt>
                <c:pt idx="269">
                  <c:v>746</c:v>
                </c:pt>
                <c:pt idx="270">
                  <c:v>720</c:v>
                </c:pt>
                <c:pt idx="271">
                  <c:v>739</c:v>
                </c:pt>
                <c:pt idx="272">
                  <c:v>738</c:v>
                </c:pt>
                <c:pt idx="273">
                  <c:v>723</c:v>
                </c:pt>
                <c:pt idx="274">
                  <c:v>723</c:v>
                </c:pt>
                <c:pt idx="275">
                  <c:v>686</c:v>
                </c:pt>
                <c:pt idx="276">
                  <c:v>749</c:v>
                </c:pt>
                <c:pt idx="277">
                  <c:v>725</c:v>
                </c:pt>
                <c:pt idx="278">
                  <c:v>681</c:v>
                </c:pt>
                <c:pt idx="279">
                  <c:v>725</c:v>
                </c:pt>
                <c:pt idx="280">
                  <c:v>723</c:v>
                </c:pt>
                <c:pt idx="281">
                  <c:v>693</c:v>
                </c:pt>
                <c:pt idx="282">
                  <c:v>723</c:v>
                </c:pt>
                <c:pt idx="283">
                  <c:v>696</c:v>
                </c:pt>
                <c:pt idx="284">
                  <c:v>723</c:v>
                </c:pt>
                <c:pt idx="285">
                  <c:v>713</c:v>
                </c:pt>
                <c:pt idx="286">
                  <c:v>723</c:v>
                </c:pt>
                <c:pt idx="287">
                  <c:v>697</c:v>
                </c:pt>
                <c:pt idx="288">
                  <c:v>727</c:v>
                </c:pt>
                <c:pt idx="289">
                  <c:v>707</c:v>
                </c:pt>
                <c:pt idx="290">
                  <c:v>748</c:v>
                </c:pt>
                <c:pt idx="291">
                  <c:v>739</c:v>
                </c:pt>
                <c:pt idx="292">
                  <c:v>743</c:v>
                </c:pt>
                <c:pt idx="293">
                  <c:v>723</c:v>
                </c:pt>
                <c:pt idx="294">
                  <c:v>676</c:v>
                </c:pt>
                <c:pt idx="295">
                  <c:v>746</c:v>
                </c:pt>
                <c:pt idx="296">
                  <c:v>694</c:v>
                </c:pt>
                <c:pt idx="297">
                  <c:v>668</c:v>
                </c:pt>
                <c:pt idx="298">
                  <c:v>687</c:v>
                </c:pt>
                <c:pt idx="299">
                  <c:v>725</c:v>
                </c:pt>
                <c:pt idx="300">
                  <c:v>723</c:v>
                </c:pt>
                <c:pt idx="301">
                  <c:v>742</c:v>
                </c:pt>
                <c:pt idx="302">
                  <c:v>737</c:v>
                </c:pt>
                <c:pt idx="303">
                  <c:v>736</c:v>
                </c:pt>
                <c:pt idx="304">
                  <c:v>676</c:v>
                </c:pt>
                <c:pt idx="305">
                  <c:v>659</c:v>
                </c:pt>
                <c:pt idx="306">
                  <c:v>736</c:v>
                </c:pt>
                <c:pt idx="307">
                  <c:v>716</c:v>
                </c:pt>
                <c:pt idx="308">
                  <c:v>750</c:v>
                </c:pt>
                <c:pt idx="309">
                  <c:v>740</c:v>
                </c:pt>
                <c:pt idx="310">
                  <c:v>718</c:v>
                </c:pt>
                <c:pt idx="311">
                  <c:v>723</c:v>
                </c:pt>
                <c:pt idx="312">
                  <c:v>696</c:v>
                </c:pt>
                <c:pt idx="313">
                  <c:v>742</c:v>
                </c:pt>
                <c:pt idx="314">
                  <c:v>723</c:v>
                </c:pt>
                <c:pt idx="315">
                  <c:v>728</c:v>
                </c:pt>
                <c:pt idx="316">
                  <c:v>723</c:v>
                </c:pt>
                <c:pt idx="317">
                  <c:v>742</c:v>
                </c:pt>
                <c:pt idx="318">
                  <c:v>744</c:v>
                </c:pt>
                <c:pt idx="319">
                  <c:v>744</c:v>
                </c:pt>
                <c:pt idx="320">
                  <c:v>747</c:v>
                </c:pt>
                <c:pt idx="321">
                  <c:v>618</c:v>
                </c:pt>
                <c:pt idx="322">
                  <c:v>676</c:v>
                </c:pt>
                <c:pt idx="323">
                  <c:v>748</c:v>
                </c:pt>
                <c:pt idx="324">
                  <c:v>720</c:v>
                </c:pt>
                <c:pt idx="325">
                  <c:v>705</c:v>
                </c:pt>
                <c:pt idx="326">
                  <c:v>723</c:v>
                </c:pt>
                <c:pt idx="327">
                  <c:v>647</c:v>
                </c:pt>
                <c:pt idx="328">
                  <c:v>716</c:v>
                </c:pt>
                <c:pt idx="329">
                  <c:v>743</c:v>
                </c:pt>
                <c:pt idx="330">
                  <c:v>723</c:v>
                </c:pt>
                <c:pt idx="331">
                  <c:v>710</c:v>
                </c:pt>
                <c:pt idx="332">
                  <c:v>704</c:v>
                </c:pt>
                <c:pt idx="333">
                  <c:v>723</c:v>
                </c:pt>
                <c:pt idx="334">
                  <c:v>746</c:v>
                </c:pt>
                <c:pt idx="335">
                  <c:v>733</c:v>
                </c:pt>
                <c:pt idx="336">
                  <c:v>743</c:v>
                </c:pt>
                <c:pt idx="337">
                  <c:v>676</c:v>
                </c:pt>
                <c:pt idx="338">
                  <c:v>723</c:v>
                </c:pt>
                <c:pt idx="339">
                  <c:v>729</c:v>
                </c:pt>
                <c:pt idx="340">
                  <c:v>741</c:v>
                </c:pt>
                <c:pt idx="341">
                  <c:v>703</c:v>
                </c:pt>
                <c:pt idx="342">
                  <c:v>741</c:v>
                </c:pt>
                <c:pt idx="343">
                  <c:v>683</c:v>
                </c:pt>
                <c:pt idx="344">
                  <c:v>732</c:v>
                </c:pt>
                <c:pt idx="345">
                  <c:v>675</c:v>
                </c:pt>
                <c:pt idx="346">
                  <c:v>715</c:v>
                </c:pt>
                <c:pt idx="347">
                  <c:v>670</c:v>
                </c:pt>
                <c:pt idx="348">
                  <c:v>699</c:v>
                </c:pt>
                <c:pt idx="349">
                  <c:v>723</c:v>
                </c:pt>
                <c:pt idx="350">
                  <c:v>623</c:v>
                </c:pt>
                <c:pt idx="351">
                  <c:v>711</c:v>
                </c:pt>
                <c:pt idx="352">
                  <c:v>744</c:v>
                </c:pt>
                <c:pt idx="353">
                  <c:v>639</c:v>
                </c:pt>
                <c:pt idx="354">
                  <c:v>747</c:v>
                </c:pt>
                <c:pt idx="355">
                  <c:v>671</c:v>
                </c:pt>
                <c:pt idx="356">
                  <c:v>723</c:v>
                </c:pt>
                <c:pt idx="357">
                  <c:v>748</c:v>
                </c:pt>
                <c:pt idx="358">
                  <c:v>699</c:v>
                </c:pt>
                <c:pt idx="359">
                  <c:v>691</c:v>
                </c:pt>
                <c:pt idx="360">
                  <c:v>715</c:v>
                </c:pt>
                <c:pt idx="361">
                  <c:v>743</c:v>
                </c:pt>
                <c:pt idx="362">
                  <c:v>708</c:v>
                </c:pt>
                <c:pt idx="363">
                  <c:v>723</c:v>
                </c:pt>
                <c:pt idx="364">
                  <c:v>738</c:v>
                </c:pt>
                <c:pt idx="365">
                  <c:v>699</c:v>
                </c:pt>
                <c:pt idx="366">
                  <c:v>750</c:v>
                </c:pt>
                <c:pt idx="367">
                  <c:v>687</c:v>
                </c:pt>
                <c:pt idx="368">
                  <c:v>614</c:v>
                </c:pt>
                <c:pt idx="369">
                  <c:v>713</c:v>
                </c:pt>
                <c:pt idx="370">
                  <c:v>746</c:v>
                </c:pt>
                <c:pt idx="371">
                  <c:v>699</c:v>
                </c:pt>
                <c:pt idx="372">
                  <c:v>712</c:v>
                </c:pt>
                <c:pt idx="373">
                  <c:v>734</c:v>
                </c:pt>
                <c:pt idx="374">
                  <c:v>741</c:v>
                </c:pt>
                <c:pt idx="375">
                  <c:v>723</c:v>
                </c:pt>
                <c:pt idx="376">
                  <c:v>667</c:v>
                </c:pt>
                <c:pt idx="377">
                  <c:v>739</c:v>
                </c:pt>
                <c:pt idx="378">
                  <c:v>726</c:v>
                </c:pt>
                <c:pt idx="379">
                  <c:v>734</c:v>
                </c:pt>
                <c:pt idx="380">
                  <c:v>749</c:v>
                </c:pt>
                <c:pt idx="381">
                  <c:v>736</c:v>
                </c:pt>
                <c:pt idx="382">
                  <c:v>701</c:v>
                </c:pt>
                <c:pt idx="383">
                  <c:v>741</c:v>
                </c:pt>
                <c:pt idx="384">
                  <c:v>723</c:v>
                </c:pt>
                <c:pt idx="385">
                  <c:v>731</c:v>
                </c:pt>
                <c:pt idx="386">
                  <c:v>745</c:v>
                </c:pt>
                <c:pt idx="387">
                  <c:v>657</c:v>
                </c:pt>
                <c:pt idx="388">
                  <c:v>728</c:v>
                </c:pt>
                <c:pt idx="389">
                  <c:v>704</c:v>
                </c:pt>
                <c:pt idx="390">
                  <c:v>723</c:v>
                </c:pt>
                <c:pt idx="391">
                  <c:v>749</c:v>
                </c:pt>
                <c:pt idx="392">
                  <c:v>731</c:v>
                </c:pt>
                <c:pt idx="393">
                  <c:v>719</c:v>
                </c:pt>
                <c:pt idx="394">
                  <c:v>723</c:v>
                </c:pt>
                <c:pt idx="395">
                  <c:v>744</c:v>
                </c:pt>
                <c:pt idx="396">
                  <c:v>747</c:v>
                </c:pt>
                <c:pt idx="397">
                  <c:v>723</c:v>
                </c:pt>
                <c:pt idx="398">
                  <c:v>731</c:v>
                </c:pt>
                <c:pt idx="399">
                  <c:v>712</c:v>
                </c:pt>
                <c:pt idx="400">
                  <c:v>723</c:v>
                </c:pt>
                <c:pt idx="401">
                  <c:v>723</c:v>
                </c:pt>
                <c:pt idx="402">
                  <c:v>723</c:v>
                </c:pt>
                <c:pt idx="403">
                  <c:v>720</c:v>
                </c:pt>
                <c:pt idx="404">
                  <c:v>734</c:v>
                </c:pt>
                <c:pt idx="405">
                  <c:v>723</c:v>
                </c:pt>
                <c:pt idx="406">
                  <c:v>712</c:v>
                </c:pt>
                <c:pt idx="407">
                  <c:v>723</c:v>
                </c:pt>
                <c:pt idx="408">
                  <c:v>737</c:v>
                </c:pt>
                <c:pt idx="409">
                  <c:v>744</c:v>
                </c:pt>
                <c:pt idx="410">
                  <c:v>706</c:v>
                </c:pt>
                <c:pt idx="411">
                  <c:v>740</c:v>
                </c:pt>
                <c:pt idx="412">
                  <c:v>700</c:v>
                </c:pt>
                <c:pt idx="413">
                  <c:v>615</c:v>
                </c:pt>
                <c:pt idx="414">
                  <c:v>723</c:v>
                </c:pt>
                <c:pt idx="415">
                  <c:v>737</c:v>
                </c:pt>
                <c:pt idx="416">
                  <c:v>723</c:v>
                </c:pt>
                <c:pt idx="417">
                  <c:v>711</c:v>
                </c:pt>
                <c:pt idx="418">
                  <c:v>697</c:v>
                </c:pt>
                <c:pt idx="419">
                  <c:v>717</c:v>
                </c:pt>
                <c:pt idx="420">
                  <c:v>697</c:v>
                </c:pt>
                <c:pt idx="421">
                  <c:v>723</c:v>
                </c:pt>
                <c:pt idx="422">
                  <c:v>695</c:v>
                </c:pt>
                <c:pt idx="423">
                  <c:v>723</c:v>
                </c:pt>
                <c:pt idx="424">
                  <c:v>723</c:v>
                </c:pt>
                <c:pt idx="425">
                  <c:v>703</c:v>
                </c:pt>
                <c:pt idx="426">
                  <c:v>615</c:v>
                </c:pt>
                <c:pt idx="427">
                  <c:v>719</c:v>
                </c:pt>
                <c:pt idx="428">
                  <c:v>695</c:v>
                </c:pt>
                <c:pt idx="429">
                  <c:v>722</c:v>
                </c:pt>
                <c:pt idx="430">
                  <c:v>710</c:v>
                </c:pt>
                <c:pt idx="431">
                  <c:v>723</c:v>
                </c:pt>
                <c:pt idx="432">
                  <c:v>693</c:v>
                </c:pt>
                <c:pt idx="433">
                  <c:v>741</c:v>
                </c:pt>
                <c:pt idx="434">
                  <c:v>727</c:v>
                </c:pt>
                <c:pt idx="435">
                  <c:v>742</c:v>
                </c:pt>
                <c:pt idx="436">
                  <c:v>747</c:v>
                </c:pt>
                <c:pt idx="437">
                  <c:v>711</c:v>
                </c:pt>
                <c:pt idx="438">
                  <c:v>718</c:v>
                </c:pt>
                <c:pt idx="439">
                  <c:v>733</c:v>
                </c:pt>
                <c:pt idx="440">
                  <c:v>744</c:v>
                </c:pt>
                <c:pt idx="441">
                  <c:v>724</c:v>
                </c:pt>
                <c:pt idx="442">
                  <c:v>735</c:v>
                </c:pt>
                <c:pt idx="443">
                  <c:v>736</c:v>
                </c:pt>
                <c:pt idx="444">
                  <c:v>741</c:v>
                </c:pt>
                <c:pt idx="445">
                  <c:v>723</c:v>
                </c:pt>
                <c:pt idx="446">
                  <c:v>723</c:v>
                </c:pt>
                <c:pt idx="447">
                  <c:v>722</c:v>
                </c:pt>
                <c:pt idx="448">
                  <c:v>746</c:v>
                </c:pt>
                <c:pt idx="449">
                  <c:v>720</c:v>
                </c:pt>
                <c:pt idx="450">
                  <c:v>724</c:v>
                </c:pt>
                <c:pt idx="451">
                  <c:v>656</c:v>
                </c:pt>
                <c:pt idx="452">
                  <c:v>723</c:v>
                </c:pt>
                <c:pt idx="453">
                  <c:v>653</c:v>
                </c:pt>
                <c:pt idx="454">
                  <c:v>700</c:v>
                </c:pt>
                <c:pt idx="455">
                  <c:v>723</c:v>
                </c:pt>
                <c:pt idx="456">
                  <c:v>707</c:v>
                </c:pt>
                <c:pt idx="457">
                  <c:v>717</c:v>
                </c:pt>
                <c:pt idx="458">
                  <c:v>738</c:v>
                </c:pt>
                <c:pt idx="459">
                  <c:v>745</c:v>
                </c:pt>
                <c:pt idx="460">
                  <c:v>733</c:v>
                </c:pt>
                <c:pt idx="461">
                  <c:v>716</c:v>
                </c:pt>
                <c:pt idx="462">
                  <c:v>723</c:v>
                </c:pt>
                <c:pt idx="463">
                  <c:v>734</c:v>
                </c:pt>
                <c:pt idx="464">
                  <c:v>703</c:v>
                </c:pt>
                <c:pt idx="465">
                  <c:v>717</c:v>
                </c:pt>
                <c:pt idx="466">
                  <c:v>689</c:v>
                </c:pt>
                <c:pt idx="467">
                  <c:v>723</c:v>
                </c:pt>
                <c:pt idx="468">
                  <c:v>666</c:v>
                </c:pt>
                <c:pt idx="469">
                  <c:v>693</c:v>
                </c:pt>
                <c:pt idx="470">
                  <c:v>664</c:v>
                </c:pt>
                <c:pt idx="471">
                  <c:v>739</c:v>
                </c:pt>
                <c:pt idx="472">
                  <c:v>723</c:v>
                </c:pt>
                <c:pt idx="473">
                  <c:v>737</c:v>
                </c:pt>
                <c:pt idx="474">
                  <c:v>705</c:v>
                </c:pt>
                <c:pt idx="475">
                  <c:v>717</c:v>
                </c:pt>
                <c:pt idx="476">
                  <c:v>700</c:v>
                </c:pt>
                <c:pt idx="477">
                  <c:v>723</c:v>
                </c:pt>
                <c:pt idx="478">
                  <c:v>723</c:v>
                </c:pt>
                <c:pt idx="479">
                  <c:v>742</c:v>
                </c:pt>
                <c:pt idx="480">
                  <c:v>729</c:v>
                </c:pt>
                <c:pt idx="481">
                  <c:v>751</c:v>
                </c:pt>
                <c:pt idx="482">
                  <c:v>711</c:v>
                </c:pt>
                <c:pt idx="483">
                  <c:v>727</c:v>
                </c:pt>
                <c:pt idx="484">
                  <c:v>727</c:v>
                </c:pt>
                <c:pt idx="485">
                  <c:v>744</c:v>
                </c:pt>
                <c:pt idx="486">
                  <c:v>743</c:v>
                </c:pt>
                <c:pt idx="487">
                  <c:v>732</c:v>
                </c:pt>
                <c:pt idx="488">
                  <c:v>747</c:v>
                </c:pt>
                <c:pt idx="489">
                  <c:v>730</c:v>
                </c:pt>
                <c:pt idx="490">
                  <c:v>745</c:v>
                </c:pt>
                <c:pt idx="491">
                  <c:v>738</c:v>
                </c:pt>
                <c:pt idx="492">
                  <c:v>723</c:v>
                </c:pt>
                <c:pt idx="493">
                  <c:v>748</c:v>
                </c:pt>
                <c:pt idx="494">
                  <c:v>741</c:v>
                </c:pt>
                <c:pt idx="495">
                  <c:v>733</c:v>
                </c:pt>
                <c:pt idx="496">
                  <c:v>745</c:v>
                </c:pt>
                <c:pt idx="497">
                  <c:v>740</c:v>
                </c:pt>
                <c:pt idx="498">
                  <c:v>747</c:v>
                </c:pt>
                <c:pt idx="499">
                  <c:v>749</c:v>
                </c:pt>
                <c:pt idx="500">
                  <c:v>723</c:v>
                </c:pt>
                <c:pt idx="501">
                  <c:v>723</c:v>
                </c:pt>
                <c:pt idx="502">
                  <c:v>680</c:v>
                </c:pt>
                <c:pt idx="503">
                  <c:v>723</c:v>
                </c:pt>
                <c:pt idx="504">
                  <c:v>735</c:v>
                </c:pt>
                <c:pt idx="505">
                  <c:v>743</c:v>
                </c:pt>
                <c:pt idx="506">
                  <c:v>613</c:v>
                </c:pt>
                <c:pt idx="507">
                  <c:v>712</c:v>
                </c:pt>
                <c:pt idx="508">
                  <c:v>747</c:v>
                </c:pt>
                <c:pt idx="509">
                  <c:v>745</c:v>
                </c:pt>
                <c:pt idx="510">
                  <c:v>723</c:v>
                </c:pt>
                <c:pt idx="511">
                  <c:v>698</c:v>
                </c:pt>
                <c:pt idx="512">
                  <c:v>723</c:v>
                </c:pt>
                <c:pt idx="513">
                  <c:v>723</c:v>
                </c:pt>
                <c:pt idx="514">
                  <c:v>747</c:v>
                </c:pt>
                <c:pt idx="515">
                  <c:v>723</c:v>
                </c:pt>
                <c:pt idx="516">
                  <c:v>723</c:v>
                </c:pt>
                <c:pt idx="517">
                  <c:v>732</c:v>
                </c:pt>
                <c:pt idx="518">
                  <c:v>747</c:v>
                </c:pt>
                <c:pt idx="519">
                  <c:v>745</c:v>
                </c:pt>
                <c:pt idx="520">
                  <c:v>723</c:v>
                </c:pt>
                <c:pt idx="521">
                  <c:v>723</c:v>
                </c:pt>
                <c:pt idx="522">
                  <c:v>740</c:v>
                </c:pt>
                <c:pt idx="523">
                  <c:v>723</c:v>
                </c:pt>
                <c:pt idx="524">
                  <c:v>731</c:v>
                </c:pt>
                <c:pt idx="525">
                  <c:v>723</c:v>
                </c:pt>
                <c:pt idx="526">
                  <c:v>723</c:v>
                </c:pt>
                <c:pt idx="527">
                  <c:v>703</c:v>
                </c:pt>
                <c:pt idx="528">
                  <c:v>724</c:v>
                </c:pt>
                <c:pt idx="529">
                  <c:v>668</c:v>
                </c:pt>
                <c:pt idx="530">
                  <c:v>723</c:v>
                </c:pt>
                <c:pt idx="531">
                  <c:v>720</c:v>
                </c:pt>
                <c:pt idx="532">
                  <c:v>713</c:v>
                </c:pt>
                <c:pt idx="533">
                  <c:v>721</c:v>
                </c:pt>
                <c:pt idx="534">
                  <c:v>723</c:v>
                </c:pt>
                <c:pt idx="535">
                  <c:v>730</c:v>
                </c:pt>
                <c:pt idx="536">
                  <c:v>688</c:v>
                </c:pt>
                <c:pt idx="537">
                  <c:v>709</c:v>
                </c:pt>
                <c:pt idx="538">
                  <c:v>723</c:v>
                </c:pt>
                <c:pt idx="539">
                  <c:v>723</c:v>
                </c:pt>
                <c:pt idx="540">
                  <c:v>618</c:v>
                </c:pt>
                <c:pt idx="541">
                  <c:v>691</c:v>
                </c:pt>
                <c:pt idx="542">
                  <c:v>747</c:v>
                </c:pt>
                <c:pt idx="543">
                  <c:v>716</c:v>
                </c:pt>
                <c:pt idx="544">
                  <c:v>740</c:v>
                </c:pt>
                <c:pt idx="545">
                  <c:v>723</c:v>
                </c:pt>
                <c:pt idx="546">
                  <c:v>726</c:v>
                </c:pt>
                <c:pt idx="547">
                  <c:v>739</c:v>
                </c:pt>
                <c:pt idx="548">
                  <c:v>719</c:v>
                </c:pt>
                <c:pt idx="549">
                  <c:v>729</c:v>
                </c:pt>
                <c:pt idx="550">
                  <c:v>748</c:v>
                </c:pt>
                <c:pt idx="551">
                  <c:v>740</c:v>
                </c:pt>
                <c:pt idx="552">
                  <c:v>739</c:v>
                </c:pt>
                <c:pt idx="553">
                  <c:v>744</c:v>
                </c:pt>
                <c:pt idx="554">
                  <c:v>722</c:v>
                </c:pt>
                <c:pt idx="555">
                  <c:v>723</c:v>
                </c:pt>
                <c:pt idx="556">
                  <c:v>736</c:v>
                </c:pt>
                <c:pt idx="557">
                  <c:v>723</c:v>
                </c:pt>
                <c:pt idx="558">
                  <c:v>730</c:v>
                </c:pt>
                <c:pt idx="559">
                  <c:v>740</c:v>
                </c:pt>
                <c:pt idx="560">
                  <c:v>738</c:v>
                </c:pt>
                <c:pt idx="561">
                  <c:v>749</c:v>
                </c:pt>
                <c:pt idx="562">
                  <c:v>723</c:v>
                </c:pt>
                <c:pt idx="563">
                  <c:v>664</c:v>
                </c:pt>
                <c:pt idx="564">
                  <c:v>700</c:v>
                </c:pt>
                <c:pt idx="565">
                  <c:v>721</c:v>
                </c:pt>
                <c:pt idx="566">
                  <c:v>723</c:v>
                </c:pt>
                <c:pt idx="567">
                  <c:v>723</c:v>
                </c:pt>
                <c:pt idx="568">
                  <c:v>706</c:v>
                </c:pt>
                <c:pt idx="569">
                  <c:v>748</c:v>
                </c:pt>
                <c:pt idx="570">
                  <c:v>739</c:v>
                </c:pt>
                <c:pt idx="571">
                  <c:v>723</c:v>
                </c:pt>
                <c:pt idx="572">
                  <c:v>723</c:v>
                </c:pt>
                <c:pt idx="573">
                  <c:v>738</c:v>
                </c:pt>
                <c:pt idx="574">
                  <c:v>723</c:v>
                </c:pt>
                <c:pt idx="575">
                  <c:v>723</c:v>
                </c:pt>
                <c:pt idx="576">
                  <c:v>727</c:v>
                </c:pt>
                <c:pt idx="577">
                  <c:v>695</c:v>
                </c:pt>
                <c:pt idx="578">
                  <c:v>636</c:v>
                </c:pt>
                <c:pt idx="579">
                  <c:v>731</c:v>
                </c:pt>
                <c:pt idx="580">
                  <c:v>723</c:v>
                </c:pt>
                <c:pt idx="581">
                  <c:v>743</c:v>
                </c:pt>
                <c:pt idx="582">
                  <c:v>723</c:v>
                </c:pt>
                <c:pt idx="583">
                  <c:v>741</c:v>
                </c:pt>
                <c:pt idx="584">
                  <c:v>733</c:v>
                </c:pt>
                <c:pt idx="585">
                  <c:v>746</c:v>
                </c:pt>
                <c:pt idx="586">
                  <c:v>702</c:v>
                </c:pt>
                <c:pt idx="587">
                  <c:v>723</c:v>
                </c:pt>
                <c:pt idx="588">
                  <c:v>731</c:v>
                </c:pt>
                <c:pt idx="589">
                  <c:v>705</c:v>
                </c:pt>
                <c:pt idx="590">
                  <c:v>707</c:v>
                </c:pt>
                <c:pt idx="591">
                  <c:v>678</c:v>
                </c:pt>
                <c:pt idx="592">
                  <c:v>703</c:v>
                </c:pt>
                <c:pt idx="593">
                  <c:v>674</c:v>
                </c:pt>
                <c:pt idx="594">
                  <c:v>725</c:v>
                </c:pt>
                <c:pt idx="595">
                  <c:v>744</c:v>
                </c:pt>
                <c:pt idx="596">
                  <c:v>731</c:v>
                </c:pt>
                <c:pt idx="597">
                  <c:v>741</c:v>
                </c:pt>
                <c:pt idx="598">
                  <c:v>747</c:v>
                </c:pt>
                <c:pt idx="599">
                  <c:v>713</c:v>
                </c:pt>
                <c:pt idx="600">
                  <c:v>723</c:v>
                </c:pt>
                <c:pt idx="601">
                  <c:v>711</c:v>
                </c:pt>
                <c:pt idx="602">
                  <c:v>743</c:v>
                </c:pt>
                <c:pt idx="603">
                  <c:v>723</c:v>
                </c:pt>
                <c:pt idx="604">
                  <c:v>594</c:v>
                </c:pt>
                <c:pt idx="605">
                  <c:v>721</c:v>
                </c:pt>
                <c:pt idx="606">
                  <c:v>728</c:v>
                </c:pt>
                <c:pt idx="607">
                  <c:v>726</c:v>
                </c:pt>
                <c:pt idx="608">
                  <c:v>687</c:v>
                </c:pt>
                <c:pt idx="609">
                  <c:v>717</c:v>
                </c:pt>
                <c:pt idx="610">
                  <c:v>734</c:v>
                </c:pt>
                <c:pt idx="611">
                  <c:v>723</c:v>
                </c:pt>
                <c:pt idx="612">
                  <c:v>723</c:v>
                </c:pt>
                <c:pt idx="613">
                  <c:v>748</c:v>
                </c:pt>
                <c:pt idx="614">
                  <c:v>723</c:v>
                </c:pt>
                <c:pt idx="615">
                  <c:v>703</c:v>
                </c:pt>
                <c:pt idx="616">
                  <c:v>726</c:v>
                </c:pt>
                <c:pt idx="617">
                  <c:v>747</c:v>
                </c:pt>
                <c:pt idx="618">
                  <c:v>745</c:v>
                </c:pt>
                <c:pt idx="619">
                  <c:v>688</c:v>
                </c:pt>
                <c:pt idx="620">
                  <c:v>729</c:v>
                </c:pt>
                <c:pt idx="621">
                  <c:v>681</c:v>
                </c:pt>
                <c:pt idx="622">
                  <c:v>716</c:v>
                </c:pt>
                <c:pt idx="623">
                  <c:v>704</c:v>
                </c:pt>
                <c:pt idx="624">
                  <c:v>736</c:v>
                </c:pt>
                <c:pt idx="625">
                  <c:v>700</c:v>
                </c:pt>
                <c:pt idx="626">
                  <c:v>743</c:v>
                </c:pt>
                <c:pt idx="627">
                  <c:v>745</c:v>
                </c:pt>
                <c:pt idx="628">
                  <c:v>724</c:v>
                </c:pt>
                <c:pt idx="629">
                  <c:v>721</c:v>
                </c:pt>
                <c:pt idx="630">
                  <c:v>723</c:v>
                </c:pt>
                <c:pt idx="631">
                  <c:v>734</c:v>
                </c:pt>
                <c:pt idx="632">
                  <c:v>748</c:v>
                </c:pt>
                <c:pt idx="633">
                  <c:v>723</c:v>
                </c:pt>
                <c:pt idx="634">
                  <c:v>710</c:v>
                </c:pt>
                <c:pt idx="635">
                  <c:v>656</c:v>
                </c:pt>
                <c:pt idx="636">
                  <c:v>691</c:v>
                </c:pt>
                <c:pt idx="637">
                  <c:v>726</c:v>
                </c:pt>
                <c:pt idx="638">
                  <c:v>723</c:v>
                </c:pt>
                <c:pt idx="639">
                  <c:v>744</c:v>
                </c:pt>
                <c:pt idx="640">
                  <c:v>724</c:v>
                </c:pt>
                <c:pt idx="641">
                  <c:v>680</c:v>
                </c:pt>
                <c:pt idx="642">
                  <c:v>723</c:v>
                </c:pt>
                <c:pt idx="643">
                  <c:v>729</c:v>
                </c:pt>
                <c:pt idx="644">
                  <c:v>721</c:v>
                </c:pt>
                <c:pt idx="645">
                  <c:v>646</c:v>
                </c:pt>
                <c:pt idx="646">
                  <c:v>723</c:v>
                </c:pt>
                <c:pt idx="647">
                  <c:v>745</c:v>
                </c:pt>
                <c:pt idx="648">
                  <c:v>727</c:v>
                </c:pt>
                <c:pt idx="649">
                  <c:v>723</c:v>
                </c:pt>
                <c:pt idx="650">
                  <c:v>713</c:v>
                </c:pt>
                <c:pt idx="651">
                  <c:v>699</c:v>
                </c:pt>
                <c:pt idx="652">
                  <c:v>743</c:v>
                </c:pt>
                <c:pt idx="653">
                  <c:v>614</c:v>
                </c:pt>
                <c:pt idx="654">
                  <c:v>713</c:v>
                </c:pt>
                <c:pt idx="655">
                  <c:v>723</c:v>
                </c:pt>
                <c:pt idx="656">
                  <c:v>723</c:v>
                </c:pt>
                <c:pt idx="657">
                  <c:v>740</c:v>
                </c:pt>
                <c:pt idx="658">
                  <c:v>736</c:v>
                </c:pt>
                <c:pt idx="659">
                  <c:v>743</c:v>
                </c:pt>
                <c:pt idx="660">
                  <c:v>741</c:v>
                </c:pt>
                <c:pt idx="661">
                  <c:v>723</c:v>
                </c:pt>
                <c:pt idx="662">
                  <c:v>723</c:v>
                </c:pt>
                <c:pt idx="663">
                  <c:v>700</c:v>
                </c:pt>
                <c:pt idx="664">
                  <c:v>723</c:v>
                </c:pt>
                <c:pt idx="665">
                  <c:v>723</c:v>
                </c:pt>
                <c:pt idx="666">
                  <c:v>749</c:v>
                </c:pt>
                <c:pt idx="667">
                  <c:v>741</c:v>
                </c:pt>
                <c:pt idx="668">
                  <c:v>727</c:v>
                </c:pt>
                <c:pt idx="669">
                  <c:v>716</c:v>
                </c:pt>
                <c:pt idx="670">
                  <c:v>729</c:v>
                </c:pt>
                <c:pt idx="671">
                  <c:v>669</c:v>
                </c:pt>
                <c:pt idx="672">
                  <c:v>741</c:v>
                </c:pt>
                <c:pt idx="673">
                  <c:v>728</c:v>
                </c:pt>
                <c:pt idx="674">
                  <c:v>723</c:v>
                </c:pt>
                <c:pt idx="675">
                  <c:v>723</c:v>
                </c:pt>
                <c:pt idx="676">
                  <c:v>742</c:v>
                </c:pt>
                <c:pt idx="677">
                  <c:v>686</c:v>
                </c:pt>
                <c:pt idx="678">
                  <c:v>741</c:v>
                </c:pt>
                <c:pt idx="679">
                  <c:v>709</c:v>
                </c:pt>
                <c:pt idx="680">
                  <c:v>701</c:v>
                </c:pt>
                <c:pt idx="681">
                  <c:v>721</c:v>
                </c:pt>
                <c:pt idx="682">
                  <c:v>723</c:v>
                </c:pt>
                <c:pt idx="683">
                  <c:v>682</c:v>
                </c:pt>
                <c:pt idx="684">
                  <c:v>706</c:v>
                </c:pt>
                <c:pt idx="685">
                  <c:v>680</c:v>
                </c:pt>
                <c:pt idx="686">
                  <c:v>723</c:v>
                </c:pt>
                <c:pt idx="687">
                  <c:v>692</c:v>
                </c:pt>
                <c:pt idx="688">
                  <c:v>709</c:v>
                </c:pt>
                <c:pt idx="689">
                  <c:v>720</c:v>
                </c:pt>
                <c:pt idx="690">
                  <c:v>734</c:v>
                </c:pt>
                <c:pt idx="691">
                  <c:v>742</c:v>
                </c:pt>
                <c:pt idx="692">
                  <c:v>713</c:v>
                </c:pt>
                <c:pt idx="693">
                  <c:v>697</c:v>
                </c:pt>
                <c:pt idx="694">
                  <c:v>723</c:v>
                </c:pt>
                <c:pt idx="695">
                  <c:v>746</c:v>
                </c:pt>
                <c:pt idx="696">
                  <c:v>739</c:v>
                </c:pt>
                <c:pt idx="697">
                  <c:v>723</c:v>
                </c:pt>
                <c:pt idx="698">
                  <c:v>687</c:v>
                </c:pt>
                <c:pt idx="699">
                  <c:v>723</c:v>
                </c:pt>
                <c:pt idx="700">
                  <c:v>696</c:v>
                </c:pt>
                <c:pt idx="701">
                  <c:v>737</c:v>
                </c:pt>
                <c:pt idx="702">
                  <c:v>700</c:v>
                </c:pt>
                <c:pt idx="703">
                  <c:v>707</c:v>
                </c:pt>
                <c:pt idx="704">
                  <c:v>739</c:v>
                </c:pt>
                <c:pt idx="705">
                  <c:v>751</c:v>
                </c:pt>
                <c:pt idx="706">
                  <c:v>713</c:v>
                </c:pt>
                <c:pt idx="707">
                  <c:v>723</c:v>
                </c:pt>
                <c:pt idx="708">
                  <c:v>733</c:v>
                </c:pt>
                <c:pt idx="709">
                  <c:v>723</c:v>
                </c:pt>
                <c:pt idx="710">
                  <c:v>738</c:v>
                </c:pt>
                <c:pt idx="711">
                  <c:v>668</c:v>
                </c:pt>
                <c:pt idx="712">
                  <c:v>723</c:v>
                </c:pt>
                <c:pt idx="713">
                  <c:v>739</c:v>
                </c:pt>
                <c:pt idx="714">
                  <c:v>712</c:v>
                </c:pt>
                <c:pt idx="715">
                  <c:v>707</c:v>
                </c:pt>
                <c:pt idx="716">
                  <c:v>727</c:v>
                </c:pt>
                <c:pt idx="717">
                  <c:v>723</c:v>
                </c:pt>
                <c:pt idx="718">
                  <c:v>723</c:v>
                </c:pt>
                <c:pt idx="719">
                  <c:v>723</c:v>
                </c:pt>
                <c:pt idx="720">
                  <c:v>723</c:v>
                </c:pt>
                <c:pt idx="721">
                  <c:v>715</c:v>
                </c:pt>
                <c:pt idx="722">
                  <c:v>720</c:v>
                </c:pt>
                <c:pt idx="723">
                  <c:v>722</c:v>
                </c:pt>
                <c:pt idx="724">
                  <c:v>723</c:v>
                </c:pt>
                <c:pt idx="725">
                  <c:v>741</c:v>
                </c:pt>
                <c:pt idx="726">
                  <c:v>718</c:v>
                </c:pt>
                <c:pt idx="727">
                  <c:v>723</c:v>
                </c:pt>
                <c:pt idx="728">
                  <c:v>693</c:v>
                </c:pt>
                <c:pt idx="729">
                  <c:v>741</c:v>
                </c:pt>
                <c:pt idx="730">
                  <c:v>740</c:v>
                </c:pt>
                <c:pt idx="731">
                  <c:v>704</c:v>
                </c:pt>
                <c:pt idx="732">
                  <c:v>731</c:v>
                </c:pt>
                <c:pt idx="733">
                  <c:v>751</c:v>
                </c:pt>
                <c:pt idx="734">
                  <c:v>719</c:v>
                </c:pt>
                <c:pt idx="735">
                  <c:v>699</c:v>
                </c:pt>
                <c:pt idx="736">
                  <c:v>723</c:v>
                </c:pt>
                <c:pt idx="737">
                  <c:v>723</c:v>
                </c:pt>
                <c:pt idx="738">
                  <c:v>750</c:v>
                </c:pt>
                <c:pt idx="739">
                  <c:v>717</c:v>
                </c:pt>
                <c:pt idx="740">
                  <c:v>723</c:v>
                </c:pt>
                <c:pt idx="741">
                  <c:v>723</c:v>
                </c:pt>
                <c:pt idx="742">
                  <c:v>723</c:v>
                </c:pt>
                <c:pt idx="743">
                  <c:v>723</c:v>
                </c:pt>
                <c:pt idx="744">
                  <c:v>723</c:v>
                </c:pt>
                <c:pt idx="745">
                  <c:v>730</c:v>
                </c:pt>
                <c:pt idx="746">
                  <c:v>723</c:v>
                </c:pt>
                <c:pt idx="747">
                  <c:v>749</c:v>
                </c:pt>
                <c:pt idx="748">
                  <c:v>719</c:v>
                </c:pt>
                <c:pt idx="749">
                  <c:v>692</c:v>
                </c:pt>
                <c:pt idx="750">
                  <c:v>723</c:v>
                </c:pt>
                <c:pt idx="751">
                  <c:v>723</c:v>
                </c:pt>
                <c:pt idx="752">
                  <c:v>712</c:v>
                </c:pt>
                <c:pt idx="753">
                  <c:v>703</c:v>
                </c:pt>
                <c:pt idx="754">
                  <c:v>686</c:v>
                </c:pt>
                <c:pt idx="755">
                  <c:v>741</c:v>
                </c:pt>
                <c:pt idx="756">
                  <c:v>743</c:v>
                </c:pt>
                <c:pt idx="757">
                  <c:v>723</c:v>
                </c:pt>
                <c:pt idx="758">
                  <c:v>723</c:v>
                </c:pt>
                <c:pt idx="759">
                  <c:v>738</c:v>
                </c:pt>
                <c:pt idx="760">
                  <c:v>724</c:v>
                </c:pt>
                <c:pt idx="761">
                  <c:v>711</c:v>
                </c:pt>
                <c:pt idx="762">
                  <c:v>691</c:v>
                </c:pt>
                <c:pt idx="763">
                  <c:v>726</c:v>
                </c:pt>
                <c:pt idx="764">
                  <c:v>748</c:v>
                </c:pt>
                <c:pt idx="765">
                  <c:v>704</c:v>
                </c:pt>
                <c:pt idx="766">
                  <c:v>747</c:v>
                </c:pt>
                <c:pt idx="767">
                  <c:v>704</c:v>
                </c:pt>
                <c:pt idx="768">
                  <c:v>713</c:v>
                </c:pt>
                <c:pt idx="769">
                  <c:v>738</c:v>
                </c:pt>
                <c:pt idx="770">
                  <c:v>612</c:v>
                </c:pt>
                <c:pt idx="771">
                  <c:v>732</c:v>
                </c:pt>
                <c:pt idx="772">
                  <c:v>723</c:v>
                </c:pt>
                <c:pt idx="773">
                  <c:v>723</c:v>
                </c:pt>
                <c:pt idx="774">
                  <c:v>654</c:v>
                </c:pt>
                <c:pt idx="775">
                  <c:v>725</c:v>
                </c:pt>
                <c:pt idx="776">
                  <c:v>735</c:v>
                </c:pt>
                <c:pt idx="777">
                  <c:v>740</c:v>
                </c:pt>
                <c:pt idx="778">
                  <c:v>723</c:v>
                </c:pt>
                <c:pt idx="779">
                  <c:v>738</c:v>
                </c:pt>
                <c:pt idx="780">
                  <c:v>735</c:v>
                </c:pt>
                <c:pt idx="781">
                  <c:v>711</c:v>
                </c:pt>
                <c:pt idx="782">
                  <c:v>735</c:v>
                </c:pt>
                <c:pt idx="783">
                  <c:v>738</c:v>
                </c:pt>
                <c:pt idx="784">
                  <c:v>745</c:v>
                </c:pt>
                <c:pt idx="785">
                  <c:v>688</c:v>
                </c:pt>
                <c:pt idx="786">
                  <c:v>719</c:v>
                </c:pt>
                <c:pt idx="787">
                  <c:v>738</c:v>
                </c:pt>
                <c:pt idx="788">
                  <c:v>741</c:v>
                </c:pt>
                <c:pt idx="789">
                  <c:v>709</c:v>
                </c:pt>
                <c:pt idx="790">
                  <c:v>652</c:v>
                </c:pt>
                <c:pt idx="791">
                  <c:v>719</c:v>
                </c:pt>
                <c:pt idx="792">
                  <c:v>704</c:v>
                </c:pt>
                <c:pt idx="793">
                  <c:v>725</c:v>
                </c:pt>
                <c:pt idx="794">
                  <c:v>673</c:v>
                </c:pt>
                <c:pt idx="795">
                  <c:v>725</c:v>
                </c:pt>
                <c:pt idx="796">
                  <c:v>722</c:v>
                </c:pt>
                <c:pt idx="797">
                  <c:v>723</c:v>
                </c:pt>
                <c:pt idx="798">
                  <c:v>690</c:v>
                </c:pt>
                <c:pt idx="799">
                  <c:v>735</c:v>
                </c:pt>
                <c:pt idx="800">
                  <c:v>664</c:v>
                </c:pt>
                <c:pt idx="801">
                  <c:v>702</c:v>
                </c:pt>
                <c:pt idx="802">
                  <c:v>669</c:v>
                </c:pt>
                <c:pt idx="803">
                  <c:v>744</c:v>
                </c:pt>
                <c:pt idx="804">
                  <c:v>739</c:v>
                </c:pt>
                <c:pt idx="805">
                  <c:v>723</c:v>
                </c:pt>
                <c:pt idx="806">
                  <c:v>735</c:v>
                </c:pt>
                <c:pt idx="807">
                  <c:v>716</c:v>
                </c:pt>
                <c:pt idx="808">
                  <c:v>733</c:v>
                </c:pt>
                <c:pt idx="809">
                  <c:v>748</c:v>
                </c:pt>
                <c:pt idx="810">
                  <c:v>746</c:v>
                </c:pt>
                <c:pt idx="811">
                  <c:v>690</c:v>
                </c:pt>
                <c:pt idx="812">
                  <c:v>715</c:v>
                </c:pt>
                <c:pt idx="813">
                  <c:v>691</c:v>
                </c:pt>
                <c:pt idx="814">
                  <c:v>721</c:v>
                </c:pt>
                <c:pt idx="815">
                  <c:v>742</c:v>
                </c:pt>
                <c:pt idx="816">
                  <c:v>678</c:v>
                </c:pt>
                <c:pt idx="817">
                  <c:v>694</c:v>
                </c:pt>
                <c:pt idx="818">
                  <c:v>723</c:v>
                </c:pt>
                <c:pt idx="819">
                  <c:v>724</c:v>
                </c:pt>
                <c:pt idx="820">
                  <c:v>745</c:v>
                </c:pt>
                <c:pt idx="821">
                  <c:v>720</c:v>
                </c:pt>
                <c:pt idx="822">
                  <c:v>735</c:v>
                </c:pt>
                <c:pt idx="823">
                  <c:v>750</c:v>
                </c:pt>
                <c:pt idx="824">
                  <c:v>717</c:v>
                </c:pt>
                <c:pt idx="825">
                  <c:v>730</c:v>
                </c:pt>
                <c:pt idx="826">
                  <c:v>691</c:v>
                </c:pt>
                <c:pt idx="827">
                  <c:v>719</c:v>
                </c:pt>
                <c:pt idx="828">
                  <c:v>723</c:v>
                </c:pt>
                <c:pt idx="829">
                  <c:v>698</c:v>
                </c:pt>
                <c:pt idx="830">
                  <c:v>746</c:v>
                </c:pt>
                <c:pt idx="831">
                  <c:v>723</c:v>
                </c:pt>
                <c:pt idx="832">
                  <c:v>723</c:v>
                </c:pt>
                <c:pt idx="833">
                  <c:v>743</c:v>
                </c:pt>
                <c:pt idx="834">
                  <c:v>712</c:v>
                </c:pt>
                <c:pt idx="835">
                  <c:v>723</c:v>
                </c:pt>
                <c:pt idx="836">
                  <c:v>738</c:v>
                </c:pt>
                <c:pt idx="837">
                  <c:v>723</c:v>
                </c:pt>
                <c:pt idx="838">
                  <c:v>740</c:v>
                </c:pt>
                <c:pt idx="839">
                  <c:v>723</c:v>
                </c:pt>
                <c:pt idx="840">
                  <c:v>721</c:v>
                </c:pt>
                <c:pt idx="841">
                  <c:v>732</c:v>
                </c:pt>
                <c:pt idx="842">
                  <c:v>675</c:v>
                </c:pt>
                <c:pt idx="843">
                  <c:v>738</c:v>
                </c:pt>
                <c:pt idx="844">
                  <c:v>723</c:v>
                </c:pt>
                <c:pt idx="845">
                  <c:v>723</c:v>
                </c:pt>
                <c:pt idx="846">
                  <c:v>741</c:v>
                </c:pt>
                <c:pt idx="847">
                  <c:v>717</c:v>
                </c:pt>
                <c:pt idx="848">
                  <c:v>728</c:v>
                </c:pt>
                <c:pt idx="849">
                  <c:v>723</c:v>
                </c:pt>
                <c:pt idx="850">
                  <c:v>673</c:v>
                </c:pt>
                <c:pt idx="851">
                  <c:v>741</c:v>
                </c:pt>
                <c:pt idx="852">
                  <c:v>723</c:v>
                </c:pt>
                <c:pt idx="853">
                  <c:v>716</c:v>
                </c:pt>
                <c:pt idx="854">
                  <c:v>723</c:v>
                </c:pt>
                <c:pt idx="855">
                  <c:v>745</c:v>
                </c:pt>
                <c:pt idx="856">
                  <c:v>668</c:v>
                </c:pt>
                <c:pt idx="857">
                  <c:v>723</c:v>
                </c:pt>
                <c:pt idx="858">
                  <c:v>738</c:v>
                </c:pt>
                <c:pt idx="859">
                  <c:v>703</c:v>
                </c:pt>
                <c:pt idx="860">
                  <c:v>735</c:v>
                </c:pt>
                <c:pt idx="861">
                  <c:v>722</c:v>
                </c:pt>
                <c:pt idx="862">
                  <c:v>723</c:v>
                </c:pt>
                <c:pt idx="863">
                  <c:v>750</c:v>
                </c:pt>
                <c:pt idx="864">
                  <c:v>723</c:v>
                </c:pt>
                <c:pt idx="865">
                  <c:v>726</c:v>
                </c:pt>
                <c:pt idx="866">
                  <c:v>723</c:v>
                </c:pt>
                <c:pt idx="867">
                  <c:v>723</c:v>
                </c:pt>
                <c:pt idx="868">
                  <c:v>699</c:v>
                </c:pt>
                <c:pt idx="869">
                  <c:v>723</c:v>
                </c:pt>
                <c:pt idx="870">
                  <c:v>692</c:v>
                </c:pt>
                <c:pt idx="871">
                  <c:v>703</c:v>
                </c:pt>
                <c:pt idx="872">
                  <c:v>697</c:v>
                </c:pt>
                <c:pt idx="873">
                  <c:v>683</c:v>
                </c:pt>
                <c:pt idx="874">
                  <c:v>726</c:v>
                </c:pt>
                <c:pt idx="875">
                  <c:v>730</c:v>
                </c:pt>
                <c:pt idx="876">
                  <c:v>723</c:v>
                </c:pt>
                <c:pt idx="877">
                  <c:v>723</c:v>
                </c:pt>
                <c:pt idx="878">
                  <c:v>719</c:v>
                </c:pt>
                <c:pt idx="879">
                  <c:v>712</c:v>
                </c:pt>
                <c:pt idx="880">
                  <c:v>723</c:v>
                </c:pt>
                <c:pt idx="881">
                  <c:v>738</c:v>
                </c:pt>
                <c:pt idx="882">
                  <c:v>646</c:v>
                </c:pt>
                <c:pt idx="883">
                  <c:v>736</c:v>
                </c:pt>
                <c:pt idx="884">
                  <c:v>695</c:v>
                </c:pt>
                <c:pt idx="885">
                  <c:v>723</c:v>
                </c:pt>
                <c:pt idx="886">
                  <c:v>751</c:v>
                </c:pt>
                <c:pt idx="887">
                  <c:v>728</c:v>
                </c:pt>
                <c:pt idx="888">
                  <c:v>703</c:v>
                </c:pt>
                <c:pt idx="889">
                  <c:v>722</c:v>
                </c:pt>
                <c:pt idx="890">
                  <c:v>699</c:v>
                </c:pt>
                <c:pt idx="891">
                  <c:v>641</c:v>
                </c:pt>
                <c:pt idx="892">
                  <c:v>729</c:v>
                </c:pt>
                <c:pt idx="893">
                  <c:v>718</c:v>
                </c:pt>
                <c:pt idx="894">
                  <c:v>716</c:v>
                </c:pt>
                <c:pt idx="895">
                  <c:v>714</c:v>
                </c:pt>
                <c:pt idx="896">
                  <c:v>723</c:v>
                </c:pt>
                <c:pt idx="897">
                  <c:v>723</c:v>
                </c:pt>
                <c:pt idx="898">
                  <c:v>686</c:v>
                </c:pt>
                <c:pt idx="899">
                  <c:v>718</c:v>
                </c:pt>
                <c:pt idx="900">
                  <c:v>723</c:v>
                </c:pt>
                <c:pt idx="901">
                  <c:v>720</c:v>
                </c:pt>
                <c:pt idx="902">
                  <c:v>746</c:v>
                </c:pt>
                <c:pt idx="903">
                  <c:v>716</c:v>
                </c:pt>
                <c:pt idx="904">
                  <c:v>723</c:v>
                </c:pt>
                <c:pt idx="905">
                  <c:v>712</c:v>
                </c:pt>
                <c:pt idx="906">
                  <c:v>682</c:v>
                </c:pt>
                <c:pt idx="907">
                  <c:v>726</c:v>
                </c:pt>
                <c:pt idx="908">
                  <c:v>719</c:v>
                </c:pt>
                <c:pt idx="909">
                  <c:v>739</c:v>
                </c:pt>
                <c:pt idx="910">
                  <c:v>723</c:v>
                </c:pt>
                <c:pt idx="911">
                  <c:v>698</c:v>
                </c:pt>
                <c:pt idx="912">
                  <c:v>747</c:v>
                </c:pt>
                <c:pt idx="913">
                  <c:v>719</c:v>
                </c:pt>
                <c:pt idx="914">
                  <c:v>701</c:v>
                </c:pt>
                <c:pt idx="915">
                  <c:v>734</c:v>
                </c:pt>
                <c:pt idx="916">
                  <c:v>743</c:v>
                </c:pt>
                <c:pt idx="917">
                  <c:v>723</c:v>
                </c:pt>
                <c:pt idx="918">
                  <c:v>723</c:v>
                </c:pt>
                <c:pt idx="919">
                  <c:v>744</c:v>
                </c:pt>
                <c:pt idx="920">
                  <c:v>723</c:v>
                </c:pt>
                <c:pt idx="921">
                  <c:v>705</c:v>
                </c:pt>
                <c:pt idx="922">
                  <c:v>685</c:v>
                </c:pt>
                <c:pt idx="923">
                  <c:v>723</c:v>
                </c:pt>
                <c:pt idx="924">
                  <c:v>720</c:v>
                </c:pt>
                <c:pt idx="925">
                  <c:v>723</c:v>
                </c:pt>
                <c:pt idx="926">
                  <c:v>715</c:v>
                </c:pt>
                <c:pt idx="927">
                  <c:v>723</c:v>
                </c:pt>
                <c:pt idx="928">
                  <c:v>747</c:v>
                </c:pt>
                <c:pt idx="929">
                  <c:v>723</c:v>
                </c:pt>
                <c:pt idx="930">
                  <c:v>702</c:v>
                </c:pt>
                <c:pt idx="931">
                  <c:v>748</c:v>
                </c:pt>
                <c:pt idx="932">
                  <c:v>723</c:v>
                </c:pt>
                <c:pt idx="933">
                  <c:v>734</c:v>
                </c:pt>
                <c:pt idx="934">
                  <c:v>705</c:v>
                </c:pt>
                <c:pt idx="935">
                  <c:v>723</c:v>
                </c:pt>
                <c:pt idx="936">
                  <c:v>723</c:v>
                </c:pt>
                <c:pt idx="937">
                  <c:v>714</c:v>
                </c:pt>
                <c:pt idx="938">
                  <c:v>728</c:v>
                </c:pt>
                <c:pt idx="939">
                  <c:v>707</c:v>
                </c:pt>
                <c:pt idx="940">
                  <c:v>725</c:v>
                </c:pt>
                <c:pt idx="941">
                  <c:v>728</c:v>
                </c:pt>
                <c:pt idx="942">
                  <c:v>723</c:v>
                </c:pt>
                <c:pt idx="943">
                  <c:v>728</c:v>
                </c:pt>
                <c:pt idx="944">
                  <c:v>723</c:v>
                </c:pt>
                <c:pt idx="945">
                  <c:v>742</c:v>
                </c:pt>
                <c:pt idx="946">
                  <c:v>748</c:v>
                </c:pt>
                <c:pt idx="947">
                  <c:v>743</c:v>
                </c:pt>
                <c:pt idx="948">
                  <c:v>723</c:v>
                </c:pt>
                <c:pt idx="949">
                  <c:v>669</c:v>
                </c:pt>
                <c:pt idx="950">
                  <c:v>723</c:v>
                </c:pt>
                <c:pt idx="951">
                  <c:v>704</c:v>
                </c:pt>
                <c:pt idx="952">
                  <c:v>723</c:v>
                </c:pt>
                <c:pt idx="953">
                  <c:v>731</c:v>
                </c:pt>
                <c:pt idx="954">
                  <c:v>749</c:v>
                </c:pt>
                <c:pt idx="955">
                  <c:v>723</c:v>
                </c:pt>
                <c:pt idx="956">
                  <c:v>723</c:v>
                </c:pt>
                <c:pt idx="957">
                  <c:v>730</c:v>
                </c:pt>
                <c:pt idx="958">
                  <c:v>735</c:v>
                </c:pt>
                <c:pt idx="959">
                  <c:v>740</c:v>
                </c:pt>
                <c:pt idx="960">
                  <c:v>740</c:v>
                </c:pt>
                <c:pt idx="961">
                  <c:v>720</c:v>
                </c:pt>
                <c:pt idx="962">
                  <c:v>723</c:v>
                </c:pt>
                <c:pt idx="963">
                  <c:v>723</c:v>
                </c:pt>
                <c:pt idx="964">
                  <c:v>715</c:v>
                </c:pt>
                <c:pt idx="965">
                  <c:v>735</c:v>
                </c:pt>
                <c:pt idx="966">
                  <c:v>721</c:v>
                </c:pt>
                <c:pt idx="967">
                  <c:v>689</c:v>
                </c:pt>
                <c:pt idx="968">
                  <c:v>694</c:v>
                </c:pt>
                <c:pt idx="969">
                  <c:v>723</c:v>
                </c:pt>
                <c:pt idx="970">
                  <c:v>723</c:v>
                </c:pt>
                <c:pt idx="971">
                  <c:v>746</c:v>
                </c:pt>
                <c:pt idx="972">
                  <c:v>739</c:v>
                </c:pt>
                <c:pt idx="973">
                  <c:v>723</c:v>
                </c:pt>
                <c:pt idx="974">
                  <c:v>689</c:v>
                </c:pt>
                <c:pt idx="975">
                  <c:v>731</c:v>
                </c:pt>
                <c:pt idx="976">
                  <c:v>665</c:v>
                </c:pt>
                <c:pt idx="977">
                  <c:v>710</c:v>
                </c:pt>
                <c:pt idx="978">
                  <c:v>683</c:v>
                </c:pt>
                <c:pt idx="979">
                  <c:v>725</c:v>
                </c:pt>
                <c:pt idx="980">
                  <c:v>718</c:v>
                </c:pt>
                <c:pt idx="981">
                  <c:v>681</c:v>
                </c:pt>
                <c:pt idx="982">
                  <c:v>723</c:v>
                </c:pt>
                <c:pt idx="983">
                  <c:v>723</c:v>
                </c:pt>
                <c:pt idx="984">
                  <c:v>680</c:v>
                </c:pt>
                <c:pt idx="985">
                  <c:v>723</c:v>
                </c:pt>
                <c:pt idx="986">
                  <c:v>723</c:v>
                </c:pt>
                <c:pt idx="987">
                  <c:v>726</c:v>
                </c:pt>
                <c:pt idx="988">
                  <c:v>654</c:v>
                </c:pt>
                <c:pt idx="989">
                  <c:v>723</c:v>
                </c:pt>
                <c:pt idx="990">
                  <c:v>747</c:v>
                </c:pt>
                <c:pt idx="991">
                  <c:v>735</c:v>
                </c:pt>
                <c:pt idx="992">
                  <c:v>699</c:v>
                </c:pt>
                <c:pt idx="993">
                  <c:v>714</c:v>
                </c:pt>
                <c:pt idx="994">
                  <c:v>719</c:v>
                </c:pt>
                <c:pt idx="995">
                  <c:v>726</c:v>
                </c:pt>
                <c:pt idx="996">
                  <c:v>721</c:v>
                </c:pt>
                <c:pt idx="997">
                  <c:v>708</c:v>
                </c:pt>
                <c:pt idx="998">
                  <c:v>733</c:v>
                </c:pt>
                <c:pt idx="999">
                  <c:v>737</c:v>
                </c:pt>
                <c:pt idx="1000">
                  <c:v>702</c:v>
                </c:pt>
                <c:pt idx="1001">
                  <c:v>747</c:v>
                </c:pt>
                <c:pt idx="1002">
                  <c:v>723</c:v>
                </c:pt>
                <c:pt idx="1003">
                  <c:v>696</c:v>
                </c:pt>
                <c:pt idx="1004">
                  <c:v>705</c:v>
                </c:pt>
                <c:pt idx="1005">
                  <c:v>716</c:v>
                </c:pt>
                <c:pt idx="1006">
                  <c:v>695</c:v>
                </c:pt>
                <c:pt idx="1007">
                  <c:v>723</c:v>
                </c:pt>
                <c:pt idx="1008">
                  <c:v>732</c:v>
                </c:pt>
                <c:pt idx="1009">
                  <c:v>723</c:v>
                </c:pt>
                <c:pt idx="1010">
                  <c:v>723</c:v>
                </c:pt>
                <c:pt idx="1011">
                  <c:v>743</c:v>
                </c:pt>
                <c:pt idx="1012">
                  <c:v>728</c:v>
                </c:pt>
                <c:pt idx="1013">
                  <c:v>739</c:v>
                </c:pt>
                <c:pt idx="1014">
                  <c:v>742</c:v>
                </c:pt>
                <c:pt idx="1015">
                  <c:v>728</c:v>
                </c:pt>
                <c:pt idx="1016">
                  <c:v>748</c:v>
                </c:pt>
                <c:pt idx="1017">
                  <c:v>718</c:v>
                </c:pt>
                <c:pt idx="1018">
                  <c:v>680</c:v>
                </c:pt>
                <c:pt idx="1019">
                  <c:v>654</c:v>
                </c:pt>
                <c:pt idx="1020">
                  <c:v>739</c:v>
                </c:pt>
                <c:pt idx="1021">
                  <c:v>685</c:v>
                </c:pt>
                <c:pt idx="1022">
                  <c:v>725</c:v>
                </c:pt>
                <c:pt idx="1023">
                  <c:v>723</c:v>
                </c:pt>
                <c:pt idx="1024">
                  <c:v>716</c:v>
                </c:pt>
                <c:pt idx="1025">
                  <c:v>710</c:v>
                </c:pt>
                <c:pt idx="1026">
                  <c:v>717</c:v>
                </c:pt>
                <c:pt idx="1027">
                  <c:v>723</c:v>
                </c:pt>
                <c:pt idx="1028">
                  <c:v>739</c:v>
                </c:pt>
                <c:pt idx="1029">
                  <c:v>723</c:v>
                </c:pt>
                <c:pt idx="1030">
                  <c:v>749</c:v>
                </c:pt>
                <c:pt idx="1031">
                  <c:v>723</c:v>
                </c:pt>
                <c:pt idx="1032">
                  <c:v>723</c:v>
                </c:pt>
                <c:pt idx="1033">
                  <c:v>740</c:v>
                </c:pt>
                <c:pt idx="1034">
                  <c:v>723</c:v>
                </c:pt>
                <c:pt idx="1035">
                  <c:v>723</c:v>
                </c:pt>
                <c:pt idx="1036">
                  <c:v>723</c:v>
                </c:pt>
                <c:pt idx="1037">
                  <c:v>723</c:v>
                </c:pt>
                <c:pt idx="1038">
                  <c:v>722</c:v>
                </c:pt>
                <c:pt idx="1039">
                  <c:v>723</c:v>
                </c:pt>
                <c:pt idx="1040">
                  <c:v>722</c:v>
                </c:pt>
                <c:pt idx="1041">
                  <c:v>710</c:v>
                </c:pt>
                <c:pt idx="1042">
                  <c:v>738</c:v>
                </c:pt>
                <c:pt idx="1043">
                  <c:v>723</c:v>
                </c:pt>
                <c:pt idx="1044">
                  <c:v>723</c:v>
                </c:pt>
                <c:pt idx="1045">
                  <c:v>723</c:v>
                </c:pt>
                <c:pt idx="1046">
                  <c:v>682</c:v>
                </c:pt>
                <c:pt idx="1047">
                  <c:v>723</c:v>
                </c:pt>
                <c:pt idx="1048">
                  <c:v>723</c:v>
                </c:pt>
                <c:pt idx="1049">
                  <c:v>725</c:v>
                </c:pt>
                <c:pt idx="1050">
                  <c:v>693</c:v>
                </c:pt>
                <c:pt idx="1051">
                  <c:v>730</c:v>
                </c:pt>
                <c:pt idx="1052">
                  <c:v>705</c:v>
                </c:pt>
                <c:pt idx="1053">
                  <c:v>681</c:v>
                </c:pt>
                <c:pt idx="1054">
                  <c:v>723</c:v>
                </c:pt>
                <c:pt idx="1055">
                  <c:v>723</c:v>
                </c:pt>
                <c:pt idx="1056">
                  <c:v>721</c:v>
                </c:pt>
                <c:pt idx="1057">
                  <c:v>737</c:v>
                </c:pt>
                <c:pt idx="1058">
                  <c:v>723</c:v>
                </c:pt>
                <c:pt idx="1059">
                  <c:v>674</c:v>
                </c:pt>
                <c:pt idx="1060">
                  <c:v>709</c:v>
                </c:pt>
                <c:pt idx="1061">
                  <c:v>719</c:v>
                </c:pt>
                <c:pt idx="1062">
                  <c:v>732</c:v>
                </c:pt>
                <c:pt idx="1063">
                  <c:v>740</c:v>
                </c:pt>
                <c:pt idx="1064">
                  <c:v>677</c:v>
                </c:pt>
                <c:pt idx="1065">
                  <c:v>698</c:v>
                </c:pt>
                <c:pt idx="1066">
                  <c:v>728</c:v>
                </c:pt>
                <c:pt idx="1067">
                  <c:v>703</c:v>
                </c:pt>
                <c:pt idx="1068">
                  <c:v>723</c:v>
                </c:pt>
                <c:pt idx="1069">
                  <c:v>731</c:v>
                </c:pt>
                <c:pt idx="1070">
                  <c:v>741</c:v>
                </c:pt>
                <c:pt idx="1071">
                  <c:v>738</c:v>
                </c:pt>
                <c:pt idx="1072">
                  <c:v>723</c:v>
                </c:pt>
                <c:pt idx="1073">
                  <c:v>744</c:v>
                </c:pt>
                <c:pt idx="1074">
                  <c:v>723</c:v>
                </c:pt>
                <c:pt idx="1075">
                  <c:v>707</c:v>
                </c:pt>
                <c:pt idx="1076">
                  <c:v>739</c:v>
                </c:pt>
                <c:pt idx="1077">
                  <c:v>702</c:v>
                </c:pt>
                <c:pt idx="1078">
                  <c:v>723</c:v>
                </c:pt>
                <c:pt idx="1079">
                  <c:v>684</c:v>
                </c:pt>
                <c:pt idx="1080">
                  <c:v>746</c:v>
                </c:pt>
                <c:pt idx="1081">
                  <c:v>723</c:v>
                </c:pt>
                <c:pt idx="1082">
                  <c:v>723</c:v>
                </c:pt>
                <c:pt idx="1083">
                  <c:v>708</c:v>
                </c:pt>
                <c:pt idx="1084">
                  <c:v>723</c:v>
                </c:pt>
                <c:pt idx="1085">
                  <c:v>707</c:v>
                </c:pt>
                <c:pt idx="1086">
                  <c:v>744</c:v>
                </c:pt>
                <c:pt idx="1087">
                  <c:v>655</c:v>
                </c:pt>
                <c:pt idx="1088">
                  <c:v>723</c:v>
                </c:pt>
                <c:pt idx="1089">
                  <c:v>741</c:v>
                </c:pt>
                <c:pt idx="1090">
                  <c:v>742</c:v>
                </c:pt>
                <c:pt idx="1091">
                  <c:v>738</c:v>
                </c:pt>
                <c:pt idx="1092">
                  <c:v>741</c:v>
                </c:pt>
                <c:pt idx="1093">
                  <c:v>678</c:v>
                </c:pt>
                <c:pt idx="1094">
                  <c:v>701</c:v>
                </c:pt>
                <c:pt idx="1095">
                  <c:v>750</c:v>
                </c:pt>
                <c:pt idx="1096">
                  <c:v>737</c:v>
                </c:pt>
                <c:pt idx="1097">
                  <c:v>723</c:v>
                </c:pt>
                <c:pt idx="1098">
                  <c:v>710</c:v>
                </c:pt>
                <c:pt idx="1099">
                  <c:v>704</c:v>
                </c:pt>
                <c:pt idx="1100">
                  <c:v>747</c:v>
                </c:pt>
                <c:pt idx="1101">
                  <c:v>723</c:v>
                </c:pt>
                <c:pt idx="1102">
                  <c:v>726</c:v>
                </c:pt>
                <c:pt idx="1103">
                  <c:v>723</c:v>
                </c:pt>
                <c:pt idx="1104">
                  <c:v>737</c:v>
                </c:pt>
                <c:pt idx="1105">
                  <c:v>715</c:v>
                </c:pt>
                <c:pt idx="1106">
                  <c:v>723</c:v>
                </c:pt>
                <c:pt idx="1107">
                  <c:v>708</c:v>
                </c:pt>
                <c:pt idx="1108">
                  <c:v>732</c:v>
                </c:pt>
                <c:pt idx="1109">
                  <c:v>744</c:v>
                </c:pt>
                <c:pt idx="1110">
                  <c:v>736</c:v>
                </c:pt>
                <c:pt idx="1111">
                  <c:v>702</c:v>
                </c:pt>
                <c:pt idx="1112">
                  <c:v>743</c:v>
                </c:pt>
                <c:pt idx="1113">
                  <c:v>732</c:v>
                </c:pt>
                <c:pt idx="1114">
                  <c:v>742</c:v>
                </c:pt>
                <c:pt idx="1115">
                  <c:v>723</c:v>
                </c:pt>
                <c:pt idx="1116">
                  <c:v>737</c:v>
                </c:pt>
                <c:pt idx="1117">
                  <c:v>704</c:v>
                </c:pt>
                <c:pt idx="1118">
                  <c:v>710</c:v>
                </c:pt>
                <c:pt idx="1119">
                  <c:v>723</c:v>
                </c:pt>
                <c:pt idx="1120">
                  <c:v>723</c:v>
                </c:pt>
                <c:pt idx="1121">
                  <c:v>721</c:v>
                </c:pt>
                <c:pt idx="1122">
                  <c:v>716</c:v>
                </c:pt>
                <c:pt idx="1123">
                  <c:v>731</c:v>
                </c:pt>
                <c:pt idx="1124">
                  <c:v>736</c:v>
                </c:pt>
                <c:pt idx="1125">
                  <c:v>743</c:v>
                </c:pt>
                <c:pt idx="1126">
                  <c:v>716</c:v>
                </c:pt>
                <c:pt idx="1127">
                  <c:v>653</c:v>
                </c:pt>
                <c:pt idx="1128">
                  <c:v>744</c:v>
                </c:pt>
                <c:pt idx="1129">
                  <c:v>712</c:v>
                </c:pt>
                <c:pt idx="1130">
                  <c:v>678</c:v>
                </c:pt>
                <c:pt idx="1131">
                  <c:v>723</c:v>
                </c:pt>
                <c:pt idx="1132">
                  <c:v>691</c:v>
                </c:pt>
                <c:pt idx="1133">
                  <c:v>702</c:v>
                </c:pt>
                <c:pt idx="1134">
                  <c:v>719</c:v>
                </c:pt>
                <c:pt idx="1135">
                  <c:v>723</c:v>
                </c:pt>
                <c:pt idx="1136">
                  <c:v>723</c:v>
                </c:pt>
                <c:pt idx="1137">
                  <c:v>723</c:v>
                </c:pt>
                <c:pt idx="1138">
                  <c:v>688</c:v>
                </c:pt>
                <c:pt idx="1139">
                  <c:v>680</c:v>
                </c:pt>
                <c:pt idx="1140">
                  <c:v>723</c:v>
                </c:pt>
                <c:pt idx="1141">
                  <c:v>708</c:v>
                </c:pt>
                <c:pt idx="1142">
                  <c:v>723</c:v>
                </c:pt>
                <c:pt idx="1143">
                  <c:v>714</c:v>
                </c:pt>
                <c:pt idx="1144">
                  <c:v>740</c:v>
                </c:pt>
                <c:pt idx="1145">
                  <c:v>708</c:v>
                </c:pt>
                <c:pt idx="1146">
                  <c:v>738</c:v>
                </c:pt>
                <c:pt idx="1147">
                  <c:v>737</c:v>
                </c:pt>
                <c:pt idx="1148">
                  <c:v>695</c:v>
                </c:pt>
                <c:pt idx="1149">
                  <c:v>723</c:v>
                </c:pt>
                <c:pt idx="1150">
                  <c:v>747</c:v>
                </c:pt>
                <c:pt idx="1151">
                  <c:v>723</c:v>
                </c:pt>
                <c:pt idx="1152">
                  <c:v>724</c:v>
                </c:pt>
                <c:pt idx="1153">
                  <c:v>702</c:v>
                </c:pt>
                <c:pt idx="1154">
                  <c:v>723</c:v>
                </c:pt>
                <c:pt idx="1155">
                  <c:v>723</c:v>
                </c:pt>
                <c:pt idx="1156">
                  <c:v>738</c:v>
                </c:pt>
                <c:pt idx="1157">
                  <c:v>723</c:v>
                </c:pt>
                <c:pt idx="1158">
                  <c:v>704</c:v>
                </c:pt>
                <c:pt idx="1159">
                  <c:v>723</c:v>
                </c:pt>
                <c:pt idx="1160">
                  <c:v>726</c:v>
                </c:pt>
                <c:pt idx="1161">
                  <c:v>723</c:v>
                </c:pt>
                <c:pt idx="1162">
                  <c:v>742</c:v>
                </c:pt>
                <c:pt idx="1163">
                  <c:v>723</c:v>
                </c:pt>
                <c:pt idx="1164">
                  <c:v>723</c:v>
                </c:pt>
                <c:pt idx="1165">
                  <c:v>709</c:v>
                </c:pt>
                <c:pt idx="1166">
                  <c:v>736</c:v>
                </c:pt>
                <c:pt idx="1167">
                  <c:v>727</c:v>
                </c:pt>
                <c:pt idx="1168">
                  <c:v>729</c:v>
                </c:pt>
                <c:pt idx="1169">
                  <c:v>691</c:v>
                </c:pt>
                <c:pt idx="1170">
                  <c:v>723</c:v>
                </c:pt>
                <c:pt idx="1171">
                  <c:v>709</c:v>
                </c:pt>
                <c:pt idx="1172">
                  <c:v>746</c:v>
                </c:pt>
                <c:pt idx="1173">
                  <c:v>748</c:v>
                </c:pt>
                <c:pt idx="1174">
                  <c:v>690</c:v>
                </c:pt>
                <c:pt idx="1175">
                  <c:v>720</c:v>
                </c:pt>
                <c:pt idx="1176">
                  <c:v>659</c:v>
                </c:pt>
                <c:pt idx="1177">
                  <c:v>725</c:v>
                </c:pt>
                <c:pt idx="1178">
                  <c:v>630</c:v>
                </c:pt>
                <c:pt idx="1179">
                  <c:v>744</c:v>
                </c:pt>
                <c:pt idx="1180">
                  <c:v>727</c:v>
                </c:pt>
                <c:pt idx="1181">
                  <c:v>744</c:v>
                </c:pt>
                <c:pt idx="1182">
                  <c:v>724</c:v>
                </c:pt>
                <c:pt idx="1183">
                  <c:v>735</c:v>
                </c:pt>
                <c:pt idx="1184">
                  <c:v>747</c:v>
                </c:pt>
                <c:pt idx="1185">
                  <c:v>720</c:v>
                </c:pt>
                <c:pt idx="1186">
                  <c:v>751</c:v>
                </c:pt>
                <c:pt idx="1187">
                  <c:v>700</c:v>
                </c:pt>
                <c:pt idx="1188">
                  <c:v>721</c:v>
                </c:pt>
                <c:pt idx="1189">
                  <c:v>741</c:v>
                </c:pt>
                <c:pt idx="1190">
                  <c:v>741</c:v>
                </c:pt>
                <c:pt idx="1191">
                  <c:v>741</c:v>
                </c:pt>
                <c:pt idx="1192">
                  <c:v>723</c:v>
                </c:pt>
                <c:pt idx="1193">
                  <c:v>746</c:v>
                </c:pt>
                <c:pt idx="1194">
                  <c:v>724</c:v>
                </c:pt>
                <c:pt idx="1195">
                  <c:v>705</c:v>
                </c:pt>
                <c:pt idx="1196">
                  <c:v>723</c:v>
                </c:pt>
                <c:pt idx="1197">
                  <c:v>741</c:v>
                </c:pt>
                <c:pt idx="1198">
                  <c:v>744</c:v>
                </c:pt>
                <c:pt idx="1199">
                  <c:v>723</c:v>
                </c:pt>
                <c:pt idx="1200">
                  <c:v>693</c:v>
                </c:pt>
                <c:pt idx="1201">
                  <c:v>723</c:v>
                </c:pt>
                <c:pt idx="1202">
                  <c:v>683</c:v>
                </c:pt>
                <c:pt idx="1203">
                  <c:v>742</c:v>
                </c:pt>
                <c:pt idx="1204">
                  <c:v>723</c:v>
                </c:pt>
                <c:pt idx="1205">
                  <c:v>723</c:v>
                </c:pt>
                <c:pt idx="1206">
                  <c:v>717</c:v>
                </c:pt>
                <c:pt idx="1207">
                  <c:v>723</c:v>
                </c:pt>
                <c:pt idx="1208">
                  <c:v>723</c:v>
                </c:pt>
                <c:pt idx="1209">
                  <c:v>725</c:v>
                </c:pt>
                <c:pt idx="1210">
                  <c:v>702</c:v>
                </c:pt>
                <c:pt idx="1211">
                  <c:v>695</c:v>
                </c:pt>
                <c:pt idx="1212">
                  <c:v>688</c:v>
                </c:pt>
                <c:pt idx="1213">
                  <c:v>705</c:v>
                </c:pt>
                <c:pt idx="1214">
                  <c:v>702</c:v>
                </c:pt>
                <c:pt idx="1215">
                  <c:v>718</c:v>
                </c:pt>
                <c:pt idx="1216">
                  <c:v>723</c:v>
                </c:pt>
                <c:pt idx="1217">
                  <c:v>656</c:v>
                </c:pt>
                <c:pt idx="1218">
                  <c:v>663</c:v>
                </c:pt>
                <c:pt idx="1219">
                  <c:v>741</c:v>
                </c:pt>
                <c:pt idx="1220">
                  <c:v>677</c:v>
                </c:pt>
                <c:pt idx="1221">
                  <c:v>723</c:v>
                </c:pt>
                <c:pt idx="1222">
                  <c:v>748</c:v>
                </c:pt>
                <c:pt idx="1223">
                  <c:v>724</c:v>
                </c:pt>
                <c:pt idx="1224">
                  <c:v>744</c:v>
                </c:pt>
                <c:pt idx="1225">
                  <c:v>723</c:v>
                </c:pt>
                <c:pt idx="1226">
                  <c:v>730</c:v>
                </c:pt>
                <c:pt idx="1227">
                  <c:v>737</c:v>
                </c:pt>
                <c:pt idx="1228">
                  <c:v>746</c:v>
                </c:pt>
                <c:pt idx="1229">
                  <c:v>701</c:v>
                </c:pt>
                <c:pt idx="1230">
                  <c:v>678</c:v>
                </c:pt>
                <c:pt idx="1231">
                  <c:v>737</c:v>
                </c:pt>
                <c:pt idx="1232">
                  <c:v>745</c:v>
                </c:pt>
                <c:pt idx="1233">
                  <c:v>744</c:v>
                </c:pt>
                <c:pt idx="1234">
                  <c:v>742</c:v>
                </c:pt>
                <c:pt idx="1235">
                  <c:v>638</c:v>
                </c:pt>
                <c:pt idx="1236">
                  <c:v>747</c:v>
                </c:pt>
                <c:pt idx="1237">
                  <c:v>596</c:v>
                </c:pt>
                <c:pt idx="1238">
                  <c:v>702</c:v>
                </c:pt>
                <c:pt idx="1239">
                  <c:v>734</c:v>
                </c:pt>
                <c:pt idx="1240">
                  <c:v>747</c:v>
                </c:pt>
                <c:pt idx="1241">
                  <c:v>726</c:v>
                </c:pt>
                <c:pt idx="1242">
                  <c:v>723</c:v>
                </c:pt>
                <c:pt idx="1243">
                  <c:v>723</c:v>
                </c:pt>
                <c:pt idx="1244">
                  <c:v>690</c:v>
                </c:pt>
                <c:pt idx="1245">
                  <c:v>713</c:v>
                </c:pt>
                <c:pt idx="1246">
                  <c:v>684</c:v>
                </c:pt>
                <c:pt idx="1247">
                  <c:v>744</c:v>
                </c:pt>
                <c:pt idx="1248">
                  <c:v>717</c:v>
                </c:pt>
                <c:pt idx="1249">
                  <c:v>738</c:v>
                </c:pt>
                <c:pt idx="1250">
                  <c:v>717</c:v>
                </c:pt>
                <c:pt idx="1251">
                  <c:v>727</c:v>
                </c:pt>
                <c:pt idx="1252">
                  <c:v>738</c:v>
                </c:pt>
                <c:pt idx="1253">
                  <c:v>747</c:v>
                </c:pt>
                <c:pt idx="1254">
                  <c:v>747</c:v>
                </c:pt>
                <c:pt idx="1255">
                  <c:v>723</c:v>
                </c:pt>
                <c:pt idx="1256">
                  <c:v>708</c:v>
                </c:pt>
                <c:pt idx="1257">
                  <c:v>723</c:v>
                </c:pt>
                <c:pt idx="1258">
                  <c:v>720</c:v>
                </c:pt>
                <c:pt idx="1259">
                  <c:v>657</c:v>
                </c:pt>
                <c:pt idx="1260">
                  <c:v>673</c:v>
                </c:pt>
                <c:pt idx="1261">
                  <c:v>720</c:v>
                </c:pt>
                <c:pt idx="1262">
                  <c:v>723</c:v>
                </c:pt>
                <c:pt idx="1263">
                  <c:v>723</c:v>
                </c:pt>
                <c:pt idx="1264">
                  <c:v>723</c:v>
                </c:pt>
                <c:pt idx="1265">
                  <c:v>713</c:v>
                </c:pt>
                <c:pt idx="1266">
                  <c:v>709</c:v>
                </c:pt>
                <c:pt idx="1267">
                  <c:v>699</c:v>
                </c:pt>
                <c:pt idx="1268">
                  <c:v>744</c:v>
                </c:pt>
                <c:pt idx="1269">
                  <c:v>723</c:v>
                </c:pt>
                <c:pt idx="1270">
                  <c:v>710</c:v>
                </c:pt>
                <c:pt idx="1271">
                  <c:v>738</c:v>
                </c:pt>
                <c:pt idx="1272">
                  <c:v>696</c:v>
                </c:pt>
                <c:pt idx="1273">
                  <c:v>750</c:v>
                </c:pt>
                <c:pt idx="1274">
                  <c:v>707</c:v>
                </c:pt>
                <c:pt idx="1275">
                  <c:v>723</c:v>
                </c:pt>
                <c:pt idx="1276">
                  <c:v>708</c:v>
                </c:pt>
                <c:pt idx="1277">
                  <c:v>733</c:v>
                </c:pt>
                <c:pt idx="1278">
                  <c:v>707</c:v>
                </c:pt>
                <c:pt idx="1279">
                  <c:v>728</c:v>
                </c:pt>
                <c:pt idx="1280">
                  <c:v>723</c:v>
                </c:pt>
                <c:pt idx="1281">
                  <c:v>719</c:v>
                </c:pt>
                <c:pt idx="1282">
                  <c:v>720</c:v>
                </c:pt>
                <c:pt idx="1283">
                  <c:v>745</c:v>
                </c:pt>
                <c:pt idx="1284">
                  <c:v>696</c:v>
                </c:pt>
                <c:pt idx="1285">
                  <c:v>723</c:v>
                </c:pt>
                <c:pt idx="1286">
                  <c:v>723</c:v>
                </c:pt>
                <c:pt idx="1287">
                  <c:v>667</c:v>
                </c:pt>
                <c:pt idx="1288">
                  <c:v>723</c:v>
                </c:pt>
                <c:pt idx="1289">
                  <c:v>692</c:v>
                </c:pt>
                <c:pt idx="1290">
                  <c:v>715</c:v>
                </c:pt>
                <c:pt idx="1291">
                  <c:v>745</c:v>
                </c:pt>
                <c:pt idx="1292">
                  <c:v>743</c:v>
                </c:pt>
                <c:pt idx="1293">
                  <c:v>711</c:v>
                </c:pt>
                <c:pt idx="1294">
                  <c:v>723</c:v>
                </c:pt>
                <c:pt idx="1295">
                  <c:v>738</c:v>
                </c:pt>
                <c:pt idx="1296">
                  <c:v>714</c:v>
                </c:pt>
                <c:pt idx="1297">
                  <c:v>736</c:v>
                </c:pt>
                <c:pt idx="1298">
                  <c:v>742</c:v>
                </c:pt>
                <c:pt idx="1299">
                  <c:v>747</c:v>
                </c:pt>
                <c:pt idx="1300">
                  <c:v>717</c:v>
                </c:pt>
                <c:pt idx="1301">
                  <c:v>723</c:v>
                </c:pt>
                <c:pt idx="1302">
                  <c:v>677</c:v>
                </c:pt>
                <c:pt idx="1303">
                  <c:v>730</c:v>
                </c:pt>
                <c:pt idx="1304">
                  <c:v>723</c:v>
                </c:pt>
                <c:pt idx="1305">
                  <c:v>715</c:v>
                </c:pt>
                <c:pt idx="1306">
                  <c:v>684</c:v>
                </c:pt>
                <c:pt idx="1307">
                  <c:v>714</c:v>
                </c:pt>
                <c:pt idx="1308">
                  <c:v>707</c:v>
                </c:pt>
                <c:pt idx="1309">
                  <c:v>717</c:v>
                </c:pt>
                <c:pt idx="1310">
                  <c:v>714</c:v>
                </c:pt>
                <c:pt idx="1311">
                  <c:v>723</c:v>
                </c:pt>
                <c:pt idx="1312">
                  <c:v>729</c:v>
                </c:pt>
                <c:pt idx="1313">
                  <c:v>739</c:v>
                </c:pt>
                <c:pt idx="1314">
                  <c:v>723</c:v>
                </c:pt>
                <c:pt idx="1315">
                  <c:v>735</c:v>
                </c:pt>
                <c:pt idx="1316">
                  <c:v>715</c:v>
                </c:pt>
                <c:pt idx="1317">
                  <c:v>699</c:v>
                </c:pt>
                <c:pt idx="1318">
                  <c:v>723</c:v>
                </c:pt>
                <c:pt idx="1319">
                  <c:v>713</c:v>
                </c:pt>
                <c:pt idx="1320">
                  <c:v>719</c:v>
                </c:pt>
                <c:pt idx="1321">
                  <c:v>723</c:v>
                </c:pt>
                <c:pt idx="1322">
                  <c:v>723</c:v>
                </c:pt>
                <c:pt idx="1323">
                  <c:v>699</c:v>
                </c:pt>
                <c:pt idx="1324">
                  <c:v>731</c:v>
                </c:pt>
                <c:pt idx="1325">
                  <c:v>723</c:v>
                </c:pt>
                <c:pt idx="1326">
                  <c:v>739</c:v>
                </c:pt>
                <c:pt idx="1327">
                  <c:v>715</c:v>
                </c:pt>
                <c:pt idx="1328">
                  <c:v>723</c:v>
                </c:pt>
                <c:pt idx="1329">
                  <c:v>724</c:v>
                </c:pt>
                <c:pt idx="1330">
                  <c:v>690</c:v>
                </c:pt>
                <c:pt idx="1331">
                  <c:v>747</c:v>
                </c:pt>
                <c:pt idx="1332">
                  <c:v>744</c:v>
                </c:pt>
                <c:pt idx="1333">
                  <c:v>709</c:v>
                </c:pt>
                <c:pt idx="1334">
                  <c:v>660</c:v>
                </c:pt>
                <c:pt idx="1335">
                  <c:v>740</c:v>
                </c:pt>
                <c:pt idx="1336">
                  <c:v>737</c:v>
                </c:pt>
                <c:pt idx="1337">
                  <c:v>723</c:v>
                </c:pt>
                <c:pt idx="1338">
                  <c:v>748</c:v>
                </c:pt>
                <c:pt idx="1339">
                  <c:v>723</c:v>
                </c:pt>
                <c:pt idx="1340">
                  <c:v>723</c:v>
                </c:pt>
                <c:pt idx="1341">
                  <c:v>703</c:v>
                </c:pt>
                <c:pt idx="1342">
                  <c:v>738</c:v>
                </c:pt>
                <c:pt idx="1343">
                  <c:v>699</c:v>
                </c:pt>
                <c:pt idx="1344">
                  <c:v>739</c:v>
                </c:pt>
                <c:pt idx="1345">
                  <c:v>739</c:v>
                </c:pt>
                <c:pt idx="1346">
                  <c:v>691</c:v>
                </c:pt>
                <c:pt idx="1347">
                  <c:v>736</c:v>
                </c:pt>
                <c:pt idx="1348">
                  <c:v>711</c:v>
                </c:pt>
                <c:pt idx="1349">
                  <c:v>705</c:v>
                </c:pt>
                <c:pt idx="1350">
                  <c:v>676</c:v>
                </c:pt>
                <c:pt idx="1351">
                  <c:v>665</c:v>
                </c:pt>
                <c:pt idx="1352">
                  <c:v>738</c:v>
                </c:pt>
                <c:pt idx="1353">
                  <c:v>683</c:v>
                </c:pt>
                <c:pt idx="1354">
                  <c:v>719</c:v>
                </c:pt>
                <c:pt idx="1355">
                  <c:v>746</c:v>
                </c:pt>
                <c:pt idx="1356">
                  <c:v>718</c:v>
                </c:pt>
                <c:pt idx="1357">
                  <c:v>733</c:v>
                </c:pt>
                <c:pt idx="1358">
                  <c:v>723</c:v>
                </c:pt>
                <c:pt idx="1359">
                  <c:v>697</c:v>
                </c:pt>
                <c:pt idx="1360">
                  <c:v>723</c:v>
                </c:pt>
                <c:pt idx="1361">
                  <c:v>723</c:v>
                </c:pt>
                <c:pt idx="1362">
                  <c:v>747</c:v>
                </c:pt>
                <c:pt idx="1363">
                  <c:v>723</c:v>
                </c:pt>
                <c:pt idx="1364">
                  <c:v>703</c:v>
                </c:pt>
                <c:pt idx="1365">
                  <c:v>723</c:v>
                </c:pt>
                <c:pt idx="1366">
                  <c:v>747</c:v>
                </c:pt>
                <c:pt idx="1367">
                  <c:v>734</c:v>
                </c:pt>
                <c:pt idx="1368">
                  <c:v>696</c:v>
                </c:pt>
                <c:pt idx="1369">
                  <c:v>733</c:v>
                </c:pt>
                <c:pt idx="1370">
                  <c:v>672</c:v>
                </c:pt>
                <c:pt idx="1371">
                  <c:v>731</c:v>
                </c:pt>
                <c:pt idx="1372">
                  <c:v>689</c:v>
                </c:pt>
                <c:pt idx="1373">
                  <c:v>681</c:v>
                </c:pt>
                <c:pt idx="1374">
                  <c:v>716</c:v>
                </c:pt>
                <c:pt idx="1375">
                  <c:v>719</c:v>
                </c:pt>
                <c:pt idx="1376">
                  <c:v>676</c:v>
                </c:pt>
                <c:pt idx="1377">
                  <c:v>747</c:v>
                </c:pt>
                <c:pt idx="1378">
                  <c:v>742</c:v>
                </c:pt>
                <c:pt idx="1379">
                  <c:v>720</c:v>
                </c:pt>
                <c:pt idx="1380">
                  <c:v>726</c:v>
                </c:pt>
                <c:pt idx="1381">
                  <c:v>730</c:v>
                </c:pt>
                <c:pt idx="1382">
                  <c:v>731</c:v>
                </c:pt>
                <c:pt idx="1383">
                  <c:v>745</c:v>
                </c:pt>
                <c:pt idx="1384">
                  <c:v>651</c:v>
                </c:pt>
                <c:pt idx="1385">
                  <c:v>614</c:v>
                </c:pt>
                <c:pt idx="1386">
                  <c:v>720</c:v>
                </c:pt>
                <c:pt idx="1387">
                  <c:v>745</c:v>
                </c:pt>
                <c:pt idx="1388">
                  <c:v>728</c:v>
                </c:pt>
                <c:pt idx="1389">
                  <c:v>747</c:v>
                </c:pt>
                <c:pt idx="1390">
                  <c:v>681</c:v>
                </c:pt>
                <c:pt idx="1391">
                  <c:v>693</c:v>
                </c:pt>
                <c:pt idx="1392">
                  <c:v>730</c:v>
                </c:pt>
                <c:pt idx="1393">
                  <c:v>713</c:v>
                </c:pt>
                <c:pt idx="1394">
                  <c:v>707</c:v>
                </c:pt>
                <c:pt idx="1395">
                  <c:v>708</c:v>
                </c:pt>
                <c:pt idx="1396">
                  <c:v>747</c:v>
                </c:pt>
                <c:pt idx="1397">
                  <c:v>681</c:v>
                </c:pt>
                <c:pt idx="1398">
                  <c:v>704</c:v>
                </c:pt>
                <c:pt idx="1399">
                  <c:v>668</c:v>
                </c:pt>
                <c:pt idx="1400">
                  <c:v>721</c:v>
                </c:pt>
                <c:pt idx="1401">
                  <c:v>679</c:v>
                </c:pt>
                <c:pt idx="1402">
                  <c:v>726</c:v>
                </c:pt>
                <c:pt idx="1403">
                  <c:v>711</c:v>
                </c:pt>
                <c:pt idx="1404">
                  <c:v>724</c:v>
                </c:pt>
                <c:pt idx="1405">
                  <c:v>719</c:v>
                </c:pt>
                <c:pt idx="1406">
                  <c:v>748</c:v>
                </c:pt>
                <c:pt idx="1407">
                  <c:v>723</c:v>
                </c:pt>
                <c:pt idx="1408">
                  <c:v>737</c:v>
                </c:pt>
                <c:pt idx="1409">
                  <c:v>654</c:v>
                </c:pt>
                <c:pt idx="1410">
                  <c:v>707</c:v>
                </c:pt>
                <c:pt idx="1411">
                  <c:v>724</c:v>
                </c:pt>
                <c:pt idx="1412">
                  <c:v>703</c:v>
                </c:pt>
                <c:pt idx="1413">
                  <c:v>723</c:v>
                </c:pt>
                <c:pt idx="1414">
                  <c:v>723</c:v>
                </c:pt>
                <c:pt idx="1415">
                  <c:v>709</c:v>
                </c:pt>
                <c:pt idx="1416">
                  <c:v>701</c:v>
                </c:pt>
                <c:pt idx="1417">
                  <c:v>725</c:v>
                </c:pt>
                <c:pt idx="1418">
                  <c:v>723</c:v>
                </c:pt>
                <c:pt idx="1419">
                  <c:v>665</c:v>
                </c:pt>
                <c:pt idx="1420">
                  <c:v>706</c:v>
                </c:pt>
                <c:pt idx="1421">
                  <c:v>723</c:v>
                </c:pt>
                <c:pt idx="1422">
                  <c:v>739</c:v>
                </c:pt>
                <c:pt idx="1423">
                  <c:v>684</c:v>
                </c:pt>
                <c:pt idx="1424">
                  <c:v>744</c:v>
                </c:pt>
                <c:pt idx="1425">
                  <c:v>736</c:v>
                </c:pt>
                <c:pt idx="1426">
                  <c:v>708</c:v>
                </c:pt>
                <c:pt idx="1427">
                  <c:v>735</c:v>
                </c:pt>
                <c:pt idx="1428">
                  <c:v>747</c:v>
                </c:pt>
                <c:pt idx="1429">
                  <c:v>701</c:v>
                </c:pt>
                <c:pt idx="1430">
                  <c:v>746</c:v>
                </c:pt>
                <c:pt idx="1431">
                  <c:v>692</c:v>
                </c:pt>
                <c:pt idx="1432">
                  <c:v>722</c:v>
                </c:pt>
                <c:pt idx="1433">
                  <c:v>724</c:v>
                </c:pt>
                <c:pt idx="1434">
                  <c:v>733</c:v>
                </c:pt>
                <c:pt idx="1435">
                  <c:v>742</c:v>
                </c:pt>
                <c:pt idx="1436">
                  <c:v>744</c:v>
                </c:pt>
                <c:pt idx="1437">
                  <c:v>686</c:v>
                </c:pt>
                <c:pt idx="1438">
                  <c:v>716</c:v>
                </c:pt>
                <c:pt idx="1439">
                  <c:v>743</c:v>
                </c:pt>
                <c:pt idx="1440">
                  <c:v>723</c:v>
                </c:pt>
                <c:pt idx="1441">
                  <c:v>723</c:v>
                </c:pt>
                <c:pt idx="1442">
                  <c:v>734</c:v>
                </c:pt>
                <c:pt idx="1443">
                  <c:v>723</c:v>
                </c:pt>
                <c:pt idx="1444">
                  <c:v>668</c:v>
                </c:pt>
                <c:pt idx="1445">
                  <c:v>715</c:v>
                </c:pt>
                <c:pt idx="1446">
                  <c:v>730</c:v>
                </c:pt>
                <c:pt idx="1447">
                  <c:v>725</c:v>
                </c:pt>
                <c:pt idx="1448">
                  <c:v>723</c:v>
                </c:pt>
                <c:pt idx="1449">
                  <c:v>738</c:v>
                </c:pt>
                <c:pt idx="1450">
                  <c:v>746</c:v>
                </c:pt>
                <c:pt idx="1451">
                  <c:v>749</c:v>
                </c:pt>
                <c:pt idx="1452">
                  <c:v>723</c:v>
                </c:pt>
                <c:pt idx="1453">
                  <c:v>706</c:v>
                </c:pt>
                <c:pt idx="1454">
                  <c:v>744</c:v>
                </c:pt>
                <c:pt idx="1455">
                  <c:v>723</c:v>
                </c:pt>
                <c:pt idx="1456">
                  <c:v>714</c:v>
                </c:pt>
                <c:pt idx="1457">
                  <c:v>695</c:v>
                </c:pt>
                <c:pt idx="1458">
                  <c:v>728</c:v>
                </c:pt>
                <c:pt idx="1459">
                  <c:v>670</c:v>
                </c:pt>
                <c:pt idx="1460">
                  <c:v>723</c:v>
                </c:pt>
                <c:pt idx="1461">
                  <c:v>737</c:v>
                </c:pt>
                <c:pt idx="1462">
                  <c:v>723</c:v>
                </c:pt>
                <c:pt idx="1463">
                  <c:v>723</c:v>
                </c:pt>
                <c:pt idx="1464">
                  <c:v>701</c:v>
                </c:pt>
                <c:pt idx="1465">
                  <c:v>716</c:v>
                </c:pt>
                <c:pt idx="1466">
                  <c:v>609</c:v>
                </c:pt>
                <c:pt idx="1467">
                  <c:v>746</c:v>
                </c:pt>
                <c:pt idx="1468">
                  <c:v>723</c:v>
                </c:pt>
                <c:pt idx="1469">
                  <c:v>718</c:v>
                </c:pt>
                <c:pt idx="1470">
                  <c:v>718</c:v>
                </c:pt>
                <c:pt idx="1471">
                  <c:v>699</c:v>
                </c:pt>
                <c:pt idx="1472">
                  <c:v>723</c:v>
                </c:pt>
                <c:pt idx="1473">
                  <c:v>696</c:v>
                </c:pt>
                <c:pt idx="1474">
                  <c:v>702</c:v>
                </c:pt>
                <c:pt idx="1475">
                  <c:v>678</c:v>
                </c:pt>
                <c:pt idx="1476">
                  <c:v>723</c:v>
                </c:pt>
                <c:pt idx="1477">
                  <c:v>733</c:v>
                </c:pt>
                <c:pt idx="1478">
                  <c:v>723</c:v>
                </c:pt>
                <c:pt idx="1479">
                  <c:v>737</c:v>
                </c:pt>
                <c:pt idx="1480">
                  <c:v>723</c:v>
                </c:pt>
                <c:pt idx="1481">
                  <c:v>750</c:v>
                </c:pt>
                <c:pt idx="1482">
                  <c:v>723</c:v>
                </c:pt>
                <c:pt idx="1483">
                  <c:v>706</c:v>
                </c:pt>
                <c:pt idx="1484">
                  <c:v>603</c:v>
                </c:pt>
                <c:pt idx="1485">
                  <c:v>742</c:v>
                </c:pt>
                <c:pt idx="1486">
                  <c:v>723</c:v>
                </c:pt>
                <c:pt idx="1487">
                  <c:v>741</c:v>
                </c:pt>
                <c:pt idx="1488">
                  <c:v>723</c:v>
                </c:pt>
                <c:pt idx="1489">
                  <c:v>720</c:v>
                </c:pt>
                <c:pt idx="1490">
                  <c:v>738</c:v>
                </c:pt>
                <c:pt idx="1491">
                  <c:v>724</c:v>
                </c:pt>
                <c:pt idx="1492">
                  <c:v>723</c:v>
                </c:pt>
                <c:pt idx="1493">
                  <c:v>714</c:v>
                </c:pt>
                <c:pt idx="1494">
                  <c:v>647</c:v>
                </c:pt>
                <c:pt idx="1495">
                  <c:v>693</c:v>
                </c:pt>
                <c:pt idx="1496">
                  <c:v>749</c:v>
                </c:pt>
                <c:pt idx="1497">
                  <c:v>723</c:v>
                </c:pt>
                <c:pt idx="1498">
                  <c:v>693</c:v>
                </c:pt>
                <c:pt idx="1499">
                  <c:v>723</c:v>
                </c:pt>
                <c:pt idx="1500">
                  <c:v>692</c:v>
                </c:pt>
                <c:pt idx="1501">
                  <c:v>741</c:v>
                </c:pt>
                <c:pt idx="1502">
                  <c:v>749</c:v>
                </c:pt>
                <c:pt idx="1503">
                  <c:v>723</c:v>
                </c:pt>
                <c:pt idx="1504">
                  <c:v>723</c:v>
                </c:pt>
                <c:pt idx="1505">
                  <c:v>722</c:v>
                </c:pt>
                <c:pt idx="1506">
                  <c:v>696</c:v>
                </c:pt>
                <c:pt idx="1507">
                  <c:v>667</c:v>
                </c:pt>
                <c:pt idx="1508">
                  <c:v>745</c:v>
                </c:pt>
                <c:pt idx="1509">
                  <c:v>682</c:v>
                </c:pt>
                <c:pt idx="1510">
                  <c:v>713</c:v>
                </c:pt>
                <c:pt idx="1511">
                  <c:v>722</c:v>
                </c:pt>
                <c:pt idx="1512">
                  <c:v>733</c:v>
                </c:pt>
                <c:pt idx="1513">
                  <c:v>735</c:v>
                </c:pt>
                <c:pt idx="1514">
                  <c:v>746</c:v>
                </c:pt>
                <c:pt idx="1515">
                  <c:v>731</c:v>
                </c:pt>
                <c:pt idx="1516">
                  <c:v>715</c:v>
                </c:pt>
                <c:pt idx="1517">
                  <c:v>723</c:v>
                </c:pt>
                <c:pt idx="1518">
                  <c:v>723</c:v>
                </c:pt>
                <c:pt idx="1519">
                  <c:v>723</c:v>
                </c:pt>
                <c:pt idx="1520">
                  <c:v>751</c:v>
                </c:pt>
                <c:pt idx="1521">
                  <c:v>699</c:v>
                </c:pt>
                <c:pt idx="1522">
                  <c:v>719</c:v>
                </c:pt>
                <c:pt idx="1523">
                  <c:v>712</c:v>
                </c:pt>
                <c:pt idx="1524">
                  <c:v>723</c:v>
                </c:pt>
                <c:pt idx="1525">
                  <c:v>671</c:v>
                </c:pt>
                <c:pt idx="1526">
                  <c:v>747</c:v>
                </c:pt>
                <c:pt idx="1527">
                  <c:v>713</c:v>
                </c:pt>
                <c:pt idx="1528">
                  <c:v>706</c:v>
                </c:pt>
                <c:pt idx="1529">
                  <c:v>723</c:v>
                </c:pt>
                <c:pt idx="1530">
                  <c:v>745</c:v>
                </c:pt>
                <c:pt idx="1531">
                  <c:v>718</c:v>
                </c:pt>
                <c:pt idx="1532">
                  <c:v>692</c:v>
                </c:pt>
                <c:pt idx="1533">
                  <c:v>749</c:v>
                </c:pt>
                <c:pt idx="1534">
                  <c:v>727</c:v>
                </c:pt>
                <c:pt idx="1535">
                  <c:v>652</c:v>
                </c:pt>
                <c:pt idx="1536">
                  <c:v>723</c:v>
                </c:pt>
                <c:pt idx="1537">
                  <c:v>725</c:v>
                </c:pt>
                <c:pt idx="1538">
                  <c:v>658</c:v>
                </c:pt>
                <c:pt idx="1539">
                  <c:v>731</c:v>
                </c:pt>
                <c:pt idx="1540">
                  <c:v>723</c:v>
                </c:pt>
                <c:pt idx="1541">
                  <c:v>712</c:v>
                </c:pt>
                <c:pt idx="1542">
                  <c:v>714</c:v>
                </c:pt>
                <c:pt idx="1543">
                  <c:v>723</c:v>
                </c:pt>
                <c:pt idx="1544">
                  <c:v>720</c:v>
                </c:pt>
                <c:pt idx="1545">
                  <c:v>639</c:v>
                </c:pt>
                <c:pt idx="1546">
                  <c:v>714</c:v>
                </c:pt>
                <c:pt idx="1547">
                  <c:v>694</c:v>
                </c:pt>
                <c:pt idx="1548">
                  <c:v>702</c:v>
                </c:pt>
                <c:pt idx="1549">
                  <c:v>692</c:v>
                </c:pt>
                <c:pt idx="1550">
                  <c:v>723</c:v>
                </c:pt>
                <c:pt idx="1551">
                  <c:v>711</c:v>
                </c:pt>
                <c:pt idx="1552">
                  <c:v>739</c:v>
                </c:pt>
                <c:pt idx="1553">
                  <c:v>723</c:v>
                </c:pt>
                <c:pt idx="1554">
                  <c:v>742</c:v>
                </c:pt>
                <c:pt idx="1555">
                  <c:v>723</c:v>
                </c:pt>
                <c:pt idx="1556">
                  <c:v>728</c:v>
                </c:pt>
                <c:pt idx="1557">
                  <c:v>744</c:v>
                </c:pt>
                <c:pt idx="1558">
                  <c:v>649</c:v>
                </c:pt>
                <c:pt idx="1559">
                  <c:v>698</c:v>
                </c:pt>
                <c:pt idx="1560">
                  <c:v>729</c:v>
                </c:pt>
                <c:pt idx="1561">
                  <c:v>739</c:v>
                </c:pt>
                <c:pt idx="1562">
                  <c:v>684</c:v>
                </c:pt>
                <c:pt idx="1563">
                  <c:v>724</c:v>
                </c:pt>
                <c:pt idx="1564">
                  <c:v>676</c:v>
                </c:pt>
                <c:pt idx="1565">
                  <c:v>703</c:v>
                </c:pt>
                <c:pt idx="1566">
                  <c:v>749</c:v>
                </c:pt>
                <c:pt idx="1567">
                  <c:v>743</c:v>
                </c:pt>
                <c:pt idx="1568">
                  <c:v>743</c:v>
                </c:pt>
                <c:pt idx="1569">
                  <c:v>704</c:v>
                </c:pt>
                <c:pt idx="1570">
                  <c:v>740</c:v>
                </c:pt>
                <c:pt idx="1571">
                  <c:v>723</c:v>
                </c:pt>
                <c:pt idx="1572">
                  <c:v>723</c:v>
                </c:pt>
                <c:pt idx="1573">
                  <c:v>723</c:v>
                </c:pt>
                <c:pt idx="1574">
                  <c:v>751</c:v>
                </c:pt>
                <c:pt idx="1575">
                  <c:v>717</c:v>
                </c:pt>
                <c:pt idx="1576">
                  <c:v>716</c:v>
                </c:pt>
                <c:pt idx="1577">
                  <c:v>720</c:v>
                </c:pt>
                <c:pt idx="1578">
                  <c:v>738</c:v>
                </c:pt>
                <c:pt idx="1579">
                  <c:v>749</c:v>
                </c:pt>
                <c:pt idx="1580">
                  <c:v>710</c:v>
                </c:pt>
                <c:pt idx="1581">
                  <c:v>737</c:v>
                </c:pt>
                <c:pt idx="1582">
                  <c:v>647</c:v>
                </c:pt>
                <c:pt idx="1583">
                  <c:v>741</c:v>
                </c:pt>
                <c:pt idx="1584">
                  <c:v>723</c:v>
                </c:pt>
                <c:pt idx="1585">
                  <c:v>735</c:v>
                </c:pt>
                <c:pt idx="1586">
                  <c:v>746</c:v>
                </c:pt>
                <c:pt idx="1587">
                  <c:v>723</c:v>
                </c:pt>
                <c:pt idx="1588">
                  <c:v>721</c:v>
                </c:pt>
                <c:pt idx="1589">
                  <c:v>718</c:v>
                </c:pt>
                <c:pt idx="1590">
                  <c:v>685</c:v>
                </c:pt>
                <c:pt idx="1591">
                  <c:v>721</c:v>
                </c:pt>
                <c:pt idx="1592">
                  <c:v>645</c:v>
                </c:pt>
                <c:pt idx="1593">
                  <c:v>737</c:v>
                </c:pt>
                <c:pt idx="1594">
                  <c:v>738</c:v>
                </c:pt>
                <c:pt idx="1595">
                  <c:v>730</c:v>
                </c:pt>
                <c:pt idx="1596">
                  <c:v>715</c:v>
                </c:pt>
                <c:pt idx="1597">
                  <c:v>725</c:v>
                </c:pt>
                <c:pt idx="1598">
                  <c:v>724</c:v>
                </c:pt>
                <c:pt idx="1599">
                  <c:v>710</c:v>
                </c:pt>
                <c:pt idx="1600">
                  <c:v>689</c:v>
                </c:pt>
                <c:pt idx="1601">
                  <c:v>724</c:v>
                </c:pt>
                <c:pt idx="1602">
                  <c:v>723</c:v>
                </c:pt>
                <c:pt idx="1603">
                  <c:v>739</c:v>
                </c:pt>
                <c:pt idx="1604">
                  <c:v>736</c:v>
                </c:pt>
                <c:pt idx="1605">
                  <c:v>725</c:v>
                </c:pt>
                <c:pt idx="1606">
                  <c:v>714</c:v>
                </c:pt>
                <c:pt idx="1607">
                  <c:v>723</c:v>
                </c:pt>
                <c:pt idx="1608">
                  <c:v>701</c:v>
                </c:pt>
                <c:pt idx="1609">
                  <c:v>691</c:v>
                </c:pt>
                <c:pt idx="1610">
                  <c:v>735</c:v>
                </c:pt>
                <c:pt idx="1611">
                  <c:v>655</c:v>
                </c:pt>
                <c:pt idx="1612">
                  <c:v>743</c:v>
                </c:pt>
                <c:pt idx="1613">
                  <c:v>687</c:v>
                </c:pt>
                <c:pt idx="1614">
                  <c:v>703</c:v>
                </c:pt>
                <c:pt idx="1615">
                  <c:v>723</c:v>
                </c:pt>
                <c:pt idx="1616">
                  <c:v>722</c:v>
                </c:pt>
                <c:pt idx="1617">
                  <c:v>739</c:v>
                </c:pt>
                <c:pt idx="1618">
                  <c:v>721</c:v>
                </c:pt>
                <c:pt idx="1619">
                  <c:v>694</c:v>
                </c:pt>
                <c:pt idx="1620">
                  <c:v>699</c:v>
                </c:pt>
                <c:pt idx="1621">
                  <c:v>680</c:v>
                </c:pt>
                <c:pt idx="1622">
                  <c:v>741</c:v>
                </c:pt>
                <c:pt idx="1623">
                  <c:v>719</c:v>
                </c:pt>
                <c:pt idx="1624">
                  <c:v>680</c:v>
                </c:pt>
                <c:pt idx="1625">
                  <c:v>725</c:v>
                </c:pt>
                <c:pt idx="1626">
                  <c:v>723</c:v>
                </c:pt>
                <c:pt idx="1627">
                  <c:v>716</c:v>
                </c:pt>
                <c:pt idx="1628">
                  <c:v>733</c:v>
                </c:pt>
                <c:pt idx="1629">
                  <c:v>674</c:v>
                </c:pt>
                <c:pt idx="1630">
                  <c:v>723</c:v>
                </c:pt>
                <c:pt idx="1631">
                  <c:v>723</c:v>
                </c:pt>
                <c:pt idx="1632">
                  <c:v>710</c:v>
                </c:pt>
                <c:pt idx="1633">
                  <c:v>737</c:v>
                </c:pt>
                <c:pt idx="1634">
                  <c:v>672</c:v>
                </c:pt>
                <c:pt idx="1635">
                  <c:v>719</c:v>
                </c:pt>
                <c:pt idx="1636">
                  <c:v>730</c:v>
                </c:pt>
                <c:pt idx="1637">
                  <c:v>711</c:v>
                </c:pt>
                <c:pt idx="1638">
                  <c:v>728</c:v>
                </c:pt>
                <c:pt idx="1639">
                  <c:v>718</c:v>
                </c:pt>
                <c:pt idx="1640">
                  <c:v>723</c:v>
                </c:pt>
                <c:pt idx="1641">
                  <c:v>719</c:v>
                </c:pt>
                <c:pt idx="1642">
                  <c:v>685</c:v>
                </c:pt>
                <c:pt idx="1643">
                  <c:v>716</c:v>
                </c:pt>
                <c:pt idx="1644">
                  <c:v>740</c:v>
                </c:pt>
                <c:pt idx="1645">
                  <c:v>740</c:v>
                </c:pt>
                <c:pt idx="1646">
                  <c:v>691</c:v>
                </c:pt>
                <c:pt idx="1647">
                  <c:v>721</c:v>
                </c:pt>
                <c:pt idx="1648">
                  <c:v>743</c:v>
                </c:pt>
                <c:pt idx="1649">
                  <c:v>679</c:v>
                </c:pt>
                <c:pt idx="1650">
                  <c:v>738</c:v>
                </c:pt>
                <c:pt idx="1651">
                  <c:v>747</c:v>
                </c:pt>
                <c:pt idx="1652">
                  <c:v>723</c:v>
                </c:pt>
                <c:pt idx="1653">
                  <c:v>684</c:v>
                </c:pt>
                <c:pt idx="1654">
                  <c:v>661</c:v>
                </c:pt>
                <c:pt idx="1655">
                  <c:v>654</c:v>
                </c:pt>
                <c:pt idx="1656">
                  <c:v>713</c:v>
                </c:pt>
                <c:pt idx="1657">
                  <c:v>723</c:v>
                </c:pt>
                <c:pt idx="1658">
                  <c:v>711</c:v>
                </c:pt>
                <c:pt idx="1659">
                  <c:v>737</c:v>
                </c:pt>
                <c:pt idx="1660">
                  <c:v>720</c:v>
                </c:pt>
                <c:pt idx="1661">
                  <c:v>646</c:v>
                </c:pt>
                <c:pt idx="1662">
                  <c:v>706</c:v>
                </c:pt>
                <c:pt idx="1663">
                  <c:v>723</c:v>
                </c:pt>
                <c:pt idx="1664">
                  <c:v>719</c:v>
                </c:pt>
                <c:pt idx="1665">
                  <c:v>708</c:v>
                </c:pt>
                <c:pt idx="1666">
                  <c:v>731</c:v>
                </c:pt>
                <c:pt idx="1667">
                  <c:v>745</c:v>
                </c:pt>
                <c:pt idx="1668">
                  <c:v>723</c:v>
                </c:pt>
                <c:pt idx="1669">
                  <c:v>723</c:v>
                </c:pt>
                <c:pt idx="1670">
                  <c:v>744</c:v>
                </c:pt>
                <c:pt idx="1671">
                  <c:v>749</c:v>
                </c:pt>
                <c:pt idx="1672">
                  <c:v>729</c:v>
                </c:pt>
                <c:pt idx="1673">
                  <c:v>740</c:v>
                </c:pt>
                <c:pt idx="1674">
                  <c:v>723</c:v>
                </c:pt>
                <c:pt idx="1675">
                  <c:v>643</c:v>
                </c:pt>
                <c:pt idx="1676">
                  <c:v>633</c:v>
                </c:pt>
                <c:pt idx="1677">
                  <c:v>696</c:v>
                </c:pt>
                <c:pt idx="1678">
                  <c:v>723</c:v>
                </c:pt>
                <c:pt idx="1679">
                  <c:v>732</c:v>
                </c:pt>
                <c:pt idx="1680">
                  <c:v>749</c:v>
                </c:pt>
                <c:pt idx="1681">
                  <c:v>670</c:v>
                </c:pt>
                <c:pt idx="1682">
                  <c:v>681</c:v>
                </c:pt>
                <c:pt idx="1683">
                  <c:v>745</c:v>
                </c:pt>
                <c:pt idx="1684">
                  <c:v>738</c:v>
                </c:pt>
                <c:pt idx="1685">
                  <c:v>677</c:v>
                </c:pt>
                <c:pt idx="1686">
                  <c:v>698</c:v>
                </c:pt>
                <c:pt idx="1687">
                  <c:v>745</c:v>
                </c:pt>
                <c:pt idx="1688">
                  <c:v>723</c:v>
                </c:pt>
                <c:pt idx="1689">
                  <c:v>743</c:v>
                </c:pt>
                <c:pt idx="1690">
                  <c:v>747</c:v>
                </c:pt>
                <c:pt idx="1691">
                  <c:v>717</c:v>
                </c:pt>
                <c:pt idx="1692">
                  <c:v>731</c:v>
                </c:pt>
                <c:pt idx="1693">
                  <c:v>743</c:v>
                </c:pt>
                <c:pt idx="1694">
                  <c:v>735</c:v>
                </c:pt>
                <c:pt idx="1695">
                  <c:v>747</c:v>
                </c:pt>
                <c:pt idx="1696">
                  <c:v>701</c:v>
                </c:pt>
                <c:pt idx="1697">
                  <c:v>723</c:v>
                </c:pt>
                <c:pt idx="1698">
                  <c:v>743</c:v>
                </c:pt>
                <c:pt idx="1699">
                  <c:v>717</c:v>
                </c:pt>
                <c:pt idx="1700">
                  <c:v>715</c:v>
                </c:pt>
                <c:pt idx="1701">
                  <c:v>724</c:v>
                </c:pt>
                <c:pt idx="1702">
                  <c:v>748</c:v>
                </c:pt>
                <c:pt idx="1703">
                  <c:v>731</c:v>
                </c:pt>
                <c:pt idx="1704">
                  <c:v>723</c:v>
                </c:pt>
                <c:pt idx="1705">
                  <c:v>734</c:v>
                </c:pt>
                <c:pt idx="1706">
                  <c:v>719</c:v>
                </c:pt>
                <c:pt idx="1707">
                  <c:v>715</c:v>
                </c:pt>
                <c:pt idx="1708">
                  <c:v>737</c:v>
                </c:pt>
                <c:pt idx="1709">
                  <c:v>746</c:v>
                </c:pt>
                <c:pt idx="1710">
                  <c:v>723</c:v>
                </c:pt>
                <c:pt idx="1711">
                  <c:v>723</c:v>
                </c:pt>
                <c:pt idx="1712">
                  <c:v>748</c:v>
                </c:pt>
                <c:pt idx="1713">
                  <c:v>713</c:v>
                </c:pt>
                <c:pt idx="1714">
                  <c:v>730</c:v>
                </c:pt>
                <c:pt idx="1715">
                  <c:v>719</c:v>
                </c:pt>
                <c:pt idx="1716">
                  <c:v>720</c:v>
                </c:pt>
                <c:pt idx="1717">
                  <c:v>718</c:v>
                </c:pt>
                <c:pt idx="1718">
                  <c:v>723</c:v>
                </c:pt>
                <c:pt idx="1719">
                  <c:v>748</c:v>
                </c:pt>
                <c:pt idx="1720">
                  <c:v>747</c:v>
                </c:pt>
                <c:pt idx="1721">
                  <c:v>723</c:v>
                </c:pt>
                <c:pt idx="1722">
                  <c:v>723</c:v>
                </c:pt>
                <c:pt idx="1723">
                  <c:v>586</c:v>
                </c:pt>
                <c:pt idx="1724">
                  <c:v>710</c:v>
                </c:pt>
                <c:pt idx="1725">
                  <c:v>603</c:v>
                </c:pt>
                <c:pt idx="1726">
                  <c:v>716</c:v>
                </c:pt>
                <c:pt idx="1727">
                  <c:v>723</c:v>
                </c:pt>
                <c:pt idx="1728">
                  <c:v>721</c:v>
                </c:pt>
                <c:pt idx="1729">
                  <c:v>737</c:v>
                </c:pt>
                <c:pt idx="1730">
                  <c:v>683</c:v>
                </c:pt>
                <c:pt idx="1731">
                  <c:v>704</c:v>
                </c:pt>
                <c:pt idx="1732">
                  <c:v>724</c:v>
                </c:pt>
                <c:pt idx="1733">
                  <c:v>750</c:v>
                </c:pt>
                <c:pt idx="1734">
                  <c:v>710</c:v>
                </c:pt>
                <c:pt idx="1735">
                  <c:v>732</c:v>
                </c:pt>
                <c:pt idx="1736">
                  <c:v>716</c:v>
                </c:pt>
                <c:pt idx="1737">
                  <c:v>701</c:v>
                </c:pt>
                <c:pt idx="1738">
                  <c:v>707</c:v>
                </c:pt>
                <c:pt idx="1739">
                  <c:v>723</c:v>
                </c:pt>
                <c:pt idx="1740">
                  <c:v>720</c:v>
                </c:pt>
                <c:pt idx="1741">
                  <c:v>685</c:v>
                </c:pt>
                <c:pt idx="1742">
                  <c:v>751</c:v>
                </c:pt>
                <c:pt idx="1743">
                  <c:v>722</c:v>
                </c:pt>
                <c:pt idx="1744">
                  <c:v>696</c:v>
                </c:pt>
                <c:pt idx="1745">
                  <c:v>725</c:v>
                </c:pt>
                <c:pt idx="1746">
                  <c:v>734</c:v>
                </c:pt>
                <c:pt idx="1747">
                  <c:v>718</c:v>
                </c:pt>
                <c:pt idx="1748">
                  <c:v>690</c:v>
                </c:pt>
                <c:pt idx="1749">
                  <c:v>732</c:v>
                </c:pt>
                <c:pt idx="1750">
                  <c:v>696</c:v>
                </c:pt>
                <c:pt idx="1751">
                  <c:v>733</c:v>
                </c:pt>
                <c:pt idx="1752">
                  <c:v>686</c:v>
                </c:pt>
                <c:pt idx="1753">
                  <c:v>723</c:v>
                </c:pt>
                <c:pt idx="1754">
                  <c:v>738</c:v>
                </c:pt>
                <c:pt idx="1755">
                  <c:v>749</c:v>
                </c:pt>
                <c:pt idx="1756">
                  <c:v>738</c:v>
                </c:pt>
                <c:pt idx="1757">
                  <c:v>747</c:v>
                </c:pt>
                <c:pt idx="1758">
                  <c:v>724</c:v>
                </c:pt>
                <c:pt idx="1759">
                  <c:v>721</c:v>
                </c:pt>
                <c:pt idx="1760">
                  <c:v>748</c:v>
                </c:pt>
                <c:pt idx="1761">
                  <c:v>701</c:v>
                </c:pt>
                <c:pt idx="1762">
                  <c:v>723</c:v>
                </c:pt>
                <c:pt idx="1763">
                  <c:v>710</c:v>
                </c:pt>
                <c:pt idx="1764">
                  <c:v>740</c:v>
                </c:pt>
                <c:pt idx="1765">
                  <c:v>723</c:v>
                </c:pt>
                <c:pt idx="1766">
                  <c:v>712</c:v>
                </c:pt>
                <c:pt idx="1767">
                  <c:v>685</c:v>
                </c:pt>
                <c:pt idx="1768">
                  <c:v>745</c:v>
                </c:pt>
                <c:pt idx="1769">
                  <c:v>698</c:v>
                </c:pt>
                <c:pt idx="1770">
                  <c:v>723</c:v>
                </c:pt>
                <c:pt idx="1771">
                  <c:v>745</c:v>
                </c:pt>
                <c:pt idx="1772">
                  <c:v>747</c:v>
                </c:pt>
                <c:pt idx="1773">
                  <c:v>659</c:v>
                </c:pt>
                <c:pt idx="1774">
                  <c:v>687</c:v>
                </c:pt>
                <c:pt idx="1775">
                  <c:v>705</c:v>
                </c:pt>
                <c:pt idx="1776">
                  <c:v>652</c:v>
                </c:pt>
                <c:pt idx="1777">
                  <c:v>723</c:v>
                </c:pt>
                <c:pt idx="1778">
                  <c:v>637</c:v>
                </c:pt>
                <c:pt idx="1779">
                  <c:v>723</c:v>
                </c:pt>
                <c:pt idx="1780">
                  <c:v>723</c:v>
                </c:pt>
                <c:pt idx="1781">
                  <c:v>706</c:v>
                </c:pt>
                <c:pt idx="1782">
                  <c:v>735</c:v>
                </c:pt>
                <c:pt idx="1783">
                  <c:v>729</c:v>
                </c:pt>
                <c:pt idx="1784">
                  <c:v>723</c:v>
                </c:pt>
                <c:pt idx="1785">
                  <c:v>721</c:v>
                </c:pt>
                <c:pt idx="1786">
                  <c:v>665</c:v>
                </c:pt>
                <c:pt idx="1787">
                  <c:v>732</c:v>
                </c:pt>
                <c:pt idx="1788">
                  <c:v>723</c:v>
                </c:pt>
                <c:pt idx="1789">
                  <c:v>676</c:v>
                </c:pt>
                <c:pt idx="1790">
                  <c:v>723</c:v>
                </c:pt>
                <c:pt idx="1791">
                  <c:v>723</c:v>
                </c:pt>
                <c:pt idx="1792">
                  <c:v>710</c:v>
                </c:pt>
                <c:pt idx="1793">
                  <c:v>680</c:v>
                </c:pt>
                <c:pt idx="1794">
                  <c:v>721</c:v>
                </c:pt>
                <c:pt idx="1795">
                  <c:v>749</c:v>
                </c:pt>
                <c:pt idx="1796">
                  <c:v>729</c:v>
                </c:pt>
                <c:pt idx="1797">
                  <c:v>744</c:v>
                </c:pt>
                <c:pt idx="1798">
                  <c:v>747</c:v>
                </c:pt>
                <c:pt idx="1799">
                  <c:v>737</c:v>
                </c:pt>
                <c:pt idx="1800">
                  <c:v>748</c:v>
                </c:pt>
                <c:pt idx="1801">
                  <c:v>748</c:v>
                </c:pt>
                <c:pt idx="1802">
                  <c:v>714</c:v>
                </c:pt>
                <c:pt idx="1803">
                  <c:v>723</c:v>
                </c:pt>
                <c:pt idx="1804">
                  <c:v>709</c:v>
                </c:pt>
                <c:pt idx="1805">
                  <c:v>724</c:v>
                </c:pt>
                <c:pt idx="1806">
                  <c:v>723</c:v>
                </c:pt>
                <c:pt idx="1807">
                  <c:v>700</c:v>
                </c:pt>
                <c:pt idx="1808">
                  <c:v>629</c:v>
                </c:pt>
                <c:pt idx="1809">
                  <c:v>727</c:v>
                </c:pt>
                <c:pt idx="1810">
                  <c:v>735</c:v>
                </c:pt>
                <c:pt idx="1811">
                  <c:v>738</c:v>
                </c:pt>
                <c:pt idx="1812">
                  <c:v>738</c:v>
                </c:pt>
                <c:pt idx="1813">
                  <c:v>723</c:v>
                </c:pt>
                <c:pt idx="1814">
                  <c:v>685</c:v>
                </c:pt>
                <c:pt idx="1815">
                  <c:v>738</c:v>
                </c:pt>
                <c:pt idx="1816">
                  <c:v>723</c:v>
                </c:pt>
                <c:pt idx="1817">
                  <c:v>682</c:v>
                </c:pt>
                <c:pt idx="1818">
                  <c:v>744</c:v>
                </c:pt>
                <c:pt idx="1819">
                  <c:v>727</c:v>
                </c:pt>
                <c:pt idx="1820">
                  <c:v>723</c:v>
                </c:pt>
                <c:pt idx="1821">
                  <c:v>615</c:v>
                </c:pt>
                <c:pt idx="1822">
                  <c:v>718</c:v>
                </c:pt>
                <c:pt idx="1823">
                  <c:v>746</c:v>
                </c:pt>
                <c:pt idx="1824">
                  <c:v>739</c:v>
                </c:pt>
                <c:pt idx="1825">
                  <c:v>723</c:v>
                </c:pt>
                <c:pt idx="1826">
                  <c:v>715</c:v>
                </c:pt>
                <c:pt idx="1827">
                  <c:v>723</c:v>
                </c:pt>
                <c:pt idx="1828">
                  <c:v>712</c:v>
                </c:pt>
                <c:pt idx="1829">
                  <c:v>723</c:v>
                </c:pt>
                <c:pt idx="1830">
                  <c:v>723</c:v>
                </c:pt>
                <c:pt idx="1831">
                  <c:v>740</c:v>
                </c:pt>
                <c:pt idx="1832">
                  <c:v>694</c:v>
                </c:pt>
                <c:pt idx="1833">
                  <c:v>723</c:v>
                </c:pt>
                <c:pt idx="1834">
                  <c:v>712</c:v>
                </c:pt>
                <c:pt idx="1835">
                  <c:v>648</c:v>
                </c:pt>
                <c:pt idx="1836">
                  <c:v>703</c:v>
                </c:pt>
                <c:pt idx="1837">
                  <c:v>722</c:v>
                </c:pt>
                <c:pt idx="1838">
                  <c:v>730</c:v>
                </c:pt>
                <c:pt idx="1839">
                  <c:v>731</c:v>
                </c:pt>
                <c:pt idx="1840">
                  <c:v>705</c:v>
                </c:pt>
                <c:pt idx="1841">
                  <c:v>664</c:v>
                </c:pt>
                <c:pt idx="1842">
                  <c:v>723</c:v>
                </c:pt>
                <c:pt idx="1843">
                  <c:v>723</c:v>
                </c:pt>
                <c:pt idx="1844">
                  <c:v>709</c:v>
                </c:pt>
                <c:pt idx="1845">
                  <c:v>701</c:v>
                </c:pt>
                <c:pt idx="1846">
                  <c:v>724</c:v>
                </c:pt>
                <c:pt idx="1847">
                  <c:v>723</c:v>
                </c:pt>
                <c:pt idx="1848">
                  <c:v>723</c:v>
                </c:pt>
                <c:pt idx="1849">
                  <c:v>736</c:v>
                </c:pt>
                <c:pt idx="1850">
                  <c:v>738</c:v>
                </c:pt>
                <c:pt idx="1851">
                  <c:v>723</c:v>
                </c:pt>
                <c:pt idx="1852">
                  <c:v>749</c:v>
                </c:pt>
                <c:pt idx="1853">
                  <c:v>723</c:v>
                </c:pt>
                <c:pt idx="1854">
                  <c:v>751</c:v>
                </c:pt>
                <c:pt idx="1855">
                  <c:v>657</c:v>
                </c:pt>
                <c:pt idx="1856">
                  <c:v>723</c:v>
                </c:pt>
                <c:pt idx="1857">
                  <c:v>728</c:v>
                </c:pt>
                <c:pt idx="1858">
                  <c:v>739</c:v>
                </c:pt>
                <c:pt idx="1859">
                  <c:v>723</c:v>
                </c:pt>
                <c:pt idx="1860">
                  <c:v>681</c:v>
                </c:pt>
                <c:pt idx="1861">
                  <c:v>723</c:v>
                </c:pt>
                <c:pt idx="1862">
                  <c:v>738</c:v>
                </c:pt>
                <c:pt idx="1863">
                  <c:v>733</c:v>
                </c:pt>
                <c:pt idx="1864">
                  <c:v>663</c:v>
                </c:pt>
                <c:pt idx="1865">
                  <c:v>661</c:v>
                </c:pt>
                <c:pt idx="1866">
                  <c:v>728</c:v>
                </c:pt>
                <c:pt idx="1867">
                  <c:v>739</c:v>
                </c:pt>
                <c:pt idx="1868">
                  <c:v>675</c:v>
                </c:pt>
                <c:pt idx="1869">
                  <c:v>723</c:v>
                </c:pt>
                <c:pt idx="1870">
                  <c:v>715</c:v>
                </c:pt>
                <c:pt idx="1871">
                  <c:v>717</c:v>
                </c:pt>
                <c:pt idx="1872">
                  <c:v>739</c:v>
                </c:pt>
                <c:pt idx="1873">
                  <c:v>724</c:v>
                </c:pt>
                <c:pt idx="1874">
                  <c:v>640</c:v>
                </c:pt>
                <c:pt idx="1875">
                  <c:v>681</c:v>
                </c:pt>
                <c:pt idx="1876">
                  <c:v>728</c:v>
                </c:pt>
                <c:pt idx="1877">
                  <c:v>723</c:v>
                </c:pt>
                <c:pt idx="1878">
                  <c:v>730</c:v>
                </c:pt>
                <c:pt idx="1879">
                  <c:v>724</c:v>
                </c:pt>
                <c:pt idx="1880">
                  <c:v>735</c:v>
                </c:pt>
                <c:pt idx="1881">
                  <c:v>723</c:v>
                </c:pt>
                <c:pt idx="1882">
                  <c:v>716</c:v>
                </c:pt>
                <c:pt idx="1883">
                  <c:v>731</c:v>
                </c:pt>
                <c:pt idx="1884">
                  <c:v>724</c:v>
                </c:pt>
                <c:pt idx="1885">
                  <c:v>696</c:v>
                </c:pt>
                <c:pt idx="1886">
                  <c:v>720</c:v>
                </c:pt>
                <c:pt idx="1887">
                  <c:v>713</c:v>
                </c:pt>
                <c:pt idx="1888">
                  <c:v>721</c:v>
                </c:pt>
                <c:pt idx="1889">
                  <c:v>732</c:v>
                </c:pt>
                <c:pt idx="1890">
                  <c:v>712</c:v>
                </c:pt>
                <c:pt idx="1891">
                  <c:v>742</c:v>
                </c:pt>
                <c:pt idx="1892">
                  <c:v>657</c:v>
                </c:pt>
                <c:pt idx="1893">
                  <c:v>735</c:v>
                </c:pt>
                <c:pt idx="1894">
                  <c:v>723</c:v>
                </c:pt>
                <c:pt idx="1895">
                  <c:v>723</c:v>
                </c:pt>
                <c:pt idx="1896">
                  <c:v>717</c:v>
                </c:pt>
                <c:pt idx="1897">
                  <c:v>704</c:v>
                </c:pt>
                <c:pt idx="1898">
                  <c:v>732</c:v>
                </c:pt>
                <c:pt idx="1899">
                  <c:v>723</c:v>
                </c:pt>
                <c:pt idx="1900">
                  <c:v>737</c:v>
                </c:pt>
                <c:pt idx="1901">
                  <c:v>746</c:v>
                </c:pt>
                <c:pt idx="1902">
                  <c:v>674</c:v>
                </c:pt>
                <c:pt idx="1903">
                  <c:v>704</c:v>
                </c:pt>
                <c:pt idx="1904">
                  <c:v>734</c:v>
                </c:pt>
                <c:pt idx="1905">
                  <c:v>704</c:v>
                </c:pt>
                <c:pt idx="1906">
                  <c:v>748</c:v>
                </c:pt>
                <c:pt idx="1907">
                  <c:v>726</c:v>
                </c:pt>
                <c:pt idx="1908">
                  <c:v>740</c:v>
                </c:pt>
                <c:pt idx="1909">
                  <c:v>723</c:v>
                </c:pt>
                <c:pt idx="1910">
                  <c:v>747</c:v>
                </c:pt>
                <c:pt idx="1911">
                  <c:v>721</c:v>
                </c:pt>
                <c:pt idx="1912">
                  <c:v>717</c:v>
                </c:pt>
                <c:pt idx="1913">
                  <c:v>747</c:v>
                </c:pt>
                <c:pt idx="1914">
                  <c:v>716</c:v>
                </c:pt>
                <c:pt idx="1915">
                  <c:v>745</c:v>
                </c:pt>
                <c:pt idx="1916">
                  <c:v>729</c:v>
                </c:pt>
                <c:pt idx="1917">
                  <c:v>710</c:v>
                </c:pt>
                <c:pt idx="1918">
                  <c:v>729</c:v>
                </c:pt>
                <c:pt idx="1919">
                  <c:v>738</c:v>
                </c:pt>
                <c:pt idx="1920">
                  <c:v>750</c:v>
                </c:pt>
                <c:pt idx="1921">
                  <c:v>723</c:v>
                </c:pt>
                <c:pt idx="1922">
                  <c:v>718</c:v>
                </c:pt>
                <c:pt idx="1923">
                  <c:v>723</c:v>
                </c:pt>
                <c:pt idx="1924">
                  <c:v>711</c:v>
                </c:pt>
                <c:pt idx="1925">
                  <c:v>672</c:v>
                </c:pt>
                <c:pt idx="1926">
                  <c:v>740</c:v>
                </c:pt>
                <c:pt idx="1927">
                  <c:v>723</c:v>
                </c:pt>
                <c:pt idx="1928">
                  <c:v>745</c:v>
                </c:pt>
                <c:pt idx="1929">
                  <c:v>741</c:v>
                </c:pt>
                <c:pt idx="1930">
                  <c:v>742</c:v>
                </c:pt>
                <c:pt idx="1931">
                  <c:v>723</c:v>
                </c:pt>
                <c:pt idx="1932">
                  <c:v>687</c:v>
                </c:pt>
                <c:pt idx="1933">
                  <c:v>735</c:v>
                </c:pt>
                <c:pt idx="1934">
                  <c:v>700</c:v>
                </c:pt>
                <c:pt idx="1935">
                  <c:v>711</c:v>
                </c:pt>
                <c:pt idx="1936">
                  <c:v>718</c:v>
                </c:pt>
                <c:pt idx="1937">
                  <c:v>715</c:v>
                </c:pt>
                <c:pt idx="1938">
                  <c:v>736</c:v>
                </c:pt>
                <c:pt idx="1939">
                  <c:v>725</c:v>
                </c:pt>
                <c:pt idx="1940">
                  <c:v>744</c:v>
                </c:pt>
                <c:pt idx="1941">
                  <c:v>723</c:v>
                </c:pt>
                <c:pt idx="1942">
                  <c:v>689</c:v>
                </c:pt>
                <c:pt idx="1943">
                  <c:v>723</c:v>
                </c:pt>
                <c:pt idx="1944">
                  <c:v>683</c:v>
                </c:pt>
                <c:pt idx="1945">
                  <c:v>657</c:v>
                </c:pt>
                <c:pt idx="1946">
                  <c:v>703</c:v>
                </c:pt>
                <c:pt idx="1947">
                  <c:v>723</c:v>
                </c:pt>
                <c:pt idx="1948">
                  <c:v>737</c:v>
                </c:pt>
                <c:pt idx="1949">
                  <c:v>683</c:v>
                </c:pt>
                <c:pt idx="1950">
                  <c:v>704</c:v>
                </c:pt>
                <c:pt idx="1951">
                  <c:v>750</c:v>
                </c:pt>
                <c:pt idx="1952">
                  <c:v>711</c:v>
                </c:pt>
                <c:pt idx="1953">
                  <c:v>744</c:v>
                </c:pt>
                <c:pt idx="1954">
                  <c:v>725</c:v>
                </c:pt>
                <c:pt idx="1955">
                  <c:v>705</c:v>
                </c:pt>
                <c:pt idx="1956">
                  <c:v>696</c:v>
                </c:pt>
                <c:pt idx="1957">
                  <c:v>739</c:v>
                </c:pt>
                <c:pt idx="1958">
                  <c:v>734</c:v>
                </c:pt>
                <c:pt idx="1959">
                  <c:v>672</c:v>
                </c:pt>
                <c:pt idx="1960">
                  <c:v>717</c:v>
                </c:pt>
                <c:pt idx="1961">
                  <c:v>727</c:v>
                </c:pt>
                <c:pt idx="1962">
                  <c:v>721</c:v>
                </c:pt>
                <c:pt idx="1963">
                  <c:v>722</c:v>
                </c:pt>
                <c:pt idx="1964">
                  <c:v>723</c:v>
                </c:pt>
                <c:pt idx="1965">
                  <c:v>636</c:v>
                </c:pt>
                <c:pt idx="1966">
                  <c:v>732</c:v>
                </c:pt>
                <c:pt idx="1967">
                  <c:v>745</c:v>
                </c:pt>
                <c:pt idx="1968">
                  <c:v>721</c:v>
                </c:pt>
                <c:pt idx="1969">
                  <c:v>726</c:v>
                </c:pt>
                <c:pt idx="1970">
                  <c:v>732</c:v>
                </c:pt>
                <c:pt idx="1971">
                  <c:v>690</c:v>
                </c:pt>
                <c:pt idx="1972">
                  <c:v>720</c:v>
                </c:pt>
                <c:pt idx="1973">
                  <c:v>722</c:v>
                </c:pt>
                <c:pt idx="1974">
                  <c:v>751</c:v>
                </c:pt>
                <c:pt idx="1975">
                  <c:v>718</c:v>
                </c:pt>
                <c:pt idx="1976">
                  <c:v>725</c:v>
                </c:pt>
                <c:pt idx="1977">
                  <c:v>742</c:v>
                </c:pt>
                <c:pt idx="1978">
                  <c:v>723</c:v>
                </c:pt>
                <c:pt idx="1979">
                  <c:v>736</c:v>
                </c:pt>
                <c:pt idx="1980">
                  <c:v>737</c:v>
                </c:pt>
                <c:pt idx="1981">
                  <c:v>747</c:v>
                </c:pt>
                <c:pt idx="1982">
                  <c:v>726</c:v>
                </c:pt>
                <c:pt idx="1983">
                  <c:v>740</c:v>
                </c:pt>
                <c:pt idx="1984">
                  <c:v>706</c:v>
                </c:pt>
                <c:pt idx="1985">
                  <c:v>693</c:v>
                </c:pt>
                <c:pt idx="1986">
                  <c:v>718</c:v>
                </c:pt>
                <c:pt idx="1987">
                  <c:v>747</c:v>
                </c:pt>
                <c:pt idx="1988">
                  <c:v>727</c:v>
                </c:pt>
                <c:pt idx="1989">
                  <c:v>723</c:v>
                </c:pt>
                <c:pt idx="1990">
                  <c:v>720</c:v>
                </c:pt>
                <c:pt idx="1991">
                  <c:v>728</c:v>
                </c:pt>
                <c:pt idx="1992">
                  <c:v>749</c:v>
                </c:pt>
                <c:pt idx="1993">
                  <c:v>739</c:v>
                </c:pt>
                <c:pt idx="1994">
                  <c:v>716</c:v>
                </c:pt>
                <c:pt idx="1995">
                  <c:v>740</c:v>
                </c:pt>
                <c:pt idx="1996">
                  <c:v>723</c:v>
                </c:pt>
                <c:pt idx="1997">
                  <c:v>681</c:v>
                </c:pt>
                <c:pt idx="1998">
                  <c:v>723</c:v>
                </c:pt>
                <c:pt idx="1999">
                  <c:v>724</c:v>
                </c:pt>
              </c:numCache>
            </c:numRef>
          </c:xVal>
          <c:yVal>
            <c:numRef>
              <c:f>Кредиты_2000_0!$E$2:$E$2001</c:f>
              <c:numCache>
                <c:formatCode>General</c:formatCode>
                <c:ptCount val="2000"/>
                <c:pt idx="0" formatCode="#,##0">
                  <c:v>1167493</c:v>
                </c:pt>
                <c:pt idx="1">
                  <c:v>1168044</c:v>
                </c:pt>
                <c:pt idx="2" formatCode="#,##0">
                  <c:v>2231892</c:v>
                </c:pt>
                <c:pt idx="3" formatCode="#,##0">
                  <c:v>806949</c:v>
                </c:pt>
                <c:pt idx="4">
                  <c:v>1168044</c:v>
                </c:pt>
                <c:pt idx="5" formatCode="#,##0">
                  <c:v>896857</c:v>
                </c:pt>
                <c:pt idx="6" formatCode="#,##0">
                  <c:v>1184194</c:v>
                </c:pt>
                <c:pt idx="7">
                  <c:v>1168044</c:v>
                </c:pt>
                <c:pt idx="8" formatCode="#,##0">
                  <c:v>2559110</c:v>
                </c:pt>
                <c:pt idx="9" formatCode="#,##0">
                  <c:v>1454735</c:v>
                </c:pt>
                <c:pt idx="10" formatCode="#,##0">
                  <c:v>714628</c:v>
                </c:pt>
                <c:pt idx="11">
                  <c:v>1168044</c:v>
                </c:pt>
                <c:pt idx="12" formatCode="#,##0">
                  <c:v>776188</c:v>
                </c:pt>
                <c:pt idx="13" formatCode="#,##0">
                  <c:v>1560907</c:v>
                </c:pt>
                <c:pt idx="14" formatCode="#,##0">
                  <c:v>693234</c:v>
                </c:pt>
                <c:pt idx="15">
                  <c:v>1168044</c:v>
                </c:pt>
                <c:pt idx="16">
                  <c:v>1168044</c:v>
                </c:pt>
                <c:pt idx="17" formatCode="#,##0">
                  <c:v>1821967</c:v>
                </c:pt>
                <c:pt idx="18">
                  <c:v>1168044</c:v>
                </c:pt>
                <c:pt idx="19" formatCode="#,##0">
                  <c:v>1791738</c:v>
                </c:pt>
                <c:pt idx="20" formatCode="#,##0">
                  <c:v>1133274</c:v>
                </c:pt>
                <c:pt idx="21" formatCode="#,##0">
                  <c:v>1354073</c:v>
                </c:pt>
                <c:pt idx="22" formatCode="#,##0">
                  <c:v>1890690</c:v>
                </c:pt>
                <c:pt idx="23" formatCode="#,##0">
                  <c:v>850383</c:v>
                </c:pt>
                <c:pt idx="24" formatCode="#,##0">
                  <c:v>1249953</c:v>
                </c:pt>
                <c:pt idx="25" formatCode="#,##0">
                  <c:v>1722654</c:v>
                </c:pt>
                <c:pt idx="26" formatCode="#,##0">
                  <c:v>1029857</c:v>
                </c:pt>
                <c:pt idx="27" formatCode="#,##0">
                  <c:v>1432391</c:v>
                </c:pt>
                <c:pt idx="28" formatCode="#,##0">
                  <c:v>1749748</c:v>
                </c:pt>
                <c:pt idx="29">
                  <c:v>1168044</c:v>
                </c:pt>
                <c:pt idx="30" formatCode="#,##0">
                  <c:v>1501912</c:v>
                </c:pt>
                <c:pt idx="31" formatCode="#,##0">
                  <c:v>1348620</c:v>
                </c:pt>
                <c:pt idx="32" formatCode="#,##0">
                  <c:v>524609</c:v>
                </c:pt>
                <c:pt idx="33" formatCode="#,##0">
                  <c:v>1248338</c:v>
                </c:pt>
                <c:pt idx="34">
                  <c:v>1168044</c:v>
                </c:pt>
                <c:pt idx="35" formatCode="#,##0">
                  <c:v>1261068</c:v>
                </c:pt>
                <c:pt idx="36" formatCode="#,##0">
                  <c:v>752039</c:v>
                </c:pt>
                <c:pt idx="37" formatCode="#,##0">
                  <c:v>796499</c:v>
                </c:pt>
                <c:pt idx="38">
                  <c:v>1168044</c:v>
                </c:pt>
                <c:pt idx="39" formatCode="#,##0">
                  <c:v>1454507</c:v>
                </c:pt>
                <c:pt idx="40" formatCode="#,##0">
                  <c:v>1494616</c:v>
                </c:pt>
                <c:pt idx="41">
                  <c:v>1168044</c:v>
                </c:pt>
                <c:pt idx="42">
                  <c:v>1168044</c:v>
                </c:pt>
                <c:pt idx="43" formatCode="#,##0">
                  <c:v>537472</c:v>
                </c:pt>
                <c:pt idx="44" formatCode="#,##0">
                  <c:v>2211657</c:v>
                </c:pt>
                <c:pt idx="45" formatCode="#,##0">
                  <c:v>919296</c:v>
                </c:pt>
                <c:pt idx="46" formatCode="#,##0">
                  <c:v>1465698</c:v>
                </c:pt>
                <c:pt idx="47" formatCode="#,##0">
                  <c:v>1013954</c:v>
                </c:pt>
                <c:pt idx="48" formatCode="#,##0">
                  <c:v>1518024</c:v>
                </c:pt>
                <c:pt idx="49" formatCode="#,##0">
                  <c:v>1096167</c:v>
                </c:pt>
                <c:pt idx="50" formatCode="#,##0">
                  <c:v>1193010</c:v>
                </c:pt>
                <c:pt idx="51" formatCode="#,##0">
                  <c:v>527839</c:v>
                </c:pt>
                <c:pt idx="52">
                  <c:v>1168044</c:v>
                </c:pt>
                <c:pt idx="53" formatCode="#,##0">
                  <c:v>1239199</c:v>
                </c:pt>
                <c:pt idx="54" formatCode="#,##0">
                  <c:v>2509520</c:v>
                </c:pt>
                <c:pt idx="55" formatCode="#,##0">
                  <c:v>1902090</c:v>
                </c:pt>
                <c:pt idx="56" formatCode="#,##0">
                  <c:v>728726</c:v>
                </c:pt>
                <c:pt idx="57" formatCode="#,##0">
                  <c:v>2158210</c:v>
                </c:pt>
                <c:pt idx="58" formatCode="#,##0">
                  <c:v>2261304</c:v>
                </c:pt>
                <c:pt idx="59" formatCode="#,##0">
                  <c:v>1620681</c:v>
                </c:pt>
                <c:pt idx="60" formatCode="#,##0">
                  <c:v>837045</c:v>
                </c:pt>
                <c:pt idx="61" formatCode="#,##0">
                  <c:v>1648915</c:v>
                </c:pt>
                <c:pt idx="62">
                  <c:v>1168044</c:v>
                </c:pt>
                <c:pt idx="63" formatCode="#,##0">
                  <c:v>2896721</c:v>
                </c:pt>
                <c:pt idx="64" formatCode="#,##0">
                  <c:v>3035725</c:v>
                </c:pt>
                <c:pt idx="65" formatCode="#,##0">
                  <c:v>1028774</c:v>
                </c:pt>
                <c:pt idx="66" formatCode="#,##0">
                  <c:v>2048618</c:v>
                </c:pt>
                <c:pt idx="67">
                  <c:v>1168044</c:v>
                </c:pt>
                <c:pt idx="68">
                  <c:v>1168044</c:v>
                </c:pt>
                <c:pt idx="69" formatCode="#,##0">
                  <c:v>1060922</c:v>
                </c:pt>
                <c:pt idx="70" formatCode="#,##0">
                  <c:v>947625</c:v>
                </c:pt>
                <c:pt idx="71" formatCode="#,##0">
                  <c:v>486875</c:v>
                </c:pt>
                <c:pt idx="72" formatCode="#,##0">
                  <c:v>2770162</c:v>
                </c:pt>
                <c:pt idx="73" formatCode="#,##0">
                  <c:v>1343167</c:v>
                </c:pt>
                <c:pt idx="74" formatCode="#,##0">
                  <c:v>6628720</c:v>
                </c:pt>
                <c:pt idx="75">
                  <c:v>1168044</c:v>
                </c:pt>
                <c:pt idx="76" formatCode="#,##0">
                  <c:v>4776125</c:v>
                </c:pt>
                <c:pt idx="77" formatCode="#,##0">
                  <c:v>719910</c:v>
                </c:pt>
                <c:pt idx="78" formatCode="#,##0">
                  <c:v>1010401</c:v>
                </c:pt>
                <c:pt idx="79" formatCode="#,##0">
                  <c:v>2015159</c:v>
                </c:pt>
                <c:pt idx="80" formatCode="#,##0">
                  <c:v>1875680</c:v>
                </c:pt>
                <c:pt idx="81" formatCode="#,##0">
                  <c:v>1832075</c:v>
                </c:pt>
                <c:pt idx="82" formatCode="#,##0">
                  <c:v>974662</c:v>
                </c:pt>
                <c:pt idx="83">
                  <c:v>1168044</c:v>
                </c:pt>
                <c:pt idx="84" formatCode="#,##0">
                  <c:v>1340279</c:v>
                </c:pt>
                <c:pt idx="85" formatCode="#,##0">
                  <c:v>1351679</c:v>
                </c:pt>
                <c:pt idx="86" formatCode="#,##0">
                  <c:v>2120514</c:v>
                </c:pt>
                <c:pt idx="87" formatCode="#,##0">
                  <c:v>1355802</c:v>
                </c:pt>
                <c:pt idx="88" formatCode="#,##0">
                  <c:v>1212238</c:v>
                </c:pt>
                <c:pt idx="89" formatCode="#,##0">
                  <c:v>1377443</c:v>
                </c:pt>
                <c:pt idx="90">
                  <c:v>1168044</c:v>
                </c:pt>
                <c:pt idx="91">
                  <c:v>1168044</c:v>
                </c:pt>
                <c:pt idx="92">
                  <c:v>1168044</c:v>
                </c:pt>
                <c:pt idx="93" formatCode="#,##0">
                  <c:v>1411966</c:v>
                </c:pt>
                <c:pt idx="94">
                  <c:v>1168044</c:v>
                </c:pt>
                <c:pt idx="95">
                  <c:v>1168044</c:v>
                </c:pt>
                <c:pt idx="96" formatCode="#,##0">
                  <c:v>315666</c:v>
                </c:pt>
                <c:pt idx="97" formatCode="#,##0">
                  <c:v>536370</c:v>
                </c:pt>
                <c:pt idx="98" formatCode="#,##0">
                  <c:v>895147</c:v>
                </c:pt>
                <c:pt idx="99" formatCode="#,##0">
                  <c:v>1305927</c:v>
                </c:pt>
                <c:pt idx="100" formatCode="#,##0">
                  <c:v>1048667</c:v>
                </c:pt>
                <c:pt idx="101" formatCode="#,##0">
                  <c:v>668990</c:v>
                </c:pt>
                <c:pt idx="102" formatCode="#,##0">
                  <c:v>938315</c:v>
                </c:pt>
                <c:pt idx="103" formatCode="#,##0">
                  <c:v>1673007</c:v>
                </c:pt>
                <c:pt idx="104" formatCode="#,##0">
                  <c:v>4071396</c:v>
                </c:pt>
                <c:pt idx="105" formatCode="#,##0">
                  <c:v>671080</c:v>
                </c:pt>
                <c:pt idx="106" formatCode="#,##0">
                  <c:v>1402960</c:v>
                </c:pt>
                <c:pt idx="107" formatCode="#,##0">
                  <c:v>1682982</c:v>
                </c:pt>
                <c:pt idx="108" formatCode="#,##0">
                  <c:v>1063810</c:v>
                </c:pt>
                <c:pt idx="109" formatCode="#,##0">
                  <c:v>928701</c:v>
                </c:pt>
                <c:pt idx="110" formatCode="#,##0">
                  <c:v>2643242</c:v>
                </c:pt>
                <c:pt idx="111" formatCode="#,##0">
                  <c:v>474069</c:v>
                </c:pt>
                <c:pt idx="112" formatCode="#,##0">
                  <c:v>2491945</c:v>
                </c:pt>
                <c:pt idx="113" formatCode="#,##0">
                  <c:v>1565182</c:v>
                </c:pt>
                <c:pt idx="114" formatCode="#,##0">
                  <c:v>2435667</c:v>
                </c:pt>
                <c:pt idx="115" formatCode="#,##0">
                  <c:v>1815469</c:v>
                </c:pt>
                <c:pt idx="116" formatCode="#,##0">
                  <c:v>2316575</c:v>
                </c:pt>
                <c:pt idx="117" formatCode="#,##0">
                  <c:v>837311</c:v>
                </c:pt>
                <c:pt idx="118" formatCode="#,##0">
                  <c:v>1816001</c:v>
                </c:pt>
                <c:pt idx="119" formatCode="#,##0">
                  <c:v>1806083</c:v>
                </c:pt>
                <c:pt idx="120" formatCode="#,##0">
                  <c:v>775409</c:v>
                </c:pt>
                <c:pt idx="121">
                  <c:v>1168044</c:v>
                </c:pt>
                <c:pt idx="122" formatCode="#,##0">
                  <c:v>1133958</c:v>
                </c:pt>
                <c:pt idx="123" formatCode="#,##0">
                  <c:v>1527296</c:v>
                </c:pt>
                <c:pt idx="124">
                  <c:v>1168044</c:v>
                </c:pt>
                <c:pt idx="125">
                  <c:v>1168044</c:v>
                </c:pt>
                <c:pt idx="126" formatCode="#,##0">
                  <c:v>804460</c:v>
                </c:pt>
                <c:pt idx="127">
                  <c:v>1168044</c:v>
                </c:pt>
                <c:pt idx="128" formatCode="#,##0">
                  <c:v>1359792</c:v>
                </c:pt>
                <c:pt idx="129" formatCode="#,##0">
                  <c:v>2320375</c:v>
                </c:pt>
                <c:pt idx="130" formatCode="#,##0">
                  <c:v>622991</c:v>
                </c:pt>
                <c:pt idx="131">
                  <c:v>1168044</c:v>
                </c:pt>
                <c:pt idx="132" formatCode="#,##0">
                  <c:v>1229072</c:v>
                </c:pt>
                <c:pt idx="133" formatCode="#,##0">
                  <c:v>485697</c:v>
                </c:pt>
                <c:pt idx="134" formatCode="#,##0">
                  <c:v>1262151</c:v>
                </c:pt>
                <c:pt idx="135">
                  <c:v>1168044</c:v>
                </c:pt>
                <c:pt idx="136">
                  <c:v>1168044</c:v>
                </c:pt>
                <c:pt idx="137">
                  <c:v>1168044</c:v>
                </c:pt>
                <c:pt idx="138" formatCode="#,##0">
                  <c:v>3090160</c:v>
                </c:pt>
                <c:pt idx="139">
                  <c:v>1168044</c:v>
                </c:pt>
                <c:pt idx="140" formatCode="#,##0">
                  <c:v>1049427</c:v>
                </c:pt>
                <c:pt idx="141" formatCode="#,##0">
                  <c:v>1380426</c:v>
                </c:pt>
                <c:pt idx="142" formatCode="#,##0">
                  <c:v>804916</c:v>
                </c:pt>
                <c:pt idx="143" formatCode="#,##0">
                  <c:v>497306</c:v>
                </c:pt>
                <c:pt idx="144" formatCode="#,##0">
                  <c:v>1296807</c:v>
                </c:pt>
                <c:pt idx="145" formatCode="#,##0">
                  <c:v>942590</c:v>
                </c:pt>
                <c:pt idx="146" formatCode="#,##0">
                  <c:v>883329</c:v>
                </c:pt>
                <c:pt idx="147" formatCode="#,##0">
                  <c:v>567606</c:v>
                </c:pt>
                <c:pt idx="148">
                  <c:v>1168044</c:v>
                </c:pt>
                <c:pt idx="149" formatCode="#,##0">
                  <c:v>1886890</c:v>
                </c:pt>
                <c:pt idx="150" formatCode="#,##0">
                  <c:v>1386734</c:v>
                </c:pt>
                <c:pt idx="151" formatCode="#,##0">
                  <c:v>625879</c:v>
                </c:pt>
                <c:pt idx="152" formatCode="#,##0">
                  <c:v>881087</c:v>
                </c:pt>
                <c:pt idx="153" formatCode="#,##0">
                  <c:v>892164</c:v>
                </c:pt>
                <c:pt idx="154" formatCode="#,##0">
                  <c:v>1027444</c:v>
                </c:pt>
                <c:pt idx="155" formatCode="#,##0">
                  <c:v>787626</c:v>
                </c:pt>
                <c:pt idx="156" formatCode="#,##0">
                  <c:v>2317392</c:v>
                </c:pt>
                <c:pt idx="157" formatCode="#,##0">
                  <c:v>562419</c:v>
                </c:pt>
                <c:pt idx="158" formatCode="#,##0">
                  <c:v>1153851</c:v>
                </c:pt>
                <c:pt idx="159" formatCode="#,##0">
                  <c:v>669123</c:v>
                </c:pt>
                <c:pt idx="160" formatCode="#,##0">
                  <c:v>960184</c:v>
                </c:pt>
                <c:pt idx="161" formatCode="#,##0">
                  <c:v>1124040</c:v>
                </c:pt>
                <c:pt idx="162" formatCode="#,##0">
                  <c:v>2692471</c:v>
                </c:pt>
                <c:pt idx="163" formatCode="#,##0">
                  <c:v>3609145</c:v>
                </c:pt>
                <c:pt idx="164" formatCode="#,##0">
                  <c:v>1288523</c:v>
                </c:pt>
                <c:pt idx="165" formatCode="#,##0">
                  <c:v>688522</c:v>
                </c:pt>
                <c:pt idx="166" formatCode="#,##0">
                  <c:v>1318429</c:v>
                </c:pt>
                <c:pt idx="167" formatCode="#,##0">
                  <c:v>1651252</c:v>
                </c:pt>
                <c:pt idx="168" formatCode="#,##0">
                  <c:v>2638454</c:v>
                </c:pt>
                <c:pt idx="169" formatCode="#,##0">
                  <c:v>1224968</c:v>
                </c:pt>
                <c:pt idx="170" formatCode="#,##0">
                  <c:v>833188</c:v>
                </c:pt>
                <c:pt idx="171" formatCode="#,##0">
                  <c:v>1138518</c:v>
                </c:pt>
                <c:pt idx="172" formatCode="#,##0">
                  <c:v>1048363</c:v>
                </c:pt>
                <c:pt idx="173" formatCode="#,##0">
                  <c:v>1934960</c:v>
                </c:pt>
                <c:pt idx="174" formatCode="#,##0">
                  <c:v>982870</c:v>
                </c:pt>
                <c:pt idx="175" formatCode="#,##0">
                  <c:v>1155751</c:v>
                </c:pt>
                <c:pt idx="176" formatCode="#,##0">
                  <c:v>1125978</c:v>
                </c:pt>
                <c:pt idx="177" formatCode="#,##0">
                  <c:v>1136238</c:v>
                </c:pt>
                <c:pt idx="178">
                  <c:v>1168044</c:v>
                </c:pt>
                <c:pt idx="179" formatCode="#,##0">
                  <c:v>756352</c:v>
                </c:pt>
                <c:pt idx="180" formatCode="#,##0">
                  <c:v>866799</c:v>
                </c:pt>
                <c:pt idx="181" formatCode="#,##0">
                  <c:v>742976</c:v>
                </c:pt>
                <c:pt idx="182" formatCode="#,##0">
                  <c:v>957790</c:v>
                </c:pt>
                <c:pt idx="183" formatCode="#,##0">
                  <c:v>1300246</c:v>
                </c:pt>
                <c:pt idx="184" formatCode="#,##0">
                  <c:v>2305669</c:v>
                </c:pt>
                <c:pt idx="185" formatCode="#,##0">
                  <c:v>830319</c:v>
                </c:pt>
                <c:pt idx="186" formatCode="#,##0">
                  <c:v>1111367</c:v>
                </c:pt>
                <c:pt idx="187" formatCode="#,##0">
                  <c:v>1403207</c:v>
                </c:pt>
                <c:pt idx="188">
                  <c:v>1168044</c:v>
                </c:pt>
                <c:pt idx="189" formatCode="#,##0">
                  <c:v>1488536</c:v>
                </c:pt>
                <c:pt idx="190" formatCode="#,##0">
                  <c:v>1178323</c:v>
                </c:pt>
                <c:pt idx="191" formatCode="#,##0">
                  <c:v>1020034</c:v>
                </c:pt>
                <c:pt idx="192">
                  <c:v>1168044</c:v>
                </c:pt>
                <c:pt idx="193">
                  <c:v>1168044</c:v>
                </c:pt>
                <c:pt idx="194" formatCode="#,##0">
                  <c:v>2683693</c:v>
                </c:pt>
                <c:pt idx="195" formatCode="#,##0">
                  <c:v>1288162</c:v>
                </c:pt>
                <c:pt idx="196" formatCode="#,##0">
                  <c:v>1395911</c:v>
                </c:pt>
                <c:pt idx="197" formatCode="#,##0">
                  <c:v>1031111</c:v>
                </c:pt>
                <c:pt idx="198" formatCode="#,##0">
                  <c:v>1202510</c:v>
                </c:pt>
                <c:pt idx="199" formatCode="#,##0">
                  <c:v>1075058</c:v>
                </c:pt>
                <c:pt idx="200" formatCode="#,##0">
                  <c:v>985245</c:v>
                </c:pt>
                <c:pt idx="201" formatCode="#,##0">
                  <c:v>841491</c:v>
                </c:pt>
                <c:pt idx="202" formatCode="#,##0">
                  <c:v>1330513</c:v>
                </c:pt>
                <c:pt idx="203">
                  <c:v>1168044</c:v>
                </c:pt>
                <c:pt idx="204" formatCode="#,##0">
                  <c:v>751108</c:v>
                </c:pt>
                <c:pt idx="205" formatCode="#,##0">
                  <c:v>2053216</c:v>
                </c:pt>
                <c:pt idx="206" formatCode="#,##0">
                  <c:v>825246</c:v>
                </c:pt>
                <c:pt idx="207" formatCode="#,##0">
                  <c:v>761824</c:v>
                </c:pt>
                <c:pt idx="208" formatCode="#,##0">
                  <c:v>612199</c:v>
                </c:pt>
                <c:pt idx="209" formatCode="#,##0">
                  <c:v>1515896</c:v>
                </c:pt>
                <c:pt idx="210" formatCode="#,##0">
                  <c:v>1654577</c:v>
                </c:pt>
                <c:pt idx="211" formatCode="#,##0">
                  <c:v>853974</c:v>
                </c:pt>
                <c:pt idx="212" formatCode="#,##0">
                  <c:v>1898860</c:v>
                </c:pt>
                <c:pt idx="213" formatCode="#,##0">
                  <c:v>280136</c:v>
                </c:pt>
                <c:pt idx="214" formatCode="#,##0">
                  <c:v>1154592</c:v>
                </c:pt>
                <c:pt idx="215" formatCode="#,##0">
                  <c:v>1054519</c:v>
                </c:pt>
                <c:pt idx="216" formatCode="#,##0">
                  <c:v>1259206</c:v>
                </c:pt>
                <c:pt idx="217" formatCode="#,##0">
                  <c:v>1380160</c:v>
                </c:pt>
                <c:pt idx="218" formatCode="#,##0">
                  <c:v>745997</c:v>
                </c:pt>
                <c:pt idx="219" formatCode="#,##0">
                  <c:v>1483520</c:v>
                </c:pt>
                <c:pt idx="220" formatCode="#,##0">
                  <c:v>678661</c:v>
                </c:pt>
                <c:pt idx="221" formatCode="#,##0">
                  <c:v>1334902</c:v>
                </c:pt>
                <c:pt idx="222" formatCode="#,##0">
                  <c:v>666805</c:v>
                </c:pt>
                <c:pt idx="223" formatCode="#,##0">
                  <c:v>1057768</c:v>
                </c:pt>
                <c:pt idx="224" formatCode="#,##0">
                  <c:v>580469</c:v>
                </c:pt>
                <c:pt idx="225">
                  <c:v>1168044</c:v>
                </c:pt>
                <c:pt idx="226">
                  <c:v>1168044</c:v>
                </c:pt>
                <c:pt idx="227" formatCode="#,##0">
                  <c:v>1639776</c:v>
                </c:pt>
                <c:pt idx="228" formatCode="#,##0">
                  <c:v>564414</c:v>
                </c:pt>
                <c:pt idx="229" formatCode="#,##0">
                  <c:v>687420</c:v>
                </c:pt>
                <c:pt idx="230" formatCode="#,##0">
                  <c:v>654227</c:v>
                </c:pt>
                <c:pt idx="231" formatCode="#,##0">
                  <c:v>1906840</c:v>
                </c:pt>
                <c:pt idx="232" formatCode="#,##0">
                  <c:v>3874100</c:v>
                </c:pt>
                <c:pt idx="233" formatCode="#,##0">
                  <c:v>656849</c:v>
                </c:pt>
                <c:pt idx="234" formatCode="#,##0">
                  <c:v>843771</c:v>
                </c:pt>
                <c:pt idx="235" formatCode="#,##0">
                  <c:v>1004321</c:v>
                </c:pt>
                <c:pt idx="236" formatCode="#,##0">
                  <c:v>975004</c:v>
                </c:pt>
                <c:pt idx="237" formatCode="#,##0">
                  <c:v>1724193</c:v>
                </c:pt>
                <c:pt idx="238" formatCode="#,##0">
                  <c:v>1634323</c:v>
                </c:pt>
                <c:pt idx="239" formatCode="#,##0">
                  <c:v>1024727</c:v>
                </c:pt>
                <c:pt idx="240">
                  <c:v>1168044</c:v>
                </c:pt>
                <c:pt idx="241" formatCode="#,##0">
                  <c:v>2093762</c:v>
                </c:pt>
                <c:pt idx="242" formatCode="#,##0">
                  <c:v>463657</c:v>
                </c:pt>
                <c:pt idx="243" formatCode="#,##0">
                  <c:v>1816571</c:v>
                </c:pt>
                <c:pt idx="244">
                  <c:v>1168044</c:v>
                </c:pt>
                <c:pt idx="245" formatCode="#,##0">
                  <c:v>1624082</c:v>
                </c:pt>
                <c:pt idx="246" formatCode="#,##0">
                  <c:v>779893</c:v>
                </c:pt>
                <c:pt idx="247" formatCode="#,##0">
                  <c:v>2068891</c:v>
                </c:pt>
                <c:pt idx="248" formatCode="#,##0">
                  <c:v>1409610</c:v>
                </c:pt>
                <c:pt idx="249" formatCode="#,##0">
                  <c:v>1520608</c:v>
                </c:pt>
                <c:pt idx="250" formatCode="#,##0">
                  <c:v>897959</c:v>
                </c:pt>
                <c:pt idx="251" formatCode="#,##0">
                  <c:v>602832</c:v>
                </c:pt>
                <c:pt idx="252">
                  <c:v>1168044</c:v>
                </c:pt>
                <c:pt idx="253" formatCode="#,##0">
                  <c:v>1378165</c:v>
                </c:pt>
                <c:pt idx="254" formatCode="#,##0">
                  <c:v>1538145</c:v>
                </c:pt>
                <c:pt idx="255" formatCode="#,##0">
                  <c:v>1166220</c:v>
                </c:pt>
                <c:pt idx="256" formatCode="#,##0">
                  <c:v>848958</c:v>
                </c:pt>
                <c:pt idx="257" formatCode="#,##0">
                  <c:v>2551643</c:v>
                </c:pt>
                <c:pt idx="258" formatCode="#,##0">
                  <c:v>865602</c:v>
                </c:pt>
                <c:pt idx="259" formatCode="#,##0">
                  <c:v>1205322</c:v>
                </c:pt>
                <c:pt idx="260">
                  <c:v>1168044</c:v>
                </c:pt>
                <c:pt idx="261" formatCode="#,##0">
                  <c:v>1045285</c:v>
                </c:pt>
                <c:pt idx="262">
                  <c:v>1168044</c:v>
                </c:pt>
                <c:pt idx="263" formatCode="#,##0">
                  <c:v>233681</c:v>
                </c:pt>
                <c:pt idx="264" formatCode="#,##0">
                  <c:v>1157328</c:v>
                </c:pt>
                <c:pt idx="265" formatCode="#,##0">
                  <c:v>1054747</c:v>
                </c:pt>
                <c:pt idx="266" formatCode="#,##0">
                  <c:v>678566</c:v>
                </c:pt>
                <c:pt idx="267" formatCode="#,##0">
                  <c:v>2815781</c:v>
                </c:pt>
                <c:pt idx="268" formatCode="#,##0">
                  <c:v>805733</c:v>
                </c:pt>
                <c:pt idx="269" formatCode="#,##0">
                  <c:v>456646</c:v>
                </c:pt>
                <c:pt idx="270" formatCode="#,##0">
                  <c:v>1077528</c:v>
                </c:pt>
                <c:pt idx="271" formatCode="#,##0">
                  <c:v>1448655</c:v>
                </c:pt>
                <c:pt idx="272" formatCode="#,##0">
                  <c:v>1263652</c:v>
                </c:pt>
                <c:pt idx="273">
                  <c:v>1168044</c:v>
                </c:pt>
                <c:pt idx="274">
                  <c:v>1168044</c:v>
                </c:pt>
                <c:pt idx="275" formatCode="#,##0">
                  <c:v>576327</c:v>
                </c:pt>
                <c:pt idx="276" formatCode="#,##0">
                  <c:v>1636318</c:v>
                </c:pt>
                <c:pt idx="277" formatCode="#,##0">
                  <c:v>1632936</c:v>
                </c:pt>
                <c:pt idx="278" formatCode="#,##0">
                  <c:v>573819</c:v>
                </c:pt>
                <c:pt idx="279" formatCode="#,##0">
                  <c:v>1263785</c:v>
                </c:pt>
                <c:pt idx="280">
                  <c:v>1168044</c:v>
                </c:pt>
                <c:pt idx="281" formatCode="#,##0">
                  <c:v>1115699</c:v>
                </c:pt>
                <c:pt idx="282" formatCode="#,##0">
                  <c:v>1640061</c:v>
                </c:pt>
                <c:pt idx="283" formatCode="#,##0">
                  <c:v>993833</c:v>
                </c:pt>
                <c:pt idx="284">
                  <c:v>1168044</c:v>
                </c:pt>
                <c:pt idx="285" formatCode="#,##0">
                  <c:v>606290</c:v>
                </c:pt>
                <c:pt idx="286">
                  <c:v>1168044</c:v>
                </c:pt>
                <c:pt idx="287" formatCode="#,##0">
                  <c:v>2202917</c:v>
                </c:pt>
                <c:pt idx="288" formatCode="#,##0">
                  <c:v>855095</c:v>
                </c:pt>
                <c:pt idx="289" formatCode="#,##0">
                  <c:v>1118948</c:v>
                </c:pt>
                <c:pt idx="290" formatCode="#,##0">
                  <c:v>2233697</c:v>
                </c:pt>
                <c:pt idx="291" formatCode="#,##0">
                  <c:v>1176727</c:v>
                </c:pt>
                <c:pt idx="292" formatCode="#,##0">
                  <c:v>1312045</c:v>
                </c:pt>
                <c:pt idx="293">
                  <c:v>1168044</c:v>
                </c:pt>
                <c:pt idx="294" formatCode="#,##0">
                  <c:v>1167132</c:v>
                </c:pt>
                <c:pt idx="295" formatCode="#,##0">
                  <c:v>968905</c:v>
                </c:pt>
                <c:pt idx="296" formatCode="#,##0">
                  <c:v>301093</c:v>
                </c:pt>
                <c:pt idx="297" formatCode="#,##0">
                  <c:v>1468662</c:v>
                </c:pt>
                <c:pt idx="298" formatCode="#,##0">
                  <c:v>1491158</c:v>
                </c:pt>
                <c:pt idx="299" formatCode="#,##0">
                  <c:v>2229137</c:v>
                </c:pt>
                <c:pt idx="300">
                  <c:v>1168044</c:v>
                </c:pt>
                <c:pt idx="301" formatCode="#,##0">
                  <c:v>629850</c:v>
                </c:pt>
                <c:pt idx="302" formatCode="#,##0">
                  <c:v>1054937</c:v>
                </c:pt>
                <c:pt idx="303" formatCode="#,##0">
                  <c:v>1343642</c:v>
                </c:pt>
                <c:pt idx="304" formatCode="#,##0">
                  <c:v>1235741</c:v>
                </c:pt>
                <c:pt idx="305" formatCode="#,##0">
                  <c:v>1115718</c:v>
                </c:pt>
                <c:pt idx="306" formatCode="#,##0">
                  <c:v>6606775</c:v>
                </c:pt>
                <c:pt idx="307" formatCode="#,##0">
                  <c:v>1051175</c:v>
                </c:pt>
                <c:pt idx="308" formatCode="#,##0">
                  <c:v>931095</c:v>
                </c:pt>
                <c:pt idx="309" formatCode="#,##0">
                  <c:v>1707207</c:v>
                </c:pt>
                <c:pt idx="310" formatCode="#,##0">
                  <c:v>1160178</c:v>
                </c:pt>
                <c:pt idx="311">
                  <c:v>1168044</c:v>
                </c:pt>
                <c:pt idx="312" formatCode="#,##0">
                  <c:v>1264602</c:v>
                </c:pt>
                <c:pt idx="313" formatCode="#,##0">
                  <c:v>963490</c:v>
                </c:pt>
                <c:pt idx="314">
                  <c:v>1168044</c:v>
                </c:pt>
                <c:pt idx="315" formatCode="#,##0">
                  <c:v>311372</c:v>
                </c:pt>
                <c:pt idx="316">
                  <c:v>1168044</c:v>
                </c:pt>
                <c:pt idx="317" formatCode="#,##0">
                  <c:v>748486</c:v>
                </c:pt>
                <c:pt idx="318" formatCode="#,##0">
                  <c:v>576688</c:v>
                </c:pt>
                <c:pt idx="319" formatCode="#,##0">
                  <c:v>1053265</c:v>
                </c:pt>
                <c:pt idx="320" formatCode="#,##0">
                  <c:v>914432</c:v>
                </c:pt>
                <c:pt idx="321" formatCode="#,##0">
                  <c:v>6283072</c:v>
                </c:pt>
                <c:pt idx="322" formatCode="#,##0">
                  <c:v>2212835</c:v>
                </c:pt>
                <c:pt idx="323" formatCode="#,##0">
                  <c:v>1603657</c:v>
                </c:pt>
                <c:pt idx="324" formatCode="#,##0">
                  <c:v>1057293</c:v>
                </c:pt>
                <c:pt idx="325" formatCode="#,##0">
                  <c:v>1603220</c:v>
                </c:pt>
                <c:pt idx="326">
                  <c:v>1168044</c:v>
                </c:pt>
                <c:pt idx="327" formatCode="#,##0">
                  <c:v>1405772</c:v>
                </c:pt>
                <c:pt idx="328" formatCode="#,##0">
                  <c:v>2848575</c:v>
                </c:pt>
                <c:pt idx="329" formatCode="#,##0">
                  <c:v>773300</c:v>
                </c:pt>
                <c:pt idx="330">
                  <c:v>1168044</c:v>
                </c:pt>
                <c:pt idx="331" formatCode="#,##0">
                  <c:v>598082</c:v>
                </c:pt>
                <c:pt idx="332" formatCode="#,##0">
                  <c:v>1160862</c:v>
                </c:pt>
                <c:pt idx="333">
                  <c:v>1168044</c:v>
                </c:pt>
                <c:pt idx="334" formatCode="#,##0">
                  <c:v>891119</c:v>
                </c:pt>
                <c:pt idx="335" formatCode="#,##0">
                  <c:v>1803936</c:v>
                </c:pt>
                <c:pt idx="336" formatCode="#,##0">
                  <c:v>1496193</c:v>
                </c:pt>
                <c:pt idx="337" formatCode="#,##0">
                  <c:v>1292380</c:v>
                </c:pt>
                <c:pt idx="338">
                  <c:v>1168044</c:v>
                </c:pt>
                <c:pt idx="339" formatCode="#,##0">
                  <c:v>1555416</c:v>
                </c:pt>
                <c:pt idx="340" formatCode="#,##0">
                  <c:v>825968</c:v>
                </c:pt>
                <c:pt idx="341" formatCode="#,##0">
                  <c:v>1697859</c:v>
                </c:pt>
                <c:pt idx="342" formatCode="#,##0">
                  <c:v>1056039</c:v>
                </c:pt>
                <c:pt idx="343" formatCode="#,##0">
                  <c:v>1117865</c:v>
                </c:pt>
                <c:pt idx="344" formatCode="#,##0">
                  <c:v>1585113</c:v>
                </c:pt>
                <c:pt idx="345" formatCode="#,##0">
                  <c:v>1438509</c:v>
                </c:pt>
                <c:pt idx="346" formatCode="#,##0">
                  <c:v>2302116</c:v>
                </c:pt>
                <c:pt idx="347" formatCode="#,##0">
                  <c:v>981578</c:v>
                </c:pt>
                <c:pt idx="348" formatCode="#,##0">
                  <c:v>1853298</c:v>
                </c:pt>
                <c:pt idx="349">
                  <c:v>1168044</c:v>
                </c:pt>
                <c:pt idx="350" formatCode="#,##0">
                  <c:v>2094807</c:v>
                </c:pt>
                <c:pt idx="351" formatCode="#,##0">
                  <c:v>564756</c:v>
                </c:pt>
                <c:pt idx="352" formatCode="#,##0">
                  <c:v>954275</c:v>
                </c:pt>
                <c:pt idx="353" formatCode="#,##0">
                  <c:v>347035</c:v>
                </c:pt>
                <c:pt idx="354" formatCode="#,##0">
                  <c:v>185782</c:v>
                </c:pt>
                <c:pt idx="355" formatCode="#,##0">
                  <c:v>835620</c:v>
                </c:pt>
                <c:pt idx="356">
                  <c:v>1168044</c:v>
                </c:pt>
                <c:pt idx="357" formatCode="#,##0">
                  <c:v>463429</c:v>
                </c:pt>
                <c:pt idx="358" formatCode="#,##0">
                  <c:v>3954888</c:v>
                </c:pt>
                <c:pt idx="359" formatCode="#,##0">
                  <c:v>2270652</c:v>
                </c:pt>
                <c:pt idx="360" formatCode="#,##0">
                  <c:v>3369897</c:v>
                </c:pt>
                <c:pt idx="361" formatCode="#,##0">
                  <c:v>2688462</c:v>
                </c:pt>
                <c:pt idx="362" formatCode="#,##0">
                  <c:v>897769</c:v>
                </c:pt>
                <c:pt idx="363" formatCode="#,##0">
                  <c:v>502892</c:v>
                </c:pt>
                <c:pt idx="364" formatCode="#,##0">
                  <c:v>992256</c:v>
                </c:pt>
                <c:pt idx="365" formatCode="#,##0">
                  <c:v>3336970</c:v>
                </c:pt>
                <c:pt idx="366" formatCode="#,##0">
                  <c:v>867996</c:v>
                </c:pt>
                <c:pt idx="367" formatCode="#,##0">
                  <c:v>1629383</c:v>
                </c:pt>
                <c:pt idx="368" formatCode="#,##0">
                  <c:v>821826</c:v>
                </c:pt>
                <c:pt idx="369" formatCode="#,##0">
                  <c:v>572793</c:v>
                </c:pt>
                <c:pt idx="370" formatCode="#,##0">
                  <c:v>1166904</c:v>
                </c:pt>
                <c:pt idx="371" formatCode="#,##0">
                  <c:v>1258389</c:v>
                </c:pt>
                <c:pt idx="372" formatCode="#,##0">
                  <c:v>823707</c:v>
                </c:pt>
                <c:pt idx="373" formatCode="#,##0">
                  <c:v>950399</c:v>
                </c:pt>
                <c:pt idx="374" formatCode="#,##0">
                  <c:v>954560</c:v>
                </c:pt>
                <c:pt idx="375">
                  <c:v>1168044</c:v>
                </c:pt>
                <c:pt idx="376" formatCode="#,##0">
                  <c:v>2250246</c:v>
                </c:pt>
                <c:pt idx="377" formatCode="#,##0">
                  <c:v>3095632</c:v>
                </c:pt>
                <c:pt idx="378" formatCode="#,##0">
                  <c:v>2311236</c:v>
                </c:pt>
                <c:pt idx="379" formatCode="#,##0">
                  <c:v>652099</c:v>
                </c:pt>
                <c:pt idx="380" formatCode="#,##0">
                  <c:v>952185</c:v>
                </c:pt>
                <c:pt idx="381" formatCode="#,##0">
                  <c:v>888041</c:v>
                </c:pt>
                <c:pt idx="382" formatCode="#,##0">
                  <c:v>2538343</c:v>
                </c:pt>
                <c:pt idx="383" formatCode="#,##0">
                  <c:v>230147</c:v>
                </c:pt>
                <c:pt idx="384">
                  <c:v>1168044</c:v>
                </c:pt>
                <c:pt idx="385" formatCode="#,##0">
                  <c:v>1629098</c:v>
                </c:pt>
                <c:pt idx="386" formatCode="#,##0">
                  <c:v>1343243</c:v>
                </c:pt>
                <c:pt idx="387" formatCode="#,##0">
                  <c:v>969665</c:v>
                </c:pt>
                <c:pt idx="388" formatCode="#,##0">
                  <c:v>831953</c:v>
                </c:pt>
                <c:pt idx="389" formatCode="#,##0">
                  <c:v>1201788</c:v>
                </c:pt>
                <c:pt idx="390">
                  <c:v>1168044</c:v>
                </c:pt>
                <c:pt idx="391" formatCode="#,##0">
                  <c:v>874874</c:v>
                </c:pt>
                <c:pt idx="392" formatCode="#,##0">
                  <c:v>1307124</c:v>
                </c:pt>
                <c:pt idx="393" formatCode="#,##0">
                  <c:v>753692</c:v>
                </c:pt>
                <c:pt idx="394">
                  <c:v>1168044</c:v>
                </c:pt>
                <c:pt idx="395" formatCode="#,##0">
                  <c:v>1734624</c:v>
                </c:pt>
                <c:pt idx="396" formatCode="#,##0">
                  <c:v>1025487</c:v>
                </c:pt>
                <c:pt idx="397">
                  <c:v>1168044</c:v>
                </c:pt>
                <c:pt idx="398" formatCode="#,##0">
                  <c:v>751336</c:v>
                </c:pt>
                <c:pt idx="399" formatCode="#,##0">
                  <c:v>1261809</c:v>
                </c:pt>
                <c:pt idx="400">
                  <c:v>1168044</c:v>
                </c:pt>
                <c:pt idx="401">
                  <c:v>1168044</c:v>
                </c:pt>
                <c:pt idx="402">
                  <c:v>1168044</c:v>
                </c:pt>
                <c:pt idx="403" formatCode="#,##0">
                  <c:v>925946</c:v>
                </c:pt>
                <c:pt idx="404" formatCode="#,##0">
                  <c:v>1244272</c:v>
                </c:pt>
                <c:pt idx="405">
                  <c:v>1168044</c:v>
                </c:pt>
                <c:pt idx="406" formatCode="#,##0">
                  <c:v>1154801</c:v>
                </c:pt>
                <c:pt idx="407">
                  <c:v>1168044</c:v>
                </c:pt>
                <c:pt idx="408" formatCode="#,##0">
                  <c:v>1712565</c:v>
                </c:pt>
                <c:pt idx="409" formatCode="#,##0">
                  <c:v>584345</c:v>
                </c:pt>
                <c:pt idx="410" formatCode="#,##0">
                  <c:v>1920520</c:v>
                </c:pt>
                <c:pt idx="411" formatCode="#,##0">
                  <c:v>1051536</c:v>
                </c:pt>
                <c:pt idx="412" formatCode="#,##0">
                  <c:v>678034</c:v>
                </c:pt>
                <c:pt idx="413" formatCode="#,##0">
                  <c:v>905160</c:v>
                </c:pt>
                <c:pt idx="414">
                  <c:v>1168044</c:v>
                </c:pt>
                <c:pt idx="415" formatCode="#,##0">
                  <c:v>1634627</c:v>
                </c:pt>
                <c:pt idx="416">
                  <c:v>1168044</c:v>
                </c:pt>
                <c:pt idx="417" formatCode="#,##0">
                  <c:v>928226</c:v>
                </c:pt>
                <c:pt idx="418" formatCode="#,##0">
                  <c:v>845937</c:v>
                </c:pt>
                <c:pt idx="419" formatCode="#,##0">
                  <c:v>1352914</c:v>
                </c:pt>
                <c:pt idx="420" formatCode="#,##0">
                  <c:v>845937</c:v>
                </c:pt>
                <c:pt idx="421">
                  <c:v>1168044</c:v>
                </c:pt>
                <c:pt idx="422" formatCode="#,##0">
                  <c:v>679896</c:v>
                </c:pt>
                <c:pt idx="423">
                  <c:v>1168044</c:v>
                </c:pt>
                <c:pt idx="424">
                  <c:v>1168044</c:v>
                </c:pt>
                <c:pt idx="425" formatCode="#,##0">
                  <c:v>665798</c:v>
                </c:pt>
                <c:pt idx="426" formatCode="#,##0">
                  <c:v>1282462</c:v>
                </c:pt>
                <c:pt idx="427" formatCode="#,##0">
                  <c:v>573819</c:v>
                </c:pt>
                <c:pt idx="428" formatCode="#,##0">
                  <c:v>1309651</c:v>
                </c:pt>
                <c:pt idx="429" formatCode="#,##0">
                  <c:v>1448237</c:v>
                </c:pt>
                <c:pt idx="430" formatCode="#,##0">
                  <c:v>1733788</c:v>
                </c:pt>
                <c:pt idx="431">
                  <c:v>1168044</c:v>
                </c:pt>
                <c:pt idx="432" formatCode="#,##0">
                  <c:v>1885959</c:v>
                </c:pt>
                <c:pt idx="433" formatCode="#,##0">
                  <c:v>2528767</c:v>
                </c:pt>
                <c:pt idx="434" formatCode="#,##0">
                  <c:v>899954</c:v>
                </c:pt>
                <c:pt idx="435" formatCode="#,##0">
                  <c:v>1168044</c:v>
                </c:pt>
                <c:pt idx="436" formatCode="#,##0">
                  <c:v>2408554</c:v>
                </c:pt>
                <c:pt idx="437" formatCode="#,##0">
                  <c:v>1509721</c:v>
                </c:pt>
                <c:pt idx="438" formatCode="#,##0">
                  <c:v>777556</c:v>
                </c:pt>
                <c:pt idx="439" formatCode="#,##0">
                  <c:v>2083825</c:v>
                </c:pt>
                <c:pt idx="440" formatCode="#,##0">
                  <c:v>1763561</c:v>
                </c:pt>
                <c:pt idx="441" formatCode="#,##0">
                  <c:v>1834944</c:v>
                </c:pt>
                <c:pt idx="442" formatCode="#,##0">
                  <c:v>804460</c:v>
                </c:pt>
                <c:pt idx="443" formatCode="#,##0">
                  <c:v>927523</c:v>
                </c:pt>
                <c:pt idx="444" formatCode="#,##0">
                  <c:v>1157328</c:v>
                </c:pt>
                <c:pt idx="445" formatCode="#,##0">
                  <c:v>1356201</c:v>
                </c:pt>
                <c:pt idx="446" formatCode="#,##0">
                  <c:v>694564</c:v>
                </c:pt>
                <c:pt idx="447" formatCode="#,##0">
                  <c:v>1450441</c:v>
                </c:pt>
                <c:pt idx="448" formatCode="#,##0">
                  <c:v>926250</c:v>
                </c:pt>
                <c:pt idx="449" formatCode="#,##0">
                  <c:v>1308283</c:v>
                </c:pt>
                <c:pt idx="450" formatCode="#,##0">
                  <c:v>768398</c:v>
                </c:pt>
                <c:pt idx="451" formatCode="#,##0">
                  <c:v>6906766</c:v>
                </c:pt>
                <c:pt idx="452">
                  <c:v>1168044</c:v>
                </c:pt>
                <c:pt idx="453" formatCode="#,##0">
                  <c:v>2004253</c:v>
                </c:pt>
                <c:pt idx="454" formatCode="#,##0">
                  <c:v>410020</c:v>
                </c:pt>
                <c:pt idx="455">
                  <c:v>1168044</c:v>
                </c:pt>
                <c:pt idx="456" formatCode="#,##0">
                  <c:v>1208324</c:v>
                </c:pt>
                <c:pt idx="457" formatCode="#,##0">
                  <c:v>531734</c:v>
                </c:pt>
                <c:pt idx="458" formatCode="#,##0">
                  <c:v>2081792</c:v>
                </c:pt>
                <c:pt idx="459" formatCode="#,##0">
                  <c:v>665608</c:v>
                </c:pt>
                <c:pt idx="460" formatCode="#,##0">
                  <c:v>4521715</c:v>
                </c:pt>
                <c:pt idx="461" formatCode="#,##0">
                  <c:v>1091854</c:v>
                </c:pt>
                <c:pt idx="462">
                  <c:v>1168044</c:v>
                </c:pt>
                <c:pt idx="463" formatCode="#,##0">
                  <c:v>1018590</c:v>
                </c:pt>
                <c:pt idx="464" formatCode="#,##0">
                  <c:v>566124</c:v>
                </c:pt>
                <c:pt idx="465" formatCode="#,##0">
                  <c:v>2247396</c:v>
                </c:pt>
                <c:pt idx="466" formatCode="#,##0">
                  <c:v>1638104</c:v>
                </c:pt>
                <c:pt idx="467" formatCode="#,##0">
                  <c:v>1392662</c:v>
                </c:pt>
                <c:pt idx="468" formatCode="#,##0">
                  <c:v>910727</c:v>
                </c:pt>
                <c:pt idx="469" formatCode="#,##0">
                  <c:v>1166296</c:v>
                </c:pt>
                <c:pt idx="470" formatCode="#,##0">
                  <c:v>1685547</c:v>
                </c:pt>
                <c:pt idx="471" formatCode="#,##0">
                  <c:v>1084805</c:v>
                </c:pt>
                <c:pt idx="472">
                  <c:v>1168044</c:v>
                </c:pt>
                <c:pt idx="473" formatCode="#,##0">
                  <c:v>1324452</c:v>
                </c:pt>
                <c:pt idx="474" formatCode="#,##0">
                  <c:v>571995</c:v>
                </c:pt>
                <c:pt idx="475" formatCode="#,##0">
                  <c:v>1027235</c:v>
                </c:pt>
                <c:pt idx="476" formatCode="#,##0">
                  <c:v>730588</c:v>
                </c:pt>
                <c:pt idx="477">
                  <c:v>1168044</c:v>
                </c:pt>
                <c:pt idx="478" formatCode="#,##0">
                  <c:v>898092</c:v>
                </c:pt>
                <c:pt idx="479" formatCode="#,##0">
                  <c:v>954370</c:v>
                </c:pt>
                <c:pt idx="480" formatCode="#,##0">
                  <c:v>594301</c:v>
                </c:pt>
                <c:pt idx="481" formatCode="#,##0">
                  <c:v>2517804</c:v>
                </c:pt>
                <c:pt idx="482" formatCode="#,##0">
                  <c:v>653904</c:v>
                </c:pt>
                <c:pt idx="483" formatCode="#,##0">
                  <c:v>3562348</c:v>
                </c:pt>
                <c:pt idx="484" formatCode="#,##0">
                  <c:v>2299836</c:v>
                </c:pt>
                <c:pt idx="485" formatCode="#,##0">
                  <c:v>2234856</c:v>
                </c:pt>
                <c:pt idx="486" formatCode="#,##0">
                  <c:v>2278632</c:v>
                </c:pt>
                <c:pt idx="487" formatCode="#,##0">
                  <c:v>463258</c:v>
                </c:pt>
                <c:pt idx="488" formatCode="#,##0">
                  <c:v>1168272</c:v>
                </c:pt>
                <c:pt idx="489" formatCode="#,##0">
                  <c:v>1400205</c:v>
                </c:pt>
                <c:pt idx="490" formatCode="#,##0">
                  <c:v>540607</c:v>
                </c:pt>
                <c:pt idx="491" formatCode="#,##0">
                  <c:v>1473317</c:v>
                </c:pt>
                <c:pt idx="492">
                  <c:v>1168044</c:v>
                </c:pt>
                <c:pt idx="493" formatCode="#,##0">
                  <c:v>902538</c:v>
                </c:pt>
                <c:pt idx="494" formatCode="#,##0">
                  <c:v>2705486</c:v>
                </c:pt>
                <c:pt idx="495" formatCode="#,##0">
                  <c:v>1523040</c:v>
                </c:pt>
                <c:pt idx="496" formatCode="#,##0">
                  <c:v>1270036</c:v>
                </c:pt>
                <c:pt idx="497" formatCode="#,##0">
                  <c:v>860130</c:v>
                </c:pt>
                <c:pt idx="498" formatCode="#,##0">
                  <c:v>785707</c:v>
                </c:pt>
                <c:pt idx="499" formatCode="#,##0">
                  <c:v>2207743</c:v>
                </c:pt>
                <c:pt idx="500">
                  <c:v>1168044</c:v>
                </c:pt>
                <c:pt idx="501">
                  <c:v>1168044</c:v>
                </c:pt>
                <c:pt idx="502" formatCode="#,##0">
                  <c:v>877059</c:v>
                </c:pt>
                <c:pt idx="503" formatCode="#,##0">
                  <c:v>1067154</c:v>
                </c:pt>
                <c:pt idx="504" formatCode="#,##0">
                  <c:v>799292</c:v>
                </c:pt>
                <c:pt idx="505" formatCode="#,##0">
                  <c:v>1527144</c:v>
                </c:pt>
                <c:pt idx="506" formatCode="#,##0">
                  <c:v>1156511</c:v>
                </c:pt>
                <c:pt idx="507" formatCode="#,##0">
                  <c:v>371564</c:v>
                </c:pt>
                <c:pt idx="508" formatCode="#,##0">
                  <c:v>490713</c:v>
                </c:pt>
                <c:pt idx="509" formatCode="#,##0">
                  <c:v>1542192</c:v>
                </c:pt>
                <c:pt idx="510">
                  <c:v>1168044</c:v>
                </c:pt>
                <c:pt idx="511" formatCode="#,##0">
                  <c:v>1467978</c:v>
                </c:pt>
                <c:pt idx="512">
                  <c:v>1168044</c:v>
                </c:pt>
                <c:pt idx="513">
                  <c:v>1168044</c:v>
                </c:pt>
                <c:pt idx="514" formatCode="#,##0">
                  <c:v>4995328</c:v>
                </c:pt>
                <c:pt idx="515">
                  <c:v>1168044</c:v>
                </c:pt>
                <c:pt idx="516">
                  <c:v>1168044</c:v>
                </c:pt>
                <c:pt idx="517" formatCode="#,##0">
                  <c:v>885096</c:v>
                </c:pt>
                <c:pt idx="518" formatCode="#,##0">
                  <c:v>812364</c:v>
                </c:pt>
                <c:pt idx="519" formatCode="#,##0">
                  <c:v>2314428</c:v>
                </c:pt>
                <c:pt idx="520">
                  <c:v>1168044</c:v>
                </c:pt>
                <c:pt idx="521">
                  <c:v>1168044</c:v>
                </c:pt>
                <c:pt idx="522" formatCode="#,##0">
                  <c:v>2489988</c:v>
                </c:pt>
                <c:pt idx="523">
                  <c:v>1168044</c:v>
                </c:pt>
                <c:pt idx="524" formatCode="#,##0">
                  <c:v>784833</c:v>
                </c:pt>
                <c:pt idx="525">
                  <c:v>1168044</c:v>
                </c:pt>
                <c:pt idx="526">
                  <c:v>1168044</c:v>
                </c:pt>
                <c:pt idx="527" formatCode="#,##0">
                  <c:v>1277066</c:v>
                </c:pt>
                <c:pt idx="528" formatCode="#,##0">
                  <c:v>1965322</c:v>
                </c:pt>
                <c:pt idx="529" formatCode="#,##0">
                  <c:v>7669160</c:v>
                </c:pt>
                <c:pt idx="530" formatCode="#,##0">
                  <c:v>1032878</c:v>
                </c:pt>
                <c:pt idx="531" formatCode="#,##0">
                  <c:v>1840397</c:v>
                </c:pt>
                <c:pt idx="532" formatCode="#,##0">
                  <c:v>440895</c:v>
                </c:pt>
                <c:pt idx="533" formatCode="#,##0">
                  <c:v>1507783</c:v>
                </c:pt>
                <c:pt idx="534">
                  <c:v>1168044</c:v>
                </c:pt>
                <c:pt idx="535" formatCode="#,##0">
                  <c:v>672372</c:v>
                </c:pt>
                <c:pt idx="536" formatCode="#,##0">
                  <c:v>1041979</c:v>
                </c:pt>
                <c:pt idx="537" formatCode="#,##0">
                  <c:v>1067686</c:v>
                </c:pt>
                <c:pt idx="538">
                  <c:v>1168044</c:v>
                </c:pt>
                <c:pt idx="539">
                  <c:v>1168044</c:v>
                </c:pt>
                <c:pt idx="540" formatCode="#,##0">
                  <c:v>2298696</c:v>
                </c:pt>
                <c:pt idx="541" formatCode="#,##0">
                  <c:v>781736</c:v>
                </c:pt>
                <c:pt idx="542" formatCode="#,##0">
                  <c:v>805030</c:v>
                </c:pt>
                <c:pt idx="543" formatCode="#,##0">
                  <c:v>2197901</c:v>
                </c:pt>
                <c:pt idx="544" formatCode="#,##0">
                  <c:v>1134414</c:v>
                </c:pt>
                <c:pt idx="545">
                  <c:v>1168044</c:v>
                </c:pt>
                <c:pt idx="546" formatCode="#,##0">
                  <c:v>1359108</c:v>
                </c:pt>
                <c:pt idx="547" formatCode="#,##0">
                  <c:v>1029439</c:v>
                </c:pt>
                <c:pt idx="548" formatCode="#,##0">
                  <c:v>1090543</c:v>
                </c:pt>
                <c:pt idx="549" formatCode="#,##0">
                  <c:v>1478637</c:v>
                </c:pt>
                <c:pt idx="550" formatCode="#,##0">
                  <c:v>758556</c:v>
                </c:pt>
                <c:pt idx="551" formatCode="#,##0">
                  <c:v>1488479</c:v>
                </c:pt>
                <c:pt idx="552" formatCode="#,##0">
                  <c:v>4674475</c:v>
                </c:pt>
                <c:pt idx="553" formatCode="#,##0">
                  <c:v>1629744</c:v>
                </c:pt>
                <c:pt idx="554" formatCode="#,##0">
                  <c:v>1160520</c:v>
                </c:pt>
                <c:pt idx="555">
                  <c:v>1168044</c:v>
                </c:pt>
                <c:pt idx="556" formatCode="#,##0">
                  <c:v>2838543</c:v>
                </c:pt>
                <c:pt idx="557">
                  <c:v>1168044</c:v>
                </c:pt>
                <c:pt idx="558" formatCode="#,##0">
                  <c:v>687971</c:v>
                </c:pt>
                <c:pt idx="559" formatCode="#,##0">
                  <c:v>837235</c:v>
                </c:pt>
                <c:pt idx="560" formatCode="#,##0">
                  <c:v>1526384</c:v>
                </c:pt>
                <c:pt idx="561" formatCode="#,##0">
                  <c:v>922127</c:v>
                </c:pt>
                <c:pt idx="562">
                  <c:v>1168044</c:v>
                </c:pt>
                <c:pt idx="563" formatCode="#,##0">
                  <c:v>1637059</c:v>
                </c:pt>
                <c:pt idx="564" formatCode="#,##0">
                  <c:v>1489771</c:v>
                </c:pt>
                <c:pt idx="565" formatCode="#,##0">
                  <c:v>1119936</c:v>
                </c:pt>
                <c:pt idx="566">
                  <c:v>1168044</c:v>
                </c:pt>
                <c:pt idx="567">
                  <c:v>1168044</c:v>
                </c:pt>
                <c:pt idx="568" formatCode="#,##0">
                  <c:v>1872260</c:v>
                </c:pt>
                <c:pt idx="569" formatCode="#,##0">
                  <c:v>670985</c:v>
                </c:pt>
                <c:pt idx="570" formatCode="#,##0">
                  <c:v>2009326</c:v>
                </c:pt>
                <c:pt idx="571">
                  <c:v>1168044</c:v>
                </c:pt>
                <c:pt idx="572">
                  <c:v>1168044</c:v>
                </c:pt>
                <c:pt idx="573" formatCode="#,##0">
                  <c:v>707085</c:v>
                </c:pt>
                <c:pt idx="574">
                  <c:v>1168044</c:v>
                </c:pt>
                <c:pt idx="575" formatCode="#,##0">
                  <c:v>954750</c:v>
                </c:pt>
                <c:pt idx="576" formatCode="#,##0">
                  <c:v>1857060</c:v>
                </c:pt>
                <c:pt idx="577" formatCode="#,##0">
                  <c:v>1467484</c:v>
                </c:pt>
                <c:pt idx="578" formatCode="#,##0">
                  <c:v>2344600</c:v>
                </c:pt>
                <c:pt idx="579" formatCode="#,##0">
                  <c:v>1013479</c:v>
                </c:pt>
                <c:pt idx="580">
                  <c:v>1168044</c:v>
                </c:pt>
                <c:pt idx="581" formatCode="#,##0">
                  <c:v>692474</c:v>
                </c:pt>
                <c:pt idx="582">
                  <c:v>1168044</c:v>
                </c:pt>
                <c:pt idx="583" formatCode="#,##0">
                  <c:v>2183043</c:v>
                </c:pt>
                <c:pt idx="584" formatCode="#,##0">
                  <c:v>1381528</c:v>
                </c:pt>
                <c:pt idx="585" formatCode="#,##0">
                  <c:v>1375391</c:v>
                </c:pt>
                <c:pt idx="586" formatCode="#,##0">
                  <c:v>836494</c:v>
                </c:pt>
                <c:pt idx="587">
                  <c:v>1168044</c:v>
                </c:pt>
                <c:pt idx="588" formatCode="#,##0">
                  <c:v>749132</c:v>
                </c:pt>
                <c:pt idx="589" formatCode="#,##0">
                  <c:v>1292095</c:v>
                </c:pt>
                <c:pt idx="590" formatCode="#,##0">
                  <c:v>1318695</c:v>
                </c:pt>
                <c:pt idx="591" formatCode="#,##0">
                  <c:v>1412897</c:v>
                </c:pt>
                <c:pt idx="592" formatCode="#,##0">
                  <c:v>785973</c:v>
                </c:pt>
                <c:pt idx="593" formatCode="#,##0">
                  <c:v>1383599</c:v>
                </c:pt>
                <c:pt idx="594" formatCode="#,##0">
                  <c:v>3355970</c:v>
                </c:pt>
                <c:pt idx="595" formatCode="#,##0">
                  <c:v>1514224</c:v>
                </c:pt>
                <c:pt idx="596" formatCode="#,##0">
                  <c:v>1213853</c:v>
                </c:pt>
                <c:pt idx="597" formatCode="#,##0">
                  <c:v>669503</c:v>
                </c:pt>
                <c:pt idx="598" formatCode="#,##0">
                  <c:v>637241</c:v>
                </c:pt>
                <c:pt idx="599" formatCode="#,##0">
                  <c:v>3676101</c:v>
                </c:pt>
                <c:pt idx="600">
                  <c:v>1168044</c:v>
                </c:pt>
                <c:pt idx="601" formatCode="#,##0">
                  <c:v>674044</c:v>
                </c:pt>
                <c:pt idx="602" formatCode="#,##0">
                  <c:v>1253525</c:v>
                </c:pt>
                <c:pt idx="603">
                  <c:v>1168044</c:v>
                </c:pt>
                <c:pt idx="604" formatCode="#,##0">
                  <c:v>2009174</c:v>
                </c:pt>
                <c:pt idx="605" formatCode="#,##0">
                  <c:v>3602153</c:v>
                </c:pt>
                <c:pt idx="606" formatCode="#,##0">
                  <c:v>437209</c:v>
                </c:pt>
                <c:pt idx="607" formatCode="#,##0">
                  <c:v>2643508</c:v>
                </c:pt>
                <c:pt idx="608" formatCode="#,##0">
                  <c:v>2548432</c:v>
                </c:pt>
                <c:pt idx="609" formatCode="#,##0">
                  <c:v>576992</c:v>
                </c:pt>
                <c:pt idx="610" formatCode="#,##0">
                  <c:v>2178787</c:v>
                </c:pt>
                <c:pt idx="611">
                  <c:v>1168044</c:v>
                </c:pt>
                <c:pt idx="612">
                  <c:v>1168044</c:v>
                </c:pt>
                <c:pt idx="613" formatCode="#,##0">
                  <c:v>529967</c:v>
                </c:pt>
                <c:pt idx="614">
                  <c:v>1168044</c:v>
                </c:pt>
                <c:pt idx="615" formatCode="#,##0">
                  <c:v>935655</c:v>
                </c:pt>
                <c:pt idx="616" formatCode="#,##0">
                  <c:v>622744</c:v>
                </c:pt>
                <c:pt idx="617" formatCode="#,##0">
                  <c:v>911487</c:v>
                </c:pt>
                <c:pt idx="618" formatCode="#,##0">
                  <c:v>1620814</c:v>
                </c:pt>
                <c:pt idx="619" formatCode="#,##0">
                  <c:v>3842940</c:v>
                </c:pt>
                <c:pt idx="620" formatCode="#,##0">
                  <c:v>1583992</c:v>
                </c:pt>
                <c:pt idx="621" formatCode="#,##0">
                  <c:v>1769983</c:v>
                </c:pt>
                <c:pt idx="622" formatCode="#,##0">
                  <c:v>1585455</c:v>
                </c:pt>
                <c:pt idx="623" formatCode="#,##0">
                  <c:v>1172813</c:v>
                </c:pt>
                <c:pt idx="624" formatCode="#,##0">
                  <c:v>1622106</c:v>
                </c:pt>
                <c:pt idx="625" formatCode="#,##0">
                  <c:v>686945</c:v>
                </c:pt>
                <c:pt idx="626" formatCode="#,##0">
                  <c:v>788101</c:v>
                </c:pt>
                <c:pt idx="627" formatCode="#,##0">
                  <c:v>1029477</c:v>
                </c:pt>
                <c:pt idx="628" formatCode="#,##0">
                  <c:v>1380179</c:v>
                </c:pt>
                <c:pt idx="629" formatCode="#,##0">
                  <c:v>1215430</c:v>
                </c:pt>
                <c:pt idx="630">
                  <c:v>1168044</c:v>
                </c:pt>
                <c:pt idx="631" formatCode="#,##0">
                  <c:v>1731242</c:v>
                </c:pt>
                <c:pt idx="632" formatCode="#,##0">
                  <c:v>1022333</c:v>
                </c:pt>
                <c:pt idx="633">
                  <c:v>1168044</c:v>
                </c:pt>
                <c:pt idx="634" formatCode="#,##0">
                  <c:v>1136694</c:v>
                </c:pt>
                <c:pt idx="635" formatCode="#,##0">
                  <c:v>433371</c:v>
                </c:pt>
                <c:pt idx="636" formatCode="#,##0">
                  <c:v>1680417</c:v>
                </c:pt>
                <c:pt idx="637" formatCode="#,##0">
                  <c:v>756884</c:v>
                </c:pt>
                <c:pt idx="638">
                  <c:v>1168044</c:v>
                </c:pt>
                <c:pt idx="639" formatCode="#,##0">
                  <c:v>2044647</c:v>
                </c:pt>
                <c:pt idx="640" formatCode="#,##0">
                  <c:v>1360343</c:v>
                </c:pt>
                <c:pt idx="641" formatCode="#,##0">
                  <c:v>1903420</c:v>
                </c:pt>
                <c:pt idx="642">
                  <c:v>1168044</c:v>
                </c:pt>
                <c:pt idx="643" formatCode="#,##0">
                  <c:v>662473</c:v>
                </c:pt>
                <c:pt idx="644" formatCode="#,##0">
                  <c:v>777024</c:v>
                </c:pt>
                <c:pt idx="645" formatCode="#,##0">
                  <c:v>1524313</c:v>
                </c:pt>
                <c:pt idx="646">
                  <c:v>1168044</c:v>
                </c:pt>
                <c:pt idx="647" formatCode="#,##0">
                  <c:v>491036</c:v>
                </c:pt>
                <c:pt idx="648" formatCode="#,##0">
                  <c:v>1914364</c:v>
                </c:pt>
                <c:pt idx="649">
                  <c:v>1168044</c:v>
                </c:pt>
                <c:pt idx="650" formatCode="#,##0">
                  <c:v>1269808</c:v>
                </c:pt>
                <c:pt idx="651" formatCode="#,##0">
                  <c:v>348707</c:v>
                </c:pt>
                <c:pt idx="652" formatCode="#,##0">
                  <c:v>985530</c:v>
                </c:pt>
                <c:pt idx="653" formatCode="#,##0">
                  <c:v>2374392</c:v>
                </c:pt>
                <c:pt idx="654" formatCode="#,##0">
                  <c:v>1788945</c:v>
                </c:pt>
                <c:pt idx="655">
                  <c:v>1168044</c:v>
                </c:pt>
                <c:pt idx="656">
                  <c:v>1168044</c:v>
                </c:pt>
                <c:pt idx="657" formatCode="#,##0">
                  <c:v>5316447</c:v>
                </c:pt>
                <c:pt idx="658" formatCode="#,##0">
                  <c:v>494247</c:v>
                </c:pt>
                <c:pt idx="659" formatCode="#,##0">
                  <c:v>1899430</c:v>
                </c:pt>
                <c:pt idx="660" formatCode="#,##0">
                  <c:v>1822328</c:v>
                </c:pt>
                <c:pt idx="661">
                  <c:v>1168044</c:v>
                </c:pt>
                <c:pt idx="662">
                  <c:v>1168044</c:v>
                </c:pt>
                <c:pt idx="663" formatCode="#,##0">
                  <c:v>1597577</c:v>
                </c:pt>
                <c:pt idx="664">
                  <c:v>1168044</c:v>
                </c:pt>
                <c:pt idx="665">
                  <c:v>1168044</c:v>
                </c:pt>
                <c:pt idx="666" formatCode="#,##0">
                  <c:v>1623892</c:v>
                </c:pt>
                <c:pt idx="667" formatCode="#,##0">
                  <c:v>1865591</c:v>
                </c:pt>
                <c:pt idx="668" formatCode="#,##0">
                  <c:v>1629858</c:v>
                </c:pt>
                <c:pt idx="669" formatCode="#,##0">
                  <c:v>758024</c:v>
                </c:pt>
                <c:pt idx="670" formatCode="#,##0">
                  <c:v>523925</c:v>
                </c:pt>
                <c:pt idx="671" formatCode="#,##0">
                  <c:v>1828009</c:v>
                </c:pt>
                <c:pt idx="672" formatCode="#,##0">
                  <c:v>1839048</c:v>
                </c:pt>
                <c:pt idx="673" formatCode="#,##0">
                  <c:v>956460</c:v>
                </c:pt>
                <c:pt idx="674">
                  <c:v>1168044</c:v>
                </c:pt>
                <c:pt idx="675">
                  <c:v>1168044</c:v>
                </c:pt>
                <c:pt idx="676" formatCode="#,##0">
                  <c:v>842859</c:v>
                </c:pt>
                <c:pt idx="677" formatCode="#,##0">
                  <c:v>1299581</c:v>
                </c:pt>
                <c:pt idx="678" formatCode="#,##0">
                  <c:v>805790</c:v>
                </c:pt>
                <c:pt idx="679" formatCode="#,##0">
                  <c:v>1648896</c:v>
                </c:pt>
                <c:pt idx="680" formatCode="#,##0">
                  <c:v>1063183</c:v>
                </c:pt>
                <c:pt idx="681" formatCode="#,##0">
                  <c:v>655310</c:v>
                </c:pt>
                <c:pt idx="682">
                  <c:v>1168044</c:v>
                </c:pt>
                <c:pt idx="683" formatCode="#,##0">
                  <c:v>823612</c:v>
                </c:pt>
                <c:pt idx="684" formatCode="#,##0">
                  <c:v>1784423</c:v>
                </c:pt>
                <c:pt idx="685" formatCode="#,##0">
                  <c:v>929575</c:v>
                </c:pt>
                <c:pt idx="686">
                  <c:v>1168044</c:v>
                </c:pt>
                <c:pt idx="687" formatCode="#,##0">
                  <c:v>959215</c:v>
                </c:pt>
                <c:pt idx="688" formatCode="#,##0">
                  <c:v>1817996</c:v>
                </c:pt>
                <c:pt idx="689" formatCode="#,##0">
                  <c:v>575130</c:v>
                </c:pt>
                <c:pt idx="690" formatCode="#,##0">
                  <c:v>1413524</c:v>
                </c:pt>
                <c:pt idx="691" formatCode="#,##0">
                  <c:v>5972460</c:v>
                </c:pt>
                <c:pt idx="692" formatCode="#,##0">
                  <c:v>2330749</c:v>
                </c:pt>
                <c:pt idx="693" formatCode="#,##0">
                  <c:v>1964429</c:v>
                </c:pt>
                <c:pt idx="694">
                  <c:v>1168044</c:v>
                </c:pt>
                <c:pt idx="695" formatCode="#,##0">
                  <c:v>968715</c:v>
                </c:pt>
                <c:pt idx="696" formatCode="#,##0">
                  <c:v>655633</c:v>
                </c:pt>
                <c:pt idx="697">
                  <c:v>1168044</c:v>
                </c:pt>
                <c:pt idx="698" formatCode="#,##0">
                  <c:v>1286490</c:v>
                </c:pt>
                <c:pt idx="699">
                  <c:v>1168044</c:v>
                </c:pt>
                <c:pt idx="700" formatCode="#,##0">
                  <c:v>675298</c:v>
                </c:pt>
                <c:pt idx="701" formatCode="#,##0">
                  <c:v>2913270</c:v>
                </c:pt>
                <c:pt idx="702" formatCode="#,##0">
                  <c:v>1663906</c:v>
                </c:pt>
                <c:pt idx="703" formatCode="#,##0">
                  <c:v>1634703</c:v>
                </c:pt>
                <c:pt idx="704" formatCode="#,##0">
                  <c:v>378632</c:v>
                </c:pt>
                <c:pt idx="705" formatCode="#,##0">
                  <c:v>1611618</c:v>
                </c:pt>
                <c:pt idx="706" formatCode="#,##0">
                  <c:v>808317</c:v>
                </c:pt>
                <c:pt idx="707">
                  <c:v>1168044</c:v>
                </c:pt>
                <c:pt idx="708" formatCode="#,##0">
                  <c:v>891480</c:v>
                </c:pt>
                <c:pt idx="709">
                  <c:v>1168044</c:v>
                </c:pt>
                <c:pt idx="710" formatCode="#,##0">
                  <c:v>1981529</c:v>
                </c:pt>
                <c:pt idx="711" formatCode="#,##0">
                  <c:v>1233765</c:v>
                </c:pt>
                <c:pt idx="712">
                  <c:v>1168044</c:v>
                </c:pt>
                <c:pt idx="713" formatCode="#,##0">
                  <c:v>1374650</c:v>
                </c:pt>
                <c:pt idx="714" formatCode="#,##0">
                  <c:v>1633202</c:v>
                </c:pt>
                <c:pt idx="715" formatCode="#,##0">
                  <c:v>819128</c:v>
                </c:pt>
                <c:pt idx="716" formatCode="#,##0">
                  <c:v>1095217</c:v>
                </c:pt>
                <c:pt idx="717">
                  <c:v>1168044</c:v>
                </c:pt>
                <c:pt idx="718">
                  <c:v>1168044</c:v>
                </c:pt>
                <c:pt idx="719">
                  <c:v>1168044</c:v>
                </c:pt>
                <c:pt idx="720">
                  <c:v>1168044</c:v>
                </c:pt>
                <c:pt idx="721" formatCode="#,##0">
                  <c:v>1175929</c:v>
                </c:pt>
                <c:pt idx="722" formatCode="#,##0">
                  <c:v>1404879</c:v>
                </c:pt>
                <c:pt idx="723" formatCode="#,##0">
                  <c:v>628197</c:v>
                </c:pt>
                <c:pt idx="724">
                  <c:v>1168044</c:v>
                </c:pt>
                <c:pt idx="725" formatCode="#,##0">
                  <c:v>1028698</c:v>
                </c:pt>
                <c:pt idx="726" formatCode="#,##0">
                  <c:v>1186949</c:v>
                </c:pt>
                <c:pt idx="727" formatCode="#,##0">
                  <c:v>1281778</c:v>
                </c:pt>
                <c:pt idx="728" formatCode="#,##0">
                  <c:v>767752</c:v>
                </c:pt>
                <c:pt idx="729" formatCode="#,##0">
                  <c:v>1306193</c:v>
                </c:pt>
                <c:pt idx="730" formatCode="#,##0">
                  <c:v>1352344</c:v>
                </c:pt>
                <c:pt idx="731" formatCode="#,##0">
                  <c:v>2721674</c:v>
                </c:pt>
                <c:pt idx="732" formatCode="#,##0">
                  <c:v>614118</c:v>
                </c:pt>
                <c:pt idx="733" formatCode="#,##0">
                  <c:v>3228708</c:v>
                </c:pt>
                <c:pt idx="734" formatCode="#,##0">
                  <c:v>5701140</c:v>
                </c:pt>
                <c:pt idx="735" formatCode="#,##0">
                  <c:v>992845</c:v>
                </c:pt>
                <c:pt idx="736">
                  <c:v>1168044</c:v>
                </c:pt>
                <c:pt idx="737">
                  <c:v>1168044</c:v>
                </c:pt>
                <c:pt idx="738" formatCode="#,##0">
                  <c:v>634182</c:v>
                </c:pt>
                <c:pt idx="739" formatCode="#,##0">
                  <c:v>1168272</c:v>
                </c:pt>
                <c:pt idx="740">
                  <c:v>1168044</c:v>
                </c:pt>
                <c:pt idx="741" formatCode="#,##0">
                  <c:v>655025</c:v>
                </c:pt>
                <c:pt idx="742">
                  <c:v>1168044</c:v>
                </c:pt>
                <c:pt idx="743">
                  <c:v>1168044</c:v>
                </c:pt>
                <c:pt idx="744" formatCode="#,##0">
                  <c:v>9057984</c:v>
                </c:pt>
                <c:pt idx="745" formatCode="#,##0">
                  <c:v>983041</c:v>
                </c:pt>
                <c:pt idx="746">
                  <c:v>1168044</c:v>
                </c:pt>
                <c:pt idx="747" formatCode="#,##0">
                  <c:v>664867</c:v>
                </c:pt>
                <c:pt idx="748" formatCode="#,##0">
                  <c:v>1152654</c:v>
                </c:pt>
                <c:pt idx="749" formatCode="#,##0">
                  <c:v>1217102</c:v>
                </c:pt>
                <c:pt idx="750">
                  <c:v>1168044</c:v>
                </c:pt>
                <c:pt idx="751" formatCode="#,##0">
                  <c:v>3387244</c:v>
                </c:pt>
                <c:pt idx="752" formatCode="#,##0">
                  <c:v>583224</c:v>
                </c:pt>
                <c:pt idx="753" formatCode="#,##0">
                  <c:v>1117770</c:v>
                </c:pt>
                <c:pt idx="754" formatCode="#,##0">
                  <c:v>576042</c:v>
                </c:pt>
                <c:pt idx="755" formatCode="#,##0">
                  <c:v>1541280</c:v>
                </c:pt>
                <c:pt idx="756" formatCode="#,##0">
                  <c:v>1685889</c:v>
                </c:pt>
                <c:pt idx="757">
                  <c:v>1168044</c:v>
                </c:pt>
                <c:pt idx="758">
                  <c:v>1168044</c:v>
                </c:pt>
                <c:pt idx="759" formatCode="#,##0">
                  <c:v>1355688</c:v>
                </c:pt>
                <c:pt idx="760" formatCode="#,##0">
                  <c:v>1752408</c:v>
                </c:pt>
                <c:pt idx="761" formatCode="#,##0">
                  <c:v>1262550</c:v>
                </c:pt>
                <c:pt idx="762" formatCode="#,##0">
                  <c:v>1315066</c:v>
                </c:pt>
                <c:pt idx="763" formatCode="#,##0">
                  <c:v>1488289</c:v>
                </c:pt>
                <c:pt idx="764" formatCode="#,##0">
                  <c:v>1361787</c:v>
                </c:pt>
                <c:pt idx="765" formatCode="#,##0">
                  <c:v>927523</c:v>
                </c:pt>
                <c:pt idx="766" formatCode="#,##0">
                  <c:v>830813</c:v>
                </c:pt>
                <c:pt idx="767" formatCode="#,##0">
                  <c:v>1139658</c:v>
                </c:pt>
                <c:pt idx="768" formatCode="#,##0">
                  <c:v>2710274</c:v>
                </c:pt>
                <c:pt idx="769" formatCode="#,##0">
                  <c:v>702088</c:v>
                </c:pt>
                <c:pt idx="770" formatCode="#,##0">
                  <c:v>2279544</c:v>
                </c:pt>
                <c:pt idx="771" formatCode="#,##0">
                  <c:v>1395227</c:v>
                </c:pt>
                <c:pt idx="772" formatCode="#,##0">
                  <c:v>543837</c:v>
                </c:pt>
                <c:pt idx="773">
                  <c:v>1168044</c:v>
                </c:pt>
                <c:pt idx="774" formatCode="#,##0">
                  <c:v>1640745</c:v>
                </c:pt>
                <c:pt idx="775" formatCode="#,##0">
                  <c:v>582825</c:v>
                </c:pt>
                <c:pt idx="776" formatCode="#,##0">
                  <c:v>485792</c:v>
                </c:pt>
                <c:pt idx="777" formatCode="#,##0">
                  <c:v>1340222</c:v>
                </c:pt>
                <c:pt idx="778">
                  <c:v>1168044</c:v>
                </c:pt>
                <c:pt idx="779" formatCode="#,##0">
                  <c:v>1970072</c:v>
                </c:pt>
                <c:pt idx="780" formatCode="#,##0">
                  <c:v>1211782</c:v>
                </c:pt>
                <c:pt idx="781" formatCode="#,##0">
                  <c:v>765833</c:v>
                </c:pt>
                <c:pt idx="782" formatCode="#,##0">
                  <c:v>1223144</c:v>
                </c:pt>
                <c:pt idx="783" formatCode="#,##0">
                  <c:v>934800</c:v>
                </c:pt>
                <c:pt idx="784" formatCode="#,##0">
                  <c:v>681226</c:v>
                </c:pt>
                <c:pt idx="785" formatCode="#,##0">
                  <c:v>934990</c:v>
                </c:pt>
                <c:pt idx="786" formatCode="#,##0">
                  <c:v>940785</c:v>
                </c:pt>
                <c:pt idx="787" formatCode="#,##0">
                  <c:v>1130120</c:v>
                </c:pt>
                <c:pt idx="788" formatCode="#,##0">
                  <c:v>1439402</c:v>
                </c:pt>
                <c:pt idx="789" formatCode="#,##0">
                  <c:v>561450</c:v>
                </c:pt>
                <c:pt idx="790" formatCode="#,##0">
                  <c:v>1374897</c:v>
                </c:pt>
                <c:pt idx="791" formatCode="#,##0">
                  <c:v>2393487</c:v>
                </c:pt>
                <c:pt idx="792" formatCode="#,##0">
                  <c:v>711455</c:v>
                </c:pt>
                <c:pt idx="793" formatCode="#,##0">
                  <c:v>829597</c:v>
                </c:pt>
                <c:pt idx="794" formatCode="#,##0">
                  <c:v>981578</c:v>
                </c:pt>
                <c:pt idx="795" formatCode="#,##0">
                  <c:v>1698885</c:v>
                </c:pt>
                <c:pt idx="796" formatCode="#,##0">
                  <c:v>2909945</c:v>
                </c:pt>
                <c:pt idx="797">
                  <c:v>1168044</c:v>
                </c:pt>
                <c:pt idx="798" formatCode="#,##0">
                  <c:v>1044373</c:v>
                </c:pt>
                <c:pt idx="799" formatCode="#,##0">
                  <c:v>948366</c:v>
                </c:pt>
                <c:pt idx="800" formatCode="#,##0">
                  <c:v>1347955</c:v>
                </c:pt>
                <c:pt idx="801" formatCode="#,##0">
                  <c:v>1385480</c:v>
                </c:pt>
                <c:pt idx="802" formatCode="#,##0">
                  <c:v>875748</c:v>
                </c:pt>
                <c:pt idx="803" formatCode="#,##0">
                  <c:v>813903</c:v>
                </c:pt>
                <c:pt idx="804" formatCode="#,##0">
                  <c:v>1461689</c:v>
                </c:pt>
                <c:pt idx="805">
                  <c:v>1168044</c:v>
                </c:pt>
                <c:pt idx="806" formatCode="#,##0">
                  <c:v>762660</c:v>
                </c:pt>
                <c:pt idx="807" formatCode="#,##0">
                  <c:v>1323825</c:v>
                </c:pt>
                <c:pt idx="808" formatCode="#,##0">
                  <c:v>1885522</c:v>
                </c:pt>
                <c:pt idx="809" formatCode="#,##0">
                  <c:v>1576411</c:v>
                </c:pt>
                <c:pt idx="810" formatCode="#,##0">
                  <c:v>1580116</c:v>
                </c:pt>
                <c:pt idx="811" formatCode="#,##0">
                  <c:v>595783</c:v>
                </c:pt>
                <c:pt idx="812" formatCode="#,##0">
                  <c:v>1254228</c:v>
                </c:pt>
                <c:pt idx="813" formatCode="#,##0">
                  <c:v>953990</c:v>
                </c:pt>
                <c:pt idx="814" formatCode="#,##0">
                  <c:v>794960</c:v>
                </c:pt>
                <c:pt idx="815" formatCode="#,##0">
                  <c:v>459325</c:v>
                </c:pt>
                <c:pt idx="816" formatCode="#,##0">
                  <c:v>1823715</c:v>
                </c:pt>
                <c:pt idx="817" formatCode="#,##0">
                  <c:v>475665</c:v>
                </c:pt>
                <c:pt idx="818">
                  <c:v>1168044</c:v>
                </c:pt>
                <c:pt idx="819" formatCode="#,##0">
                  <c:v>816753</c:v>
                </c:pt>
                <c:pt idx="820" formatCode="#,##0">
                  <c:v>1128372</c:v>
                </c:pt>
                <c:pt idx="821" formatCode="#,##0">
                  <c:v>584288</c:v>
                </c:pt>
                <c:pt idx="822" formatCode="#,##0">
                  <c:v>579899</c:v>
                </c:pt>
                <c:pt idx="823" formatCode="#,##0">
                  <c:v>2129273</c:v>
                </c:pt>
                <c:pt idx="824" formatCode="#,##0">
                  <c:v>1194606</c:v>
                </c:pt>
                <c:pt idx="825" formatCode="#,##0">
                  <c:v>1236197</c:v>
                </c:pt>
                <c:pt idx="826" formatCode="#,##0">
                  <c:v>2799707</c:v>
                </c:pt>
                <c:pt idx="827" formatCode="#,##0">
                  <c:v>721582</c:v>
                </c:pt>
                <c:pt idx="828">
                  <c:v>1168044</c:v>
                </c:pt>
                <c:pt idx="829" formatCode="#,##0">
                  <c:v>2469753</c:v>
                </c:pt>
                <c:pt idx="830" formatCode="#,##0">
                  <c:v>1578881</c:v>
                </c:pt>
                <c:pt idx="831">
                  <c:v>1168044</c:v>
                </c:pt>
                <c:pt idx="832">
                  <c:v>1168044</c:v>
                </c:pt>
                <c:pt idx="833" formatCode="#,##0">
                  <c:v>1299486</c:v>
                </c:pt>
                <c:pt idx="834" formatCode="#,##0">
                  <c:v>2723840</c:v>
                </c:pt>
                <c:pt idx="835">
                  <c:v>1168044</c:v>
                </c:pt>
                <c:pt idx="836" formatCode="#,##0">
                  <c:v>1585930</c:v>
                </c:pt>
                <c:pt idx="837" formatCode="#,##0">
                  <c:v>905521</c:v>
                </c:pt>
                <c:pt idx="838" formatCode="#,##0">
                  <c:v>1726910</c:v>
                </c:pt>
                <c:pt idx="839">
                  <c:v>1168044</c:v>
                </c:pt>
                <c:pt idx="840" formatCode="#,##0">
                  <c:v>696730</c:v>
                </c:pt>
                <c:pt idx="841" formatCode="#,##0">
                  <c:v>948575</c:v>
                </c:pt>
                <c:pt idx="842" formatCode="#,##0">
                  <c:v>705394</c:v>
                </c:pt>
                <c:pt idx="843" formatCode="#,##0">
                  <c:v>768170</c:v>
                </c:pt>
                <c:pt idx="844">
                  <c:v>1168044</c:v>
                </c:pt>
                <c:pt idx="845">
                  <c:v>1168044</c:v>
                </c:pt>
                <c:pt idx="846" formatCode="#,##0">
                  <c:v>591071</c:v>
                </c:pt>
                <c:pt idx="847" formatCode="#,##0">
                  <c:v>1116744</c:v>
                </c:pt>
                <c:pt idx="848" formatCode="#,##0">
                  <c:v>948594</c:v>
                </c:pt>
                <c:pt idx="849">
                  <c:v>1168044</c:v>
                </c:pt>
                <c:pt idx="850" formatCode="#,##0">
                  <c:v>578892</c:v>
                </c:pt>
                <c:pt idx="851" formatCode="#,##0">
                  <c:v>1297548</c:v>
                </c:pt>
                <c:pt idx="852">
                  <c:v>1168044</c:v>
                </c:pt>
                <c:pt idx="853" formatCode="#,##0">
                  <c:v>4379215</c:v>
                </c:pt>
                <c:pt idx="854">
                  <c:v>1168044</c:v>
                </c:pt>
                <c:pt idx="855" formatCode="#,##0">
                  <c:v>1774676</c:v>
                </c:pt>
                <c:pt idx="856" formatCode="#,##0">
                  <c:v>624929</c:v>
                </c:pt>
                <c:pt idx="857">
                  <c:v>1168044</c:v>
                </c:pt>
                <c:pt idx="858" formatCode="#,##0">
                  <c:v>990223</c:v>
                </c:pt>
                <c:pt idx="859" formatCode="#,##0">
                  <c:v>1569381</c:v>
                </c:pt>
                <c:pt idx="860" formatCode="#,##0">
                  <c:v>599545</c:v>
                </c:pt>
                <c:pt idx="861" formatCode="#,##0">
                  <c:v>1306991</c:v>
                </c:pt>
                <c:pt idx="862">
                  <c:v>1168044</c:v>
                </c:pt>
                <c:pt idx="863" formatCode="#,##0">
                  <c:v>1015588</c:v>
                </c:pt>
                <c:pt idx="864">
                  <c:v>1168044</c:v>
                </c:pt>
                <c:pt idx="865" formatCode="#,##0">
                  <c:v>1148436</c:v>
                </c:pt>
                <c:pt idx="866">
                  <c:v>1168044</c:v>
                </c:pt>
                <c:pt idx="867">
                  <c:v>1168044</c:v>
                </c:pt>
                <c:pt idx="868" formatCode="#,##0">
                  <c:v>1143610</c:v>
                </c:pt>
                <c:pt idx="869">
                  <c:v>1168044</c:v>
                </c:pt>
                <c:pt idx="870" formatCode="#,##0">
                  <c:v>1243645</c:v>
                </c:pt>
                <c:pt idx="871" formatCode="#,##0">
                  <c:v>2431962</c:v>
                </c:pt>
                <c:pt idx="872" formatCode="#,##0">
                  <c:v>747213</c:v>
                </c:pt>
                <c:pt idx="873" formatCode="#,##0">
                  <c:v>1005784</c:v>
                </c:pt>
                <c:pt idx="874" formatCode="#,##0">
                  <c:v>1199964</c:v>
                </c:pt>
                <c:pt idx="875" formatCode="#,##0">
                  <c:v>1133673</c:v>
                </c:pt>
                <c:pt idx="876">
                  <c:v>1168044</c:v>
                </c:pt>
                <c:pt idx="877">
                  <c:v>1168044</c:v>
                </c:pt>
                <c:pt idx="878" formatCode="#,##0">
                  <c:v>954579</c:v>
                </c:pt>
                <c:pt idx="879" formatCode="#,##0">
                  <c:v>652137</c:v>
                </c:pt>
                <c:pt idx="880">
                  <c:v>1168044</c:v>
                </c:pt>
                <c:pt idx="881" formatCode="#,##0">
                  <c:v>1531514</c:v>
                </c:pt>
                <c:pt idx="882" formatCode="#,##0">
                  <c:v>1538696</c:v>
                </c:pt>
                <c:pt idx="883" formatCode="#,##0">
                  <c:v>1212656</c:v>
                </c:pt>
                <c:pt idx="884" formatCode="#,##0">
                  <c:v>665076</c:v>
                </c:pt>
                <c:pt idx="885">
                  <c:v>1168044</c:v>
                </c:pt>
                <c:pt idx="886" formatCode="#,##0">
                  <c:v>1001186</c:v>
                </c:pt>
                <c:pt idx="887" formatCode="#,##0">
                  <c:v>691828</c:v>
                </c:pt>
                <c:pt idx="888" formatCode="#,##0">
                  <c:v>950285</c:v>
                </c:pt>
                <c:pt idx="889" formatCode="#,##0">
                  <c:v>568746</c:v>
                </c:pt>
                <c:pt idx="890" formatCode="#,##0">
                  <c:v>873050</c:v>
                </c:pt>
                <c:pt idx="891" formatCode="#,##0">
                  <c:v>1525472</c:v>
                </c:pt>
                <c:pt idx="892" formatCode="#,##0">
                  <c:v>651301</c:v>
                </c:pt>
                <c:pt idx="893" formatCode="#,##0">
                  <c:v>989919</c:v>
                </c:pt>
                <c:pt idx="894" formatCode="#,##0">
                  <c:v>914014</c:v>
                </c:pt>
                <c:pt idx="895" formatCode="#,##0">
                  <c:v>1421941</c:v>
                </c:pt>
                <c:pt idx="896">
                  <c:v>1168044</c:v>
                </c:pt>
                <c:pt idx="897">
                  <c:v>1168044</c:v>
                </c:pt>
                <c:pt idx="898" formatCode="#,##0">
                  <c:v>743318</c:v>
                </c:pt>
                <c:pt idx="899" formatCode="#,##0">
                  <c:v>1543408</c:v>
                </c:pt>
                <c:pt idx="900">
                  <c:v>1168044</c:v>
                </c:pt>
                <c:pt idx="901" formatCode="#,##0">
                  <c:v>2699976</c:v>
                </c:pt>
                <c:pt idx="902" formatCode="#,##0">
                  <c:v>1131792</c:v>
                </c:pt>
                <c:pt idx="903" formatCode="#,##0">
                  <c:v>845766</c:v>
                </c:pt>
                <c:pt idx="904" formatCode="#,##0">
                  <c:v>852188</c:v>
                </c:pt>
                <c:pt idx="905" formatCode="#,##0">
                  <c:v>1766012</c:v>
                </c:pt>
                <c:pt idx="906" formatCode="#,##0">
                  <c:v>1444722</c:v>
                </c:pt>
                <c:pt idx="907" formatCode="#,##0">
                  <c:v>2301337</c:v>
                </c:pt>
                <c:pt idx="908" formatCode="#,##0">
                  <c:v>1390838</c:v>
                </c:pt>
                <c:pt idx="909" formatCode="#,##0">
                  <c:v>1312976</c:v>
                </c:pt>
                <c:pt idx="910">
                  <c:v>1168044</c:v>
                </c:pt>
                <c:pt idx="911" formatCode="#,##0">
                  <c:v>1382915</c:v>
                </c:pt>
                <c:pt idx="912" formatCode="#,##0">
                  <c:v>801762</c:v>
                </c:pt>
                <c:pt idx="913" formatCode="#,##0">
                  <c:v>1788736</c:v>
                </c:pt>
                <c:pt idx="914" formatCode="#,##0">
                  <c:v>2508095</c:v>
                </c:pt>
                <c:pt idx="915" formatCode="#,##0">
                  <c:v>1582377</c:v>
                </c:pt>
                <c:pt idx="916" formatCode="#,##0">
                  <c:v>1726074</c:v>
                </c:pt>
                <c:pt idx="917" formatCode="#,##0">
                  <c:v>869801</c:v>
                </c:pt>
                <c:pt idx="918">
                  <c:v>1168044</c:v>
                </c:pt>
                <c:pt idx="919" formatCode="#,##0">
                  <c:v>934515</c:v>
                </c:pt>
                <c:pt idx="920">
                  <c:v>1168044</c:v>
                </c:pt>
                <c:pt idx="921" formatCode="#,##0">
                  <c:v>946295</c:v>
                </c:pt>
                <c:pt idx="922" formatCode="#,##0">
                  <c:v>1069966</c:v>
                </c:pt>
                <c:pt idx="923">
                  <c:v>1168044</c:v>
                </c:pt>
                <c:pt idx="924" formatCode="#,##0">
                  <c:v>1855369</c:v>
                </c:pt>
                <c:pt idx="925">
                  <c:v>1168044</c:v>
                </c:pt>
                <c:pt idx="926" formatCode="#,##0">
                  <c:v>4090719</c:v>
                </c:pt>
                <c:pt idx="927">
                  <c:v>1168044</c:v>
                </c:pt>
                <c:pt idx="928" formatCode="#,##0">
                  <c:v>1134642</c:v>
                </c:pt>
                <c:pt idx="929">
                  <c:v>1168044</c:v>
                </c:pt>
                <c:pt idx="930" formatCode="#,##0">
                  <c:v>1519544</c:v>
                </c:pt>
                <c:pt idx="931" formatCode="#,##0">
                  <c:v>1111728</c:v>
                </c:pt>
                <c:pt idx="932">
                  <c:v>1168044</c:v>
                </c:pt>
                <c:pt idx="933" formatCode="#,##0">
                  <c:v>618393</c:v>
                </c:pt>
                <c:pt idx="934" formatCode="#,##0">
                  <c:v>1302469</c:v>
                </c:pt>
                <c:pt idx="935">
                  <c:v>1168044</c:v>
                </c:pt>
                <c:pt idx="936">
                  <c:v>1168044</c:v>
                </c:pt>
                <c:pt idx="937" formatCode="#,##0">
                  <c:v>3069488</c:v>
                </c:pt>
                <c:pt idx="938" formatCode="#,##0">
                  <c:v>1067515</c:v>
                </c:pt>
                <c:pt idx="939" formatCode="#,##0">
                  <c:v>1217349</c:v>
                </c:pt>
                <c:pt idx="940" formatCode="#,##0">
                  <c:v>2878842</c:v>
                </c:pt>
                <c:pt idx="941" formatCode="#,##0">
                  <c:v>926041</c:v>
                </c:pt>
                <c:pt idx="942">
                  <c:v>1168044</c:v>
                </c:pt>
                <c:pt idx="943" formatCode="#,##0">
                  <c:v>2362897</c:v>
                </c:pt>
                <c:pt idx="944">
                  <c:v>1168044</c:v>
                </c:pt>
                <c:pt idx="945" formatCode="#,##0">
                  <c:v>654227</c:v>
                </c:pt>
                <c:pt idx="946" formatCode="#,##0">
                  <c:v>844227</c:v>
                </c:pt>
                <c:pt idx="947" formatCode="#,##0">
                  <c:v>1251435</c:v>
                </c:pt>
                <c:pt idx="948">
                  <c:v>1168044</c:v>
                </c:pt>
                <c:pt idx="949" formatCode="#,##0">
                  <c:v>1392719</c:v>
                </c:pt>
                <c:pt idx="950">
                  <c:v>1168044</c:v>
                </c:pt>
                <c:pt idx="951" formatCode="#,##0">
                  <c:v>1447344</c:v>
                </c:pt>
                <c:pt idx="952">
                  <c:v>1168044</c:v>
                </c:pt>
                <c:pt idx="953" formatCode="#,##0">
                  <c:v>1333059</c:v>
                </c:pt>
                <c:pt idx="954" formatCode="#,##0">
                  <c:v>677635</c:v>
                </c:pt>
                <c:pt idx="955">
                  <c:v>1168044</c:v>
                </c:pt>
                <c:pt idx="956">
                  <c:v>1168044</c:v>
                </c:pt>
                <c:pt idx="957" formatCode="#,##0">
                  <c:v>1448028</c:v>
                </c:pt>
                <c:pt idx="958" formatCode="#,##0">
                  <c:v>625252</c:v>
                </c:pt>
                <c:pt idx="959" formatCode="#,##0">
                  <c:v>1088111</c:v>
                </c:pt>
                <c:pt idx="960" formatCode="#,##0">
                  <c:v>813732</c:v>
                </c:pt>
                <c:pt idx="961" formatCode="#,##0">
                  <c:v>408709</c:v>
                </c:pt>
                <c:pt idx="962" formatCode="#,##0">
                  <c:v>775542</c:v>
                </c:pt>
                <c:pt idx="963">
                  <c:v>1168044</c:v>
                </c:pt>
                <c:pt idx="964" formatCode="#,##0">
                  <c:v>1297567</c:v>
                </c:pt>
                <c:pt idx="965" formatCode="#,##0">
                  <c:v>903982</c:v>
                </c:pt>
                <c:pt idx="966" formatCode="#,##0">
                  <c:v>2524093</c:v>
                </c:pt>
                <c:pt idx="967" formatCode="#,##0">
                  <c:v>866799</c:v>
                </c:pt>
                <c:pt idx="968" formatCode="#,##0">
                  <c:v>965105</c:v>
                </c:pt>
                <c:pt idx="969">
                  <c:v>1168044</c:v>
                </c:pt>
                <c:pt idx="970">
                  <c:v>1168044</c:v>
                </c:pt>
                <c:pt idx="971" formatCode="#,##0">
                  <c:v>1789667</c:v>
                </c:pt>
                <c:pt idx="972" formatCode="#,##0">
                  <c:v>896135</c:v>
                </c:pt>
                <c:pt idx="973">
                  <c:v>1168044</c:v>
                </c:pt>
                <c:pt idx="974" formatCode="#,##0">
                  <c:v>571539</c:v>
                </c:pt>
                <c:pt idx="975" formatCode="#,##0">
                  <c:v>1540254</c:v>
                </c:pt>
                <c:pt idx="976" formatCode="#,##0">
                  <c:v>1243645</c:v>
                </c:pt>
                <c:pt idx="977" formatCode="#,##0">
                  <c:v>531202</c:v>
                </c:pt>
                <c:pt idx="978" formatCode="#,##0">
                  <c:v>1749159</c:v>
                </c:pt>
                <c:pt idx="979" formatCode="#,##0">
                  <c:v>1520209</c:v>
                </c:pt>
                <c:pt idx="980" formatCode="#,##0">
                  <c:v>3186889</c:v>
                </c:pt>
                <c:pt idx="981" formatCode="#,##0">
                  <c:v>1218432</c:v>
                </c:pt>
                <c:pt idx="982">
                  <c:v>1168044</c:v>
                </c:pt>
                <c:pt idx="983">
                  <c:v>1168044</c:v>
                </c:pt>
                <c:pt idx="984" formatCode="#,##0">
                  <c:v>2032924</c:v>
                </c:pt>
                <c:pt idx="985">
                  <c:v>1168044</c:v>
                </c:pt>
                <c:pt idx="986">
                  <c:v>1168044</c:v>
                </c:pt>
                <c:pt idx="987" formatCode="#,##0">
                  <c:v>1058167</c:v>
                </c:pt>
                <c:pt idx="988" formatCode="#,##0">
                  <c:v>2251272</c:v>
                </c:pt>
                <c:pt idx="989" formatCode="#,##0">
                  <c:v>936605</c:v>
                </c:pt>
                <c:pt idx="990" formatCode="#,##0">
                  <c:v>420679</c:v>
                </c:pt>
                <c:pt idx="991" formatCode="#,##0">
                  <c:v>1575575</c:v>
                </c:pt>
                <c:pt idx="992" formatCode="#,##0">
                  <c:v>1060884</c:v>
                </c:pt>
                <c:pt idx="993" formatCode="#,##0">
                  <c:v>427272</c:v>
                </c:pt>
                <c:pt idx="994" formatCode="#,##0">
                  <c:v>613415</c:v>
                </c:pt>
                <c:pt idx="995" formatCode="#,##0">
                  <c:v>742824</c:v>
                </c:pt>
                <c:pt idx="996" formatCode="#,##0">
                  <c:v>1319626</c:v>
                </c:pt>
                <c:pt idx="997" formatCode="#,##0">
                  <c:v>1368418</c:v>
                </c:pt>
                <c:pt idx="998" formatCode="#,##0">
                  <c:v>1383599</c:v>
                </c:pt>
                <c:pt idx="999" formatCode="#,##0">
                  <c:v>1442670</c:v>
                </c:pt>
                <c:pt idx="1000" formatCode="#,##0">
                  <c:v>2491736</c:v>
                </c:pt>
                <c:pt idx="1001" formatCode="#,##0">
                  <c:v>1540672</c:v>
                </c:pt>
                <c:pt idx="1002">
                  <c:v>1168044</c:v>
                </c:pt>
                <c:pt idx="1003" formatCode="#,##0">
                  <c:v>1264602</c:v>
                </c:pt>
                <c:pt idx="1004" formatCode="#,##0">
                  <c:v>722988</c:v>
                </c:pt>
                <c:pt idx="1005" formatCode="#,##0">
                  <c:v>856140</c:v>
                </c:pt>
                <c:pt idx="1006" formatCode="#,##0">
                  <c:v>1634380</c:v>
                </c:pt>
                <c:pt idx="1007">
                  <c:v>1168044</c:v>
                </c:pt>
                <c:pt idx="1008" formatCode="#,##0">
                  <c:v>650655</c:v>
                </c:pt>
                <c:pt idx="1009">
                  <c:v>1168044</c:v>
                </c:pt>
                <c:pt idx="1010">
                  <c:v>1168044</c:v>
                </c:pt>
                <c:pt idx="1011" formatCode="#,##0">
                  <c:v>774060</c:v>
                </c:pt>
                <c:pt idx="1012" formatCode="#,##0">
                  <c:v>966435</c:v>
                </c:pt>
                <c:pt idx="1013" formatCode="#,##0">
                  <c:v>2312604</c:v>
                </c:pt>
                <c:pt idx="1014" formatCode="#,##0">
                  <c:v>1626058</c:v>
                </c:pt>
                <c:pt idx="1015" formatCode="#,##0">
                  <c:v>880460</c:v>
                </c:pt>
                <c:pt idx="1016" formatCode="#,##0">
                  <c:v>1890500</c:v>
                </c:pt>
                <c:pt idx="1017" formatCode="#,##0">
                  <c:v>900239</c:v>
                </c:pt>
                <c:pt idx="1018" formatCode="#,##0">
                  <c:v>2950909</c:v>
                </c:pt>
                <c:pt idx="1019" formatCode="#,##0">
                  <c:v>622478</c:v>
                </c:pt>
                <c:pt idx="1020" formatCode="#,##0">
                  <c:v>1043442</c:v>
                </c:pt>
                <c:pt idx="1021" formatCode="#,##0">
                  <c:v>1411472</c:v>
                </c:pt>
                <c:pt idx="1022" formatCode="#,##0">
                  <c:v>1602897</c:v>
                </c:pt>
                <c:pt idx="1023">
                  <c:v>1168044</c:v>
                </c:pt>
                <c:pt idx="1024" formatCode="#,##0">
                  <c:v>3614978</c:v>
                </c:pt>
                <c:pt idx="1025" formatCode="#,##0">
                  <c:v>618089</c:v>
                </c:pt>
                <c:pt idx="1026" formatCode="#,##0">
                  <c:v>2015672</c:v>
                </c:pt>
                <c:pt idx="1027">
                  <c:v>1168044</c:v>
                </c:pt>
                <c:pt idx="1028" formatCode="#,##0">
                  <c:v>1694439</c:v>
                </c:pt>
                <c:pt idx="1029">
                  <c:v>1168044</c:v>
                </c:pt>
                <c:pt idx="1030" formatCode="#,##0">
                  <c:v>800280</c:v>
                </c:pt>
                <c:pt idx="1031">
                  <c:v>1168044</c:v>
                </c:pt>
                <c:pt idx="1032">
                  <c:v>1168044</c:v>
                </c:pt>
                <c:pt idx="1033" formatCode="#,##0">
                  <c:v>2128152</c:v>
                </c:pt>
                <c:pt idx="1034" formatCode="#,##0">
                  <c:v>996892</c:v>
                </c:pt>
                <c:pt idx="1035">
                  <c:v>1168044</c:v>
                </c:pt>
                <c:pt idx="1036">
                  <c:v>1168044</c:v>
                </c:pt>
                <c:pt idx="1037">
                  <c:v>1168044</c:v>
                </c:pt>
                <c:pt idx="1038" formatCode="#,##0">
                  <c:v>717630</c:v>
                </c:pt>
                <c:pt idx="1039">
                  <c:v>1168044</c:v>
                </c:pt>
                <c:pt idx="1040" formatCode="#,##0">
                  <c:v>434853</c:v>
                </c:pt>
                <c:pt idx="1041" formatCode="#,##0">
                  <c:v>1172566</c:v>
                </c:pt>
                <c:pt idx="1042" formatCode="#,##0">
                  <c:v>2694257</c:v>
                </c:pt>
                <c:pt idx="1043">
                  <c:v>1168044</c:v>
                </c:pt>
                <c:pt idx="1044">
                  <c:v>1168044</c:v>
                </c:pt>
                <c:pt idx="1045">
                  <c:v>1168044</c:v>
                </c:pt>
                <c:pt idx="1046" formatCode="#,##0">
                  <c:v>1163750</c:v>
                </c:pt>
                <c:pt idx="1047">
                  <c:v>1168044</c:v>
                </c:pt>
                <c:pt idx="1048">
                  <c:v>1168044</c:v>
                </c:pt>
                <c:pt idx="1049" formatCode="#,##0">
                  <c:v>1843513</c:v>
                </c:pt>
                <c:pt idx="1050" formatCode="#,##0">
                  <c:v>562932</c:v>
                </c:pt>
                <c:pt idx="1051" formatCode="#,##0">
                  <c:v>756504</c:v>
                </c:pt>
                <c:pt idx="1052" formatCode="#,##0">
                  <c:v>793459</c:v>
                </c:pt>
                <c:pt idx="1053" formatCode="#,##0">
                  <c:v>2250360</c:v>
                </c:pt>
                <c:pt idx="1054">
                  <c:v>1168044</c:v>
                </c:pt>
                <c:pt idx="1055">
                  <c:v>1168044</c:v>
                </c:pt>
                <c:pt idx="1056" formatCode="#,##0">
                  <c:v>976942</c:v>
                </c:pt>
                <c:pt idx="1057" formatCode="#,##0">
                  <c:v>764712</c:v>
                </c:pt>
                <c:pt idx="1058" formatCode="#,##0">
                  <c:v>1729323</c:v>
                </c:pt>
                <c:pt idx="1059" formatCode="#,##0">
                  <c:v>1375581</c:v>
                </c:pt>
                <c:pt idx="1060" formatCode="#,##0">
                  <c:v>480415</c:v>
                </c:pt>
                <c:pt idx="1061" formatCode="#,##0">
                  <c:v>671194</c:v>
                </c:pt>
                <c:pt idx="1062" formatCode="#,##0">
                  <c:v>1375581</c:v>
                </c:pt>
                <c:pt idx="1063" formatCode="#,##0">
                  <c:v>1493552</c:v>
                </c:pt>
                <c:pt idx="1064" formatCode="#,##0">
                  <c:v>836589</c:v>
                </c:pt>
                <c:pt idx="1065" formatCode="#,##0">
                  <c:v>2228016</c:v>
                </c:pt>
                <c:pt idx="1066" formatCode="#,##0">
                  <c:v>532114</c:v>
                </c:pt>
                <c:pt idx="1067" formatCode="#,##0">
                  <c:v>1000540</c:v>
                </c:pt>
                <c:pt idx="1068">
                  <c:v>1168044</c:v>
                </c:pt>
                <c:pt idx="1069" formatCode="#,##0">
                  <c:v>1222289</c:v>
                </c:pt>
                <c:pt idx="1070" formatCode="#,##0">
                  <c:v>1328822</c:v>
                </c:pt>
                <c:pt idx="1071" formatCode="#,##0">
                  <c:v>1528474</c:v>
                </c:pt>
                <c:pt idx="1072">
                  <c:v>1168044</c:v>
                </c:pt>
                <c:pt idx="1073" formatCode="#,##0">
                  <c:v>3069488</c:v>
                </c:pt>
                <c:pt idx="1074">
                  <c:v>1168044</c:v>
                </c:pt>
                <c:pt idx="1075" formatCode="#,##0">
                  <c:v>1248053</c:v>
                </c:pt>
                <c:pt idx="1076" formatCode="#,##0">
                  <c:v>1059497</c:v>
                </c:pt>
                <c:pt idx="1077" formatCode="#,##0">
                  <c:v>1532920</c:v>
                </c:pt>
                <c:pt idx="1078">
                  <c:v>1168044</c:v>
                </c:pt>
                <c:pt idx="1079" formatCode="#,##0">
                  <c:v>660953</c:v>
                </c:pt>
                <c:pt idx="1080" formatCode="#,##0">
                  <c:v>1595468</c:v>
                </c:pt>
                <c:pt idx="1081">
                  <c:v>1168044</c:v>
                </c:pt>
                <c:pt idx="1082">
                  <c:v>1168044</c:v>
                </c:pt>
                <c:pt idx="1083" formatCode="#,##0">
                  <c:v>821712</c:v>
                </c:pt>
                <c:pt idx="1084">
                  <c:v>1168044</c:v>
                </c:pt>
                <c:pt idx="1085" formatCode="#,##0">
                  <c:v>1338778</c:v>
                </c:pt>
                <c:pt idx="1086" formatCode="#,##0">
                  <c:v>2278404</c:v>
                </c:pt>
                <c:pt idx="1087" formatCode="#,##0">
                  <c:v>787797</c:v>
                </c:pt>
                <c:pt idx="1088">
                  <c:v>1168044</c:v>
                </c:pt>
                <c:pt idx="1089" formatCode="#,##0">
                  <c:v>716718</c:v>
                </c:pt>
                <c:pt idx="1090" formatCode="#,##0">
                  <c:v>1875110</c:v>
                </c:pt>
                <c:pt idx="1091" formatCode="#,##0">
                  <c:v>875444</c:v>
                </c:pt>
                <c:pt idx="1092" formatCode="#,##0">
                  <c:v>965105</c:v>
                </c:pt>
                <c:pt idx="1093" formatCode="#,##0">
                  <c:v>1665692</c:v>
                </c:pt>
                <c:pt idx="1094" formatCode="#,##0">
                  <c:v>738245</c:v>
                </c:pt>
                <c:pt idx="1095" formatCode="#,##0">
                  <c:v>1068142</c:v>
                </c:pt>
                <c:pt idx="1096" formatCode="#,##0">
                  <c:v>569829</c:v>
                </c:pt>
                <c:pt idx="1097">
                  <c:v>1168044</c:v>
                </c:pt>
                <c:pt idx="1098" formatCode="#,##0">
                  <c:v>2200219</c:v>
                </c:pt>
                <c:pt idx="1099" formatCode="#,##0">
                  <c:v>2247377</c:v>
                </c:pt>
                <c:pt idx="1100" formatCode="#,##0">
                  <c:v>982566</c:v>
                </c:pt>
                <c:pt idx="1101">
                  <c:v>1168044</c:v>
                </c:pt>
                <c:pt idx="1102" formatCode="#,##0">
                  <c:v>827032</c:v>
                </c:pt>
                <c:pt idx="1103">
                  <c:v>1168044</c:v>
                </c:pt>
                <c:pt idx="1104" formatCode="#,##0">
                  <c:v>3487640</c:v>
                </c:pt>
                <c:pt idx="1105" formatCode="#,##0">
                  <c:v>1135098</c:v>
                </c:pt>
                <c:pt idx="1106">
                  <c:v>1168044</c:v>
                </c:pt>
                <c:pt idx="1107" formatCode="#,##0">
                  <c:v>1039433</c:v>
                </c:pt>
                <c:pt idx="1108" formatCode="#,##0">
                  <c:v>1250200</c:v>
                </c:pt>
                <c:pt idx="1109" formatCode="#,##0">
                  <c:v>1442822</c:v>
                </c:pt>
                <c:pt idx="1110" formatCode="#,##0">
                  <c:v>734274</c:v>
                </c:pt>
                <c:pt idx="1111" formatCode="#,##0">
                  <c:v>729087</c:v>
                </c:pt>
                <c:pt idx="1112" formatCode="#,##0">
                  <c:v>1626951</c:v>
                </c:pt>
                <c:pt idx="1113" formatCode="#,##0">
                  <c:v>843125</c:v>
                </c:pt>
                <c:pt idx="1114" formatCode="#,##0">
                  <c:v>1674945</c:v>
                </c:pt>
                <c:pt idx="1115">
                  <c:v>1168044</c:v>
                </c:pt>
                <c:pt idx="1116" formatCode="#,##0">
                  <c:v>877021</c:v>
                </c:pt>
                <c:pt idx="1117" formatCode="#,##0">
                  <c:v>1909880</c:v>
                </c:pt>
                <c:pt idx="1118" formatCode="#,##0">
                  <c:v>1349798</c:v>
                </c:pt>
                <c:pt idx="1119">
                  <c:v>1168044</c:v>
                </c:pt>
                <c:pt idx="1120">
                  <c:v>1168044</c:v>
                </c:pt>
                <c:pt idx="1121" formatCode="#,##0">
                  <c:v>928720</c:v>
                </c:pt>
                <c:pt idx="1122" formatCode="#,##0">
                  <c:v>1131564</c:v>
                </c:pt>
                <c:pt idx="1123" formatCode="#,##0">
                  <c:v>1597558</c:v>
                </c:pt>
                <c:pt idx="1124" formatCode="#,##0">
                  <c:v>1704699</c:v>
                </c:pt>
                <c:pt idx="1125" formatCode="#,##0">
                  <c:v>1446280</c:v>
                </c:pt>
                <c:pt idx="1126" formatCode="#,##0">
                  <c:v>688218</c:v>
                </c:pt>
                <c:pt idx="1127" formatCode="#,##0">
                  <c:v>1116877</c:v>
                </c:pt>
                <c:pt idx="1128" formatCode="#,##0">
                  <c:v>3387510</c:v>
                </c:pt>
                <c:pt idx="1129" formatCode="#,##0">
                  <c:v>872917</c:v>
                </c:pt>
                <c:pt idx="1130" formatCode="#,##0">
                  <c:v>888763</c:v>
                </c:pt>
                <c:pt idx="1131">
                  <c:v>1168044</c:v>
                </c:pt>
                <c:pt idx="1132" formatCode="#,##0">
                  <c:v>1260441</c:v>
                </c:pt>
                <c:pt idx="1133" formatCode="#,##0">
                  <c:v>2508779</c:v>
                </c:pt>
                <c:pt idx="1134" formatCode="#,##0">
                  <c:v>753692</c:v>
                </c:pt>
                <c:pt idx="1135">
                  <c:v>1168044</c:v>
                </c:pt>
                <c:pt idx="1136">
                  <c:v>1168044</c:v>
                </c:pt>
                <c:pt idx="1137">
                  <c:v>1168044</c:v>
                </c:pt>
                <c:pt idx="1138" formatCode="#,##0">
                  <c:v>1032878</c:v>
                </c:pt>
                <c:pt idx="1139" formatCode="#,##0">
                  <c:v>1425000</c:v>
                </c:pt>
                <c:pt idx="1140">
                  <c:v>1168044</c:v>
                </c:pt>
                <c:pt idx="1141" formatCode="#,##0">
                  <c:v>1146042</c:v>
                </c:pt>
                <c:pt idx="1142">
                  <c:v>1168044</c:v>
                </c:pt>
                <c:pt idx="1143" formatCode="#,##0">
                  <c:v>2895087</c:v>
                </c:pt>
                <c:pt idx="1144" formatCode="#,##0">
                  <c:v>575852</c:v>
                </c:pt>
                <c:pt idx="1145" formatCode="#,##0">
                  <c:v>3266176</c:v>
                </c:pt>
                <c:pt idx="1146" formatCode="#,##0">
                  <c:v>738986</c:v>
                </c:pt>
                <c:pt idx="1147" formatCode="#,##0">
                  <c:v>1215867</c:v>
                </c:pt>
                <c:pt idx="1148" formatCode="#,##0">
                  <c:v>1015968</c:v>
                </c:pt>
                <c:pt idx="1149">
                  <c:v>1168044</c:v>
                </c:pt>
                <c:pt idx="1150" formatCode="#,##0">
                  <c:v>754566</c:v>
                </c:pt>
                <c:pt idx="1151">
                  <c:v>1168044</c:v>
                </c:pt>
                <c:pt idx="1152" formatCode="#,##0">
                  <c:v>2309184</c:v>
                </c:pt>
                <c:pt idx="1153" formatCode="#,##0">
                  <c:v>778297</c:v>
                </c:pt>
                <c:pt idx="1154">
                  <c:v>1168044</c:v>
                </c:pt>
                <c:pt idx="1155" formatCode="#,##0">
                  <c:v>2245800</c:v>
                </c:pt>
                <c:pt idx="1156" formatCode="#,##0">
                  <c:v>863208</c:v>
                </c:pt>
                <c:pt idx="1157">
                  <c:v>1168044</c:v>
                </c:pt>
                <c:pt idx="1158" formatCode="#,##0">
                  <c:v>1062043</c:v>
                </c:pt>
                <c:pt idx="1159">
                  <c:v>1168044</c:v>
                </c:pt>
                <c:pt idx="1160" formatCode="#,##0">
                  <c:v>855209</c:v>
                </c:pt>
                <c:pt idx="1161">
                  <c:v>1168044</c:v>
                </c:pt>
                <c:pt idx="1162" formatCode="#,##0">
                  <c:v>797639</c:v>
                </c:pt>
                <c:pt idx="1163">
                  <c:v>1168044</c:v>
                </c:pt>
                <c:pt idx="1164">
                  <c:v>1168044</c:v>
                </c:pt>
                <c:pt idx="1165" formatCode="#,##0">
                  <c:v>2016546</c:v>
                </c:pt>
                <c:pt idx="1166" formatCode="#,##0">
                  <c:v>945535</c:v>
                </c:pt>
                <c:pt idx="1167" formatCode="#,##0">
                  <c:v>932881</c:v>
                </c:pt>
                <c:pt idx="1168" formatCode="#,##0">
                  <c:v>975251</c:v>
                </c:pt>
                <c:pt idx="1169" formatCode="#,##0">
                  <c:v>2311008</c:v>
                </c:pt>
                <c:pt idx="1170">
                  <c:v>1168044</c:v>
                </c:pt>
                <c:pt idx="1171" formatCode="#,##0">
                  <c:v>1002364</c:v>
                </c:pt>
                <c:pt idx="1172" formatCode="#,##0">
                  <c:v>285893</c:v>
                </c:pt>
                <c:pt idx="1173" formatCode="#,##0">
                  <c:v>1011028</c:v>
                </c:pt>
                <c:pt idx="1174" formatCode="#,##0">
                  <c:v>866476</c:v>
                </c:pt>
                <c:pt idx="1175" formatCode="#,##0">
                  <c:v>731044</c:v>
                </c:pt>
                <c:pt idx="1176" formatCode="#,##0">
                  <c:v>1330532</c:v>
                </c:pt>
                <c:pt idx="1177" formatCode="#,##0">
                  <c:v>583737</c:v>
                </c:pt>
                <c:pt idx="1178" formatCode="#,##0">
                  <c:v>1455533</c:v>
                </c:pt>
                <c:pt idx="1179" formatCode="#,##0">
                  <c:v>751564</c:v>
                </c:pt>
                <c:pt idx="1180" formatCode="#,##0">
                  <c:v>501771</c:v>
                </c:pt>
                <c:pt idx="1181" formatCode="#,##0">
                  <c:v>1506928</c:v>
                </c:pt>
                <c:pt idx="1182" formatCode="#,##0">
                  <c:v>2432000</c:v>
                </c:pt>
                <c:pt idx="1183" formatCode="#,##0">
                  <c:v>2990144</c:v>
                </c:pt>
                <c:pt idx="1184" formatCode="#,##0">
                  <c:v>1794170</c:v>
                </c:pt>
                <c:pt idx="1185" formatCode="#,##0">
                  <c:v>703950</c:v>
                </c:pt>
                <c:pt idx="1186" formatCode="#,##0">
                  <c:v>3715260</c:v>
                </c:pt>
                <c:pt idx="1187" formatCode="#,##0">
                  <c:v>626373</c:v>
                </c:pt>
                <c:pt idx="1188" formatCode="#,##0">
                  <c:v>3601412</c:v>
                </c:pt>
                <c:pt idx="1189" formatCode="#,##0">
                  <c:v>1792802</c:v>
                </c:pt>
                <c:pt idx="1190" formatCode="#,##0">
                  <c:v>1874920</c:v>
                </c:pt>
                <c:pt idx="1191" formatCode="#,##0">
                  <c:v>865811</c:v>
                </c:pt>
                <c:pt idx="1192">
                  <c:v>1168044</c:v>
                </c:pt>
                <c:pt idx="1193" formatCode="#,##0">
                  <c:v>1950863</c:v>
                </c:pt>
                <c:pt idx="1194" formatCode="#,##0">
                  <c:v>1246362</c:v>
                </c:pt>
                <c:pt idx="1195" formatCode="#,##0">
                  <c:v>1252784</c:v>
                </c:pt>
                <c:pt idx="1196">
                  <c:v>1168044</c:v>
                </c:pt>
                <c:pt idx="1197" formatCode="#,##0">
                  <c:v>1652316</c:v>
                </c:pt>
                <c:pt idx="1198" formatCode="#,##0">
                  <c:v>2009573</c:v>
                </c:pt>
                <c:pt idx="1199">
                  <c:v>1168044</c:v>
                </c:pt>
                <c:pt idx="1200" formatCode="#,##0">
                  <c:v>1126890</c:v>
                </c:pt>
                <c:pt idx="1201">
                  <c:v>1168044</c:v>
                </c:pt>
                <c:pt idx="1202" formatCode="#,##0">
                  <c:v>699656</c:v>
                </c:pt>
                <c:pt idx="1203" formatCode="#,##0">
                  <c:v>1400186</c:v>
                </c:pt>
                <c:pt idx="1204">
                  <c:v>1168044</c:v>
                </c:pt>
                <c:pt idx="1205">
                  <c:v>1168044</c:v>
                </c:pt>
                <c:pt idx="1206" formatCode="#,##0">
                  <c:v>291992</c:v>
                </c:pt>
                <c:pt idx="1207">
                  <c:v>1168044</c:v>
                </c:pt>
                <c:pt idx="1208">
                  <c:v>1168044</c:v>
                </c:pt>
                <c:pt idx="1209" formatCode="#,##0">
                  <c:v>654493</c:v>
                </c:pt>
                <c:pt idx="1210" formatCode="#,##0">
                  <c:v>1010021</c:v>
                </c:pt>
                <c:pt idx="1211" formatCode="#,##0">
                  <c:v>753692</c:v>
                </c:pt>
                <c:pt idx="1212" formatCode="#,##0">
                  <c:v>1217957</c:v>
                </c:pt>
                <c:pt idx="1213" formatCode="#,##0">
                  <c:v>692664</c:v>
                </c:pt>
                <c:pt idx="1214" formatCode="#,##0">
                  <c:v>1393517</c:v>
                </c:pt>
                <c:pt idx="1215" formatCode="#,##0">
                  <c:v>676324</c:v>
                </c:pt>
                <c:pt idx="1216">
                  <c:v>1168044</c:v>
                </c:pt>
                <c:pt idx="1217" formatCode="#,##0">
                  <c:v>1226032</c:v>
                </c:pt>
                <c:pt idx="1218" formatCode="#,##0">
                  <c:v>3467557</c:v>
                </c:pt>
                <c:pt idx="1219" formatCode="#,##0">
                  <c:v>1865230</c:v>
                </c:pt>
                <c:pt idx="1220" formatCode="#,##0">
                  <c:v>1438680</c:v>
                </c:pt>
                <c:pt idx="1221">
                  <c:v>1168044</c:v>
                </c:pt>
                <c:pt idx="1222" formatCode="#,##0">
                  <c:v>622041</c:v>
                </c:pt>
                <c:pt idx="1223" formatCode="#,##0">
                  <c:v>763040</c:v>
                </c:pt>
                <c:pt idx="1224" formatCode="#,##0">
                  <c:v>1107396</c:v>
                </c:pt>
                <c:pt idx="1225" formatCode="#,##0">
                  <c:v>1326086</c:v>
                </c:pt>
                <c:pt idx="1226" formatCode="#,##0">
                  <c:v>461928</c:v>
                </c:pt>
                <c:pt idx="1227" formatCode="#,##0">
                  <c:v>753084</c:v>
                </c:pt>
                <c:pt idx="1228" formatCode="#,##0">
                  <c:v>2055515</c:v>
                </c:pt>
                <c:pt idx="1229" formatCode="#,##0">
                  <c:v>1533528</c:v>
                </c:pt>
                <c:pt idx="1230" formatCode="#,##0">
                  <c:v>3287095</c:v>
                </c:pt>
                <c:pt idx="1231" formatCode="#,##0">
                  <c:v>583509</c:v>
                </c:pt>
                <c:pt idx="1232" formatCode="#,##0">
                  <c:v>1245374</c:v>
                </c:pt>
                <c:pt idx="1233" formatCode="#,##0">
                  <c:v>466602</c:v>
                </c:pt>
                <c:pt idx="1234" formatCode="#,##0">
                  <c:v>1343794</c:v>
                </c:pt>
                <c:pt idx="1235" formatCode="#,##0">
                  <c:v>3163215</c:v>
                </c:pt>
                <c:pt idx="1236" formatCode="#,##0">
                  <c:v>1142622</c:v>
                </c:pt>
                <c:pt idx="1237" formatCode="#,##0">
                  <c:v>3833820</c:v>
                </c:pt>
                <c:pt idx="1238" formatCode="#,##0">
                  <c:v>2672540</c:v>
                </c:pt>
                <c:pt idx="1239" formatCode="#,##0">
                  <c:v>456589</c:v>
                </c:pt>
                <c:pt idx="1240" formatCode="#,##0">
                  <c:v>2157906</c:v>
                </c:pt>
                <c:pt idx="1241" formatCode="#,##0">
                  <c:v>1072493</c:v>
                </c:pt>
                <c:pt idx="1242">
                  <c:v>1168044</c:v>
                </c:pt>
                <c:pt idx="1243">
                  <c:v>1168044</c:v>
                </c:pt>
                <c:pt idx="1244" formatCode="#,##0">
                  <c:v>5139234</c:v>
                </c:pt>
                <c:pt idx="1245" formatCode="#,##0">
                  <c:v>1518632</c:v>
                </c:pt>
                <c:pt idx="1246" formatCode="#,##0">
                  <c:v>1150716</c:v>
                </c:pt>
                <c:pt idx="1247" formatCode="#,##0">
                  <c:v>386118</c:v>
                </c:pt>
                <c:pt idx="1248" formatCode="#,##0">
                  <c:v>4744775</c:v>
                </c:pt>
                <c:pt idx="1249" formatCode="#,##0">
                  <c:v>1224873</c:v>
                </c:pt>
                <c:pt idx="1250" formatCode="#,##0">
                  <c:v>664468</c:v>
                </c:pt>
                <c:pt idx="1251" formatCode="#,##0">
                  <c:v>907212</c:v>
                </c:pt>
                <c:pt idx="1252" formatCode="#,##0">
                  <c:v>1147524</c:v>
                </c:pt>
                <c:pt idx="1253" formatCode="#,##0">
                  <c:v>779095</c:v>
                </c:pt>
                <c:pt idx="1254" formatCode="#,##0">
                  <c:v>1058642</c:v>
                </c:pt>
                <c:pt idx="1255">
                  <c:v>1168044</c:v>
                </c:pt>
                <c:pt idx="1256" formatCode="#,##0">
                  <c:v>492328</c:v>
                </c:pt>
                <c:pt idx="1257">
                  <c:v>1168044</c:v>
                </c:pt>
                <c:pt idx="1258" formatCode="#,##0">
                  <c:v>1198501</c:v>
                </c:pt>
                <c:pt idx="1259" formatCode="#,##0">
                  <c:v>929518</c:v>
                </c:pt>
                <c:pt idx="1260" formatCode="#,##0">
                  <c:v>2957863</c:v>
                </c:pt>
                <c:pt idx="1261" formatCode="#,##0">
                  <c:v>217911</c:v>
                </c:pt>
                <c:pt idx="1262">
                  <c:v>1168044</c:v>
                </c:pt>
                <c:pt idx="1263">
                  <c:v>1168044</c:v>
                </c:pt>
                <c:pt idx="1264">
                  <c:v>1168044</c:v>
                </c:pt>
                <c:pt idx="1265" formatCode="#,##0">
                  <c:v>972990</c:v>
                </c:pt>
                <c:pt idx="1266" formatCode="#,##0">
                  <c:v>1019711</c:v>
                </c:pt>
                <c:pt idx="1267" formatCode="#,##0">
                  <c:v>1225006</c:v>
                </c:pt>
                <c:pt idx="1268" formatCode="#,##0">
                  <c:v>1238458</c:v>
                </c:pt>
                <c:pt idx="1269">
                  <c:v>1168044</c:v>
                </c:pt>
                <c:pt idx="1270" formatCode="#,##0">
                  <c:v>932482</c:v>
                </c:pt>
                <c:pt idx="1271" formatCode="#,##0">
                  <c:v>936130</c:v>
                </c:pt>
                <c:pt idx="1272" formatCode="#,##0">
                  <c:v>1676465</c:v>
                </c:pt>
                <c:pt idx="1273" formatCode="#,##0">
                  <c:v>1603144</c:v>
                </c:pt>
                <c:pt idx="1274" formatCode="#,##0">
                  <c:v>1230345</c:v>
                </c:pt>
                <c:pt idx="1275">
                  <c:v>1168044</c:v>
                </c:pt>
                <c:pt idx="1276" formatCode="#,##0">
                  <c:v>873031</c:v>
                </c:pt>
                <c:pt idx="1277" formatCode="#,##0">
                  <c:v>1222536</c:v>
                </c:pt>
                <c:pt idx="1278" formatCode="#,##0">
                  <c:v>1886510</c:v>
                </c:pt>
                <c:pt idx="1279" formatCode="#,##0">
                  <c:v>1875490</c:v>
                </c:pt>
                <c:pt idx="1280">
                  <c:v>1168044</c:v>
                </c:pt>
                <c:pt idx="1281" formatCode="#,##0">
                  <c:v>561222</c:v>
                </c:pt>
                <c:pt idx="1282" formatCode="#,##0">
                  <c:v>1061834</c:v>
                </c:pt>
                <c:pt idx="1283" formatCode="#,##0">
                  <c:v>2873370</c:v>
                </c:pt>
                <c:pt idx="1284" formatCode="#,##0">
                  <c:v>793364</c:v>
                </c:pt>
                <c:pt idx="1285">
                  <c:v>1168044</c:v>
                </c:pt>
                <c:pt idx="1286" formatCode="#,##0">
                  <c:v>656355</c:v>
                </c:pt>
                <c:pt idx="1287" formatCode="#,##0">
                  <c:v>1506472</c:v>
                </c:pt>
                <c:pt idx="1288">
                  <c:v>1168044</c:v>
                </c:pt>
                <c:pt idx="1289" formatCode="#,##0">
                  <c:v>1860100</c:v>
                </c:pt>
                <c:pt idx="1290" formatCode="#,##0">
                  <c:v>1097516</c:v>
                </c:pt>
                <c:pt idx="1291" formatCode="#,##0">
                  <c:v>1626305</c:v>
                </c:pt>
                <c:pt idx="1292" formatCode="#,##0">
                  <c:v>952280</c:v>
                </c:pt>
                <c:pt idx="1293" formatCode="#,##0">
                  <c:v>677502</c:v>
                </c:pt>
                <c:pt idx="1294">
                  <c:v>1168044</c:v>
                </c:pt>
                <c:pt idx="1295" formatCode="#,##0">
                  <c:v>933945</c:v>
                </c:pt>
                <c:pt idx="1296" formatCode="#,##0">
                  <c:v>672790</c:v>
                </c:pt>
                <c:pt idx="1297" formatCode="#,##0">
                  <c:v>1888220</c:v>
                </c:pt>
                <c:pt idx="1298" formatCode="#,##0">
                  <c:v>796917</c:v>
                </c:pt>
                <c:pt idx="1299" formatCode="#,##0">
                  <c:v>1686269</c:v>
                </c:pt>
                <c:pt idx="1300" formatCode="#,##0">
                  <c:v>773072</c:v>
                </c:pt>
                <c:pt idx="1301">
                  <c:v>1168044</c:v>
                </c:pt>
                <c:pt idx="1302" formatCode="#,##0">
                  <c:v>1561382</c:v>
                </c:pt>
                <c:pt idx="1303" formatCode="#,##0">
                  <c:v>1398096</c:v>
                </c:pt>
                <c:pt idx="1304">
                  <c:v>1168044</c:v>
                </c:pt>
                <c:pt idx="1305" formatCode="#,##0">
                  <c:v>704387</c:v>
                </c:pt>
                <c:pt idx="1306" formatCode="#,##0">
                  <c:v>1040193</c:v>
                </c:pt>
                <c:pt idx="1307" formatCode="#,##0">
                  <c:v>1205683</c:v>
                </c:pt>
                <c:pt idx="1308" formatCode="#,##0">
                  <c:v>1045627</c:v>
                </c:pt>
                <c:pt idx="1309" formatCode="#,##0">
                  <c:v>3055200</c:v>
                </c:pt>
                <c:pt idx="1310" formatCode="#,##0">
                  <c:v>1605158</c:v>
                </c:pt>
                <c:pt idx="1311">
                  <c:v>1168044</c:v>
                </c:pt>
                <c:pt idx="1312" formatCode="#,##0">
                  <c:v>742520</c:v>
                </c:pt>
                <c:pt idx="1313" formatCode="#,##0">
                  <c:v>1501912</c:v>
                </c:pt>
                <c:pt idx="1314">
                  <c:v>1168044</c:v>
                </c:pt>
                <c:pt idx="1315" formatCode="#,##0">
                  <c:v>2427022</c:v>
                </c:pt>
                <c:pt idx="1316" formatCode="#,##0">
                  <c:v>563844</c:v>
                </c:pt>
                <c:pt idx="1317" formatCode="#,##0">
                  <c:v>325945</c:v>
                </c:pt>
                <c:pt idx="1318">
                  <c:v>1168044</c:v>
                </c:pt>
                <c:pt idx="1319" formatCode="#,##0">
                  <c:v>930601</c:v>
                </c:pt>
                <c:pt idx="1320" formatCode="#,##0">
                  <c:v>1264279</c:v>
                </c:pt>
                <c:pt idx="1321">
                  <c:v>1168044</c:v>
                </c:pt>
                <c:pt idx="1322">
                  <c:v>1168044</c:v>
                </c:pt>
                <c:pt idx="1323" formatCode="#,##0">
                  <c:v>620977</c:v>
                </c:pt>
                <c:pt idx="1324" formatCode="#,##0">
                  <c:v>1168215</c:v>
                </c:pt>
                <c:pt idx="1325">
                  <c:v>1168044</c:v>
                </c:pt>
                <c:pt idx="1326" formatCode="#,##0">
                  <c:v>1747620</c:v>
                </c:pt>
                <c:pt idx="1327" formatCode="#,##0">
                  <c:v>930905</c:v>
                </c:pt>
                <c:pt idx="1328">
                  <c:v>1168044</c:v>
                </c:pt>
                <c:pt idx="1329" formatCode="#,##0">
                  <c:v>5806362</c:v>
                </c:pt>
                <c:pt idx="1330" formatCode="#,##0">
                  <c:v>763116</c:v>
                </c:pt>
                <c:pt idx="1331" formatCode="#,##0">
                  <c:v>1153794</c:v>
                </c:pt>
                <c:pt idx="1332" formatCode="#,##0">
                  <c:v>973275</c:v>
                </c:pt>
                <c:pt idx="1333" formatCode="#,##0">
                  <c:v>1858010</c:v>
                </c:pt>
                <c:pt idx="1334" formatCode="#,##0">
                  <c:v>3084536</c:v>
                </c:pt>
                <c:pt idx="1335" formatCode="#,##0">
                  <c:v>1760597</c:v>
                </c:pt>
                <c:pt idx="1336" formatCode="#,##0">
                  <c:v>941355</c:v>
                </c:pt>
                <c:pt idx="1337" formatCode="#,##0">
                  <c:v>518757</c:v>
                </c:pt>
                <c:pt idx="1338" formatCode="#,##0">
                  <c:v>1163978</c:v>
                </c:pt>
                <c:pt idx="1339">
                  <c:v>1168044</c:v>
                </c:pt>
                <c:pt idx="1340">
                  <c:v>1168044</c:v>
                </c:pt>
                <c:pt idx="1341" formatCode="#,##0">
                  <c:v>693861</c:v>
                </c:pt>
                <c:pt idx="1342" formatCode="#,##0">
                  <c:v>2228586</c:v>
                </c:pt>
                <c:pt idx="1343" formatCode="#,##0">
                  <c:v>1141254</c:v>
                </c:pt>
                <c:pt idx="1344" formatCode="#,##0">
                  <c:v>2617326</c:v>
                </c:pt>
                <c:pt idx="1345" formatCode="#,##0">
                  <c:v>1037609</c:v>
                </c:pt>
                <c:pt idx="1346" formatCode="#,##0">
                  <c:v>1207830</c:v>
                </c:pt>
                <c:pt idx="1347" formatCode="#,##0">
                  <c:v>584079</c:v>
                </c:pt>
                <c:pt idx="1348" formatCode="#,##0">
                  <c:v>1245374</c:v>
                </c:pt>
                <c:pt idx="1349" formatCode="#,##0">
                  <c:v>700967</c:v>
                </c:pt>
                <c:pt idx="1350" formatCode="#,##0">
                  <c:v>1123660</c:v>
                </c:pt>
                <c:pt idx="1351" formatCode="#,##0">
                  <c:v>2124067</c:v>
                </c:pt>
                <c:pt idx="1352" formatCode="#,##0">
                  <c:v>1608787</c:v>
                </c:pt>
                <c:pt idx="1353" formatCode="#,##0">
                  <c:v>916009</c:v>
                </c:pt>
                <c:pt idx="1354" formatCode="#,##0">
                  <c:v>1108175</c:v>
                </c:pt>
                <c:pt idx="1355" formatCode="#,##0">
                  <c:v>1892210</c:v>
                </c:pt>
                <c:pt idx="1356" formatCode="#,##0">
                  <c:v>556719</c:v>
                </c:pt>
                <c:pt idx="1357" formatCode="#,##0">
                  <c:v>1095559</c:v>
                </c:pt>
                <c:pt idx="1358">
                  <c:v>1168044</c:v>
                </c:pt>
                <c:pt idx="1359" formatCode="#,##0">
                  <c:v>2522364</c:v>
                </c:pt>
                <c:pt idx="1360">
                  <c:v>1168044</c:v>
                </c:pt>
                <c:pt idx="1361">
                  <c:v>1168044</c:v>
                </c:pt>
                <c:pt idx="1362" formatCode="#,##0">
                  <c:v>2160528</c:v>
                </c:pt>
                <c:pt idx="1363">
                  <c:v>1168044</c:v>
                </c:pt>
                <c:pt idx="1364" formatCode="#,##0">
                  <c:v>1215126</c:v>
                </c:pt>
                <c:pt idx="1365">
                  <c:v>1168044</c:v>
                </c:pt>
                <c:pt idx="1366" formatCode="#,##0">
                  <c:v>1877219</c:v>
                </c:pt>
                <c:pt idx="1367" formatCode="#,##0">
                  <c:v>2225052</c:v>
                </c:pt>
                <c:pt idx="1368" formatCode="#,##0">
                  <c:v>2461184</c:v>
                </c:pt>
                <c:pt idx="1369" formatCode="#,##0">
                  <c:v>1127916</c:v>
                </c:pt>
                <c:pt idx="1370" formatCode="#,##0">
                  <c:v>1692045</c:v>
                </c:pt>
                <c:pt idx="1371" formatCode="#,##0">
                  <c:v>552539</c:v>
                </c:pt>
                <c:pt idx="1372" formatCode="#,##0">
                  <c:v>2072026</c:v>
                </c:pt>
                <c:pt idx="1373" formatCode="#,##0">
                  <c:v>807576</c:v>
                </c:pt>
                <c:pt idx="1374" formatCode="#,##0">
                  <c:v>1121285</c:v>
                </c:pt>
                <c:pt idx="1375" formatCode="#,##0">
                  <c:v>1007019</c:v>
                </c:pt>
                <c:pt idx="1376" formatCode="#,##0">
                  <c:v>2042766</c:v>
                </c:pt>
                <c:pt idx="1377" formatCode="#,##0">
                  <c:v>1238952</c:v>
                </c:pt>
                <c:pt idx="1378" formatCode="#,##0">
                  <c:v>896990</c:v>
                </c:pt>
                <c:pt idx="1379" formatCode="#,##0">
                  <c:v>2003854</c:v>
                </c:pt>
                <c:pt idx="1380" formatCode="#,##0">
                  <c:v>1465774</c:v>
                </c:pt>
                <c:pt idx="1381" formatCode="#,##0">
                  <c:v>479275</c:v>
                </c:pt>
                <c:pt idx="1382" formatCode="#,##0">
                  <c:v>1688796</c:v>
                </c:pt>
                <c:pt idx="1383" formatCode="#,##0">
                  <c:v>1435127</c:v>
                </c:pt>
                <c:pt idx="1384" formatCode="#,##0">
                  <c:v>3244535</c:v>
                </c:pt>
                <c:pt idx="1385" formatCode="#,##0">
                  <c:v>1637135</c:v>
                </c:pt>
                <c:pt idx="1386" formatCode="#,##0">
                  <c:v>869288</c:v>
                </c:pt>
                <c:pt idx="1387" formatCode="#,##0">
                  <c:v>1841879</c:v>
                </c:pt>
                <c:pt idx="1388" formatCode="#,##0">
                  <c:v>916275</c:v>
                </c:pt>
                <c:pt idx="1389" formatCode="#,##0">
                  <c:v>827127</c:v>
                </c:pt>
                <c:pt idx="1390" formatCode="#,##0">
                  <c:v>890929</c:v>
                </c:pt>
                <c:pt idx="1391" formatCode="#,##0">
                  <c:v>1404632</c:v>
                </c:pt>
                <c:pt idx="1392" formatCode="#,##0">
                  <c:v>870219</c:v>
                </c:pt>
                <c:pt idx="1393" formatCode="#,##0">
                  <c:v>2239416</c:v>
                </c:pt>
                <c:pt idx="1394" formatCode="#,##0">
                  <c:v>783085</c:v>
                </c:pt>
                <c:pt idx="1395" formatCode="#,##0">
                  <c:v>1780870</c:v>
                </c:pt>
                <c:pt idx="1396" formatCode="#,##0">
                  <c:v>2071817</c:v>
                </c:pt>
                <c:pt idx="1397" formatCode="#,##0">
                  <c:v>2433900</c:v>
                </c:pt>
                <c:pt idx="1398" formatCode="#,##0">
                  <c:v>1458592</c:v>
                </c:pt>
                <c:pt idx="1399" formatCode="#,##0">
                  <c:v>1780775</c:v>
                </c:pt>
                <c:pt idx="1400" formatCode="#,##0">
                  <c:v>2022930</c:v>
                </c:pt>
                <c:pt idx="1401" formatCode="#,##0">
                  <c:v>918194</c:v>
                </c:pt>
                <c:pt idx="1402" formatCode="#,##0">
                  <c:v>5306301</c:v>
                </c:pt>
                <c:pt idx="1403" formatCode="#,##0">
                  <c:v>1708974</c:v>
                </c:pt>
                <c:pt idx="1404" formatCode="#,##0">
                  <c:v>1320557</c:v>
                </c:pt>
                <c:pt idx="1405" formatCode="#,##0">
                  <c:v>835943</c:v>
                </c:pt>
                <c:pt idx="1406" formatCode="#,##0">
                  <c:v>1168215</c:v>
                </c:pt>
                <c:pt idx="1407">
                  <c:v>1168044</c:v>
                </c:pt>
                <c:pt idx="1408" formatCode="#,##0">
                  <c:v>741228</c:v>
                </c:pt>
                <c:pt idx="1409" formatCode="#,##0">
                  <c:v>525996</c:v>
                </c:pt>
                <c:pt idx="1410" formatCode="#,##0">
                  <c:v>2467530</c:v>
                </c:pt>
                <c:pt idx="1411" formatCode="#,##0">
                  <c:v>1156758</c:v>
                </c:pt>
                <c:pt idx="1412" formatCode="#,##0">
                  <c:v>823042</c:v>
                </c:pt>
                <c:pt idx="1413">
                  <c:v>1168044</c:v>
                </c:pt>
                <c:pt idx="1414">
                  <c:v>1168044</c:v>
                </c:pt>
                <c:pt idx="1415" formatCode="#,##0">
                  <c:v>846108</c:v>
                </c:pt>
                <c:pt idx="1416" formatCode="#,##0">
                  <c:v>1228464</c:v>
                </c:pt>
                <c:pt idx="1417" formatCode="#,##0">
                  <c:v>2621164</c:v>
                </c:pt>
                <c:pt idx="1418">
                  <c:v>1168044</c:v>
                </c:pt>
                <c:pt idx="1419" formatCode="#,##0">
                  <c:v>595783</c:v>
                </c:pt>
                <c:pt idx="1420" formatCode="#,##0">
                  <c:v>846431</c:v>
                </c:pt>
                <c:pt idx="1421">
                  <c:v>1168044</c:v>
                </c:pt>
                <c:pt idx="1422" formatCode="#,##0">
                  <c:v>1029857</c:v>
                </c:pt>
                <c:pt idx="1423" formatCode="#,##0">
                  <c:v>3368890</c:v>
                </c:pt>
                <c:pt idx="1424" formatCode="#,##0">
                  <c:v>1239940</c:v>
                </c:pt>
                <c:pt idx="1425" formatCode="#,##0">
                  <c:v>969513</c:v>
                </c:pt>
                <c:pt idx="1426" formatCode="#,##0">
                  <c:v>1124154</c:v>
                </c:pt>
                <c:pt idx="1427" formatCode="#,##0">
                  <c:v>1058908</c:v>
                </c:pt>
                <c:pt idx="1428" formatCode="#,##0">
                  <c:v>749816</c:v>
                </c:pt>
                <c:pt idx="1429" formatCode="#,##0">
                  <c:v>1150716</c:v>
                </c:pt>
                <c:pt idx="1430" formatCode="#,##0">
                  <c:v>810616</c:v>
                </c:pt>
                <c:pt idx="1431" formatCode="#,##0">
                  <c:v>1060048</c:v>
                </c:pt>
                <c:pt idx="1432" formatCode="#,##0">
                  <c:v>972686</c:v>
                </c:pt>
                <c:pt idx="1433" formatCode="#,##0">
                  <c:v>697547</c:v>
                </c:pt>
                <c:pt idx="1434" formatCode="#,##0">
                  <c:v>529511</c:v>
                </c:pt>
                <c:pt idx="1435" formatCode="#,##0">
                  <c:v>765700</c:v>
                </c:pt>
                <c:pt idx="1436" formatCode="#,##0">
                  <c:v>1557240</c:v>
                </c:pt>
                <c:pt idx="1437" formatCode="#,##0">
                  <c:v>2972189</c:v>
                </c:pt>
                <c:pt idx="1438" formatCode="#,##0">
                  <c:v>1223771</c:v>
                </c:pt>
                <c:pt idx="1439" formatCode="#,##0">
                  <c:v>1265134</c:v>
                </c:pt>
                <c:pt idx="1440">
                  <c:v>1168044</c:v>
                </c:pt>
                <c:pt idx="1441">
                  <c:v>1168044</c:v>
                </c:pt>
                <c:pt idx="1442" formatCode="#,##0">
                  <c:v>2044438</c:v>
                </c:pt>
                <c:pt idx="1443">
                  <c:v>1168044</c:v>
                </c:pt>
                <c:pt idx="1444" formatCode="#,##0">
                  <c:v>3391253</c:v>
                </c:pt>
                <c:pt idx="1445" formatCode="#,##0">
                  <c:v>1719405</c:v>
                </c:pt>
                <c:pt idx="1446" formatCode="#,##0">
                  <c:v>857489</c:v>
                </c:pt>
                <c:pt idx="1447" formatCode="#,##0">
                  <c:v>1358994</c:v>
                </c:pt>
                <c:pt idx="1448">
                  <c:v>1168044</c:v>
                </c:pt>
                <c:pt idx="1449" formatCode="#,##0">
                  <c:v>1341704</c:v>
                </c:pt>
                <c:pt idx="1450" formatCode="#,##0">
                  <c:v>1652468</c:v>
                </c:pt>
                <c:pt idx="1451" formatCode="#,##0">
                  <c:v>1068598</c:v>
                </c:pt>
                <c:pt idx="1452">
                  <c:v>1168044</c:v>
                </c:pt>
                <c:pt idx="1453" formatCode="#,##0">
                  <c:v>1273000</c:v>
                </c:pt>
                <c:pt idx="1454" formatCode="#,##0">
                  <c:v>916560</c:v>
                </c:pt>
                <c:pt idx="1455">
                  <c:v>1168044</c:v>
                </c:pt>
                <c:pt idx="1456" formatCode="#,##0">
                  <c:v>2090114</c:v>
                </c:pt>
                <c:pt idx="1457" formatCode="#,##0">
                  <c:v>896135</c:v>
                </c:pt>
                <c:pt idx="1458" formatCode="#,##0">
                  <c:v>1828237</c:v>
                </c:pt>
                <c:pt idx="1459" formatCode="#,##0">
                  <c:v>903526</c:v>
                </c:pt>
                <c:pt idx="1460">
                  <c:v>1168044</c:v>
                </c:pt>
                <c:pt idx="1461" formatCode="#,##0">
                  <c:v>1534516</c:v>
                </c:pt>
                <c:pt idx="1462">
                  <c:v>1168044</c:v>
                </c:pt>
                <c:pt idx="1463">
                  <c:v>1168044</c:v>
                </c:pt>
                <c:pt idx="1464" formatCode="#,##0">
                  <c:v>2715594</c:v>
                </c:pt>
                <c:pt idx="1465" formatCode="#,##0">
                  <c:v>1458345</c:v>
                </c:pt>
                <c:pt idx="1466" formatCode="#,##0">
                  <c:v>840731</c:v>
                </c:pt>
                <c:pt idx="1467" formatCode="#,##0">
                  <c:v>3058829</c:v>
                </c:pt>
                <c:pt idx="1468">
                  <c:v>1168044</c:v>
                </c:pt>
                <c:pt idx="1469" formatCode="#,##0">
                  <c:v>853898</c:v>
                </c:pt>
                <c:pt idx="1470" formatCode="#,##0">
                  <c:v>1643481</c:v>
                </c:pt>
                <c:pt idx="1471" formatCode="#,##0">
                  <c:v>944680</c:v>
                </c:pt>
                <c:pt idx="1472">
                  <c:v>1168044</c:v>
                </c:pt>
                <c:pt idx="1473" formatCode="#,##0">
                  <c:v>406942</c:v>
                </c:pt>
                <c:pt idx="1474" formatCode="#,##0">
                  <c:v>1238610</c:v>
                </c:pt>
                <c:pt idx="1475" formatCode="#,##0">
                  <c:v>2351250</c:v>
                </c:pt>
                <c:pt idx="1476">
                  <c:v>1168044</c:v>
                </c:pt>
                <c:pt idx="1477" formatCode="#,##0">
                  <c:v>971660</c:v>
                </c:pt>
                <c:pt idx="1478">
                  <c:v>1168044</c:v>
                </c:pt>
                <c:pt idx="1479" formatCode="#,##0">
                  <c:v>823878</c:v>
                </c:pt>
                <c:pt idx="1480">
                  <c:v>1168044</c:v>
                </c:pt>
                <c:pt idx="1481" formatCode="#,##0">
                  <c:v>1690848</c:v>
                </c:pt>
                <c:pt idx="1482" formatCode="#,##0">
                  <c:v>1152312</c:v>
                </c:pt>
                <c:pt idx="1483" formatCode="#,##0">
                  <c:v>562685</c:v>
                </c:pt>
                <c:pt idx="1484" formatCode="#,##0">
                  <c:v>1302849</c:v>
                </c:pt>
                <c:pt idx="1485" formatCode="#,##0">
                  <c:v>1139088</c:v>
                </c:pt>
                <c:pt idx="1486">
                  <c:v>1168044</c:v>
                </c:pt>
                <c:pt idx="1487" formatCode="#,##0">
                  <c:v>1607666</c:v>
                </c:pt>
                <c:pt idx="1488">
                  <c:v>1168044</c:v>
                </c:pt>
                <c:pt idx="1489" formatCode="#,##0">
                  <c:v>1977748</c:v>
                </c:pt>
                <c:pt idx="1490" formatCode="#,##0">
                  <c:v>1678878</c:v>
                </c:pt>
                <c:pt idx="1491" formatCode="#,##0">
                  <c:v>1068674</c:v>
                </c:pt>
                <c:pt idx="1492">
                  <c:v>1168044</c:v>
                </c:pt>
                <c:pt idx="1493" formatCode="#,##0">
                  <c:v>1062442</c:v>
                </c:pt>
                <c:pt idx="1494" formatCode="#,##0">
                  <c:v>1807166</c:v>
                </c:pt>
                <c:pt idx="1495" formatCode="#,##0">
                  <c:v>2118633</c:v>
                </c:pt>
                <c:pt idx="1496" formatCode="#,##0">
                  <c:v>1626799</c:v>
                </c:pt>
                <c:pt idx="1497">
                  <c:v>1168044</c:v>
                </c:pt>
                <c:pt idx="1498" formatCode="#,##0">
                  <c:v>1070707</c:v>
                </c:pt>
                <c:pt idx="1499">
                  <c:v>1168044</c:v>
                </c:pt>
                <c:pt idx="1500" formatCode="#,##0">
                  <c:v>668059</c:v>
                </c:pt>
                <c:pt idx="1501" formatCode="#,##0">
                  <c:v>758708</c:v>
                </c:pt>
                <c:pt idx="1502" formatCode="#,##0">
                  <c:v>1536112</c:v>
                </c:pt>
                <c:pt idx="1503">
                  <c:v>1168044</c:v>
                </c:pt>
                <c:pt idx="1504">
                  <c:v>1168044</c:v>
                </c:pt>
                <c:pt idx="1505" formatCode="#,##0">
                  <c:v>1315237</c:v>
                </c:pt>
                <c:pt idx="1506" formatCode="#,##0">
                  <c:v>671593</c:v>
                </c:pt>
                <c:pt idx="1507" formatCode="#,##0">
                  <c:v>988969</c:v>
                </c:pt>
                <c:pt idx="1508" formatCode="#,##0">
                  <c:v>1267110</c:v>
                </c:pt>
                <c:pt idx="1509" formatCode="#,##0">
                  <c:v>578930</c:v>
                </c:pt>
                <c:pt idx="1510" formatCode="#,##0">
                  <c:v>1156150</c:v>
                </c:pt>
                <c:pt idx="1511" formatCode="#,##0">
                  <c:v>2898659</c:v>
                </c:pt>
                <c:pt idx="1512" formatCode="#,##0">
                  <c:v>724470</c:v>
                </c:pt>
                <c:pt idx="1513" formatCode="#,##0">
                  <c:v>2233944</c:v>
                </c:pt>
                <c:pt idx="1514" formatCode="#,##0">
                  <c:v>305102</c:v>
                </c:pt>
                <c:pt idx="1515" formatCode="#,##0">
                  <c:v>1541888</c:v>
                </c:pt>
                <c:pt idx="1516" formatCode="#,##0">
                  <c:v>2148425</c:v>
                </c:pt>
                <c:pt idx="1517">
                  <c:v>1168044</c:v>
                </c:pt>
                <c:pt idx="1518">
                  <c:v>1168044</c:v>
                </c:pt>
                <c:pt idx="1519">
                  <c:v>1168044</c:v>
                </c:pt>
                <c:pt idx="1520" formatCode="#,##0">
                  <c:v>700758</c:v>
                </c:pt>
                <c:pt idx="1521" formatCode="#,##0">
                  <c:v>1831182</c:v>
                </c:pt>
                <c:pt idx="1522" formatCode="#,##0">
                  <c:v>1408185</c:v>
                </c:pt>
                <c:pt idx="1523" formatCode="#,##0">
                  <c:v>1906916</c:v>
                </c:pt>
                <c:pt idx="1524">
                  <c:v>1168044</c:v>
                </c:pt>
                <c:pt idx="1525" formatCode="#,##0">
                  <c:v>932615</c:v>
                </c:pt>
                <c:pt idx="1526" formatCode="#,##0">
                  <c:v>1223524</c:v>
                </c:pt>
                <c:pt idx="1527" formatCode="#,##0">
                  <c:v>2597870</c:v>
                </c:pt>
                <c:pt idx="1528" formatCode="#,##0">
                  <c:v>983744</c:v>
                </c:pt>
                <c:pt idx="1529">
                  <c:v>1168044</c:v>
                </c:pt>
                <c:pt idx="1530" formatCode="#,##0">
                  <c:v>1512305</c:v>
                </c:pt>
                <c:pt idx="1531" formatCode="#,##0">
                  <c:v>1335054</c:v>
                </c:pt>
                <c:pt idx="1532" formatCode="#,##0">
                  <c:v>1152996</c:v>
                </c:pt>
                <c:pt idx="1533" formatCode="#,##0">
                  <c:v>1226735</c:v>
                </c:pt>
                <c:pt idx="1534" formatCode="#,##0">
                  <c:v>1467256</c:v>
                </c:pt>
                <c:pt idx="1535" formatCode="#,##0">
                  <c:v>1008748</c:v>
                </c:pt>
                <c:pt idx="1536">
                  <c:v>1168044</c:v>
                </c:pt>
                <c:pt idx="1537" formatCode="#,##0">
                  <c:v>1263785</c:v>
                </c:pt>
                <c:pt idx="1538" formatCode="#,##0">
                  <c:v>1030370</c:v>
                </c:pt>
                <c:pt idx="1539" formatCode="#,##0">
                  <c:v>1589464</c:v>
                </c:pt>
                <c:pt idx="1540">
                  <c:v>1168044</c:v>
                </c:pt>
                <c:pt idx="1541" formatCode="#,##0">
                  <c:v>1335985</c:v>
                </c:pt>
                <c:pt idx="1542" formatCode="#,##0">
                  <c:v>788614</c:v>
                </c:pt>
                <c:pt idx="1543">
                  <c:v>1168044</c:v>
                </c:pt>
                <c:pt idx="1544" formatCode="#,##0">
                  <c:v>468255</c:v>
                </c:pt>
                <c:pt idx="1545" formatCode="#,##0">
                  <c:v>1211497</c:v>
                </c:pt>
                <c:pt idx="1546" formatCode="#,##0">
                  <c:v>4100941</c:v>
                </c:pt>
                <c:pt idx="1547" formatCode="#,##0">
                  <c:v>741228</c:v>
                </c:pt>
                <c:pt idx="1548" formatCode="#,##0">
                  <c:v>677312</c:v>
                </c:pt>
                <c:pt idx="1549" formatCode="#,##0">
                  <c:v>761900</c:v>
                </c:pt>
                <c:pt idx="1550">
                  <c:v>1168044</c:v>
                </c:pt>
                <c:pt idx="1551" formatCode="#,##0">
                  <c:v>971508</c:v>
                </c:pt>
                <c:pt idx="1552" formatCode="#,##0">
                  <c:v>1852500</c:v>
                </c:pt>
                <c:pt idx="1553">
                  <c:v>1168044</c:v>
                </c:pt>
                <c:pt idx="1554" formatCode="#,##0">
                  <c:v>800166</c:v>
                </c:pt>
                <c:pt idx="1555">
                  <c:v>1168044</c:v>
                </c:pt>
                <c:pt idx="1556" formatCode="#,##0">
                  <c:v>756504</c:v>
                </c:pt>
                <c:pt idx="1557" formatCode="#,##0">
                  <c:v>1232283</c:v>
                </c:pt>
                <c:pt idx="1558" formatCode="#,##0">
                  <c:v>2062260</c:v>
                </c:pt>
                <c:pt idx="1559" formatCode="#,##0">
                  <c:v>1520817</c:v>
                </c:pt>
                <c:pt idx="1560" formatCode="#,##0">
                  <c:v>2319672</c:v>
                </c:pt>
                <c:pt idx="1561" formatCode="#,##0">
                  <c:v>3737395</c:v>
                </c:pt>
                <c:pt idx="1562" formatCode="#,##0">
                  <c:v>1239446</c:v>
                </c:pt>
                <c:pt idx="1563" formatCode="#,##0">
                  <c:v>822890</c:v>
                </c:pt>
                <c:pt idx="1564" formatCode="#,##0">
                  <c:v>1282310</c:v>
                </c:pt>
                <c:pt idx="1565" formatCode="#,##0">
                  <c:v>844056</c:v>
                </c:pt>
                <c:pt idx="1566" formatCode="#,##0">
                  <c:v>1337353</c:v>
                </c:pt>
                <c:pt idx="1567" formatCode="#,##0">
                  <c:v>920626</c:v>
                </c:pt>
                <c:pt idx="1568" formatCode="#,##0">
                  <c:v>1216361</c:v>
                </c:pt>
                <c:pt idx="1569" formatCode="#,##0">
                  <c:v>286330</c:v>
                </c:pt>
                <c:pt idx="1570" formatCode="#,##0">
                  <c:v>1871310</c:v>
                </c:pt>
                <c:pt idx="1571">
                  <c:v>1168044</c:v>
                </c:pt>
                <c:pt idx="1572" formatCode="#,##0">
                  <c:v>1013384</c:v>
                </c:pt>
                <c:pt idx="1573">
                  <c:v>1168044</c:v>
                </c:pt>
                <c:pt idx="1574" formatCode="#,##0">
                  <c:v>6489070</c:v>
                </c:pt>
                <c:pt idx="1575" formatCode="#,##0">
                  <c:v>1022523</c:v>
                </c:pt>
                <c:pt idx="1576" formatCode="#,##0">
                  <c:v>867711</c:v>
                </c:pt>
                <c:pt idx="1577" formatCode="#,##0">
                  <c:v>980780</c:v>
                </c:pt>
                <c:pt idx="1578" formatCode="#,##0">
                  <c:v>792490</c:v>
                </c:pt>
                <c:pt idx="1579" formatCode="#,##0">
                  <c:v>1326808</c:v>
                </c:pt>
                <c:pt idx="1580" formatCode="#,##0">
                  <c:v>875026</c:v>
                </c:pt>
                <c:pt idx="1581" formatCode="#,##0">
                  <c:v>1703673</c:v>
                </c:pt>
                <c:pt idx="1582" formatCode="#,##0">
                  <c:v>582027</c:v>
                </c:pt>
                <c:pt idx="1583" formatCode="#,##0">
                  <c:v>835088</c:v>
                </c:pt>
                <c:pt idx="1584">
                  <c:v>1168044</c:v>
                </c:pt>
                <c:pt idx="1585" formatCode="#,##0">
                  <c:v>2068055</c:v>
                </c:pt>
                <c:pt idx="1586" formatCode="#,##0">
                  <c:v>1050111</c:v>
                </c:pt>
                <c:pt idx="1587">
                  <c:v>1168044</c:v>
                </c:pt>
                <c:pt idx="1588" formatCode="#,##0">
                  <c:v>3358782</c:v>
                </c:pt>
                <c:pt idx="1589" formatCode="#,##0">
                  <c:v>361399</c:v>
                </c:pt>
                <c:pt idx="1590" formatCode="#,##0">
                  <c:v>1835989</c:v>
                </c:pt>
                <c:pt idx="1591" formatCode="#,##0">
                  <c:v>1043024</c:v>
                </c:pt>
                <c:pt idx="1592" formatCode="#,##0">
                  <c:v>482125</c:v>
                </c:pt>
                <c:pt idx="1593" formatCode="#,##0">
                  <c:v>1098143</c:v>
                </c:pt>
                <c:pt idx="1594" formatCode="#,##0">
                  <c:v>1576620</c:v>
                </c:pt>
                <c:pt idx="1595" formatCode="#,##0">
                  <c:v>563787</c:v>
                </c:pt>
                <c:pt idx="1596" formatCode="#,##0">
                  <c:v>1120962</c:v>
                </c:pt>
                <c:pt idx="1597" formatCode="#,##0">
                  <c:v>694811</c:v>
                </c:pt>
                <c:pt idx="1598" formatCode="#,##0">
                  <c:v>941070</c:v>
                </c:pt>
                <c:pt idx="1599" formatCode="#,##0">
                  <c:v>1029895</c:v>
                </c:pt>
                <c:pt idx="1600" formatCode="#,##0">
                  <c:v>228437</c:v>
                </c:pt>
                <c:pt idx="1601" formatCode="#,##0">
                  <c:v>1693071</c:v>
                </c:pt>
                <c:pt idx="1602">
                  <c:v>1168044</c:v>
                </c:pt>
                <c:pt idx="1603" formatCode="#,##0">
                  <c:v>2321496</c:v>
                </c:pt>
                <c:pt idx="1604" formatCode="#,##0">
                  <c:v>776948</c:v>
                </c:pt>
                <c:pt idx="1605" formatCode="#,##0">
                  <c:v>280706</c:v>
                </c:pt>
                <c:pt idx="1606" formatCode="#,##0">
                  <c:v>556263</c:v>
                </c:pt>
                <c:pt idx="1607">
                  <c:v>1168044</c:v>
                </c:pt>
                <c:pt idx="1608" formatCode="#,##0">
                  <c:v>655899</c:v>
                </c:pt>
                <c:pt idx="1609" formatCode="#,##0">
                  <c:v>1262797</c:v>
                </c:pt>
                <c:pt idx="1610" formatCode="#,##0">
                  <c:v>1114122</c:v>
                </c:pt>
                <c:pt idx="1611" formatCode="#,##0">
                  <c:v>1499176</c:v>
                </c:pt>
                <c:pt idx="1612" formatCode="#,##0">
                  <c:v>518111</c:v>
                </c:pt>
                <c:pt idx="1613" formatCode="#,##0">
                  <c:v>1556024</c:v>
                </c:pt>
                <c:pt idx="1614" formatCode="#,##0">
                  <c:v>1058699</c:v>
                </c:pt>
                <c:pt idx="1615">
                  <c:v>1168044</c:v>
                </c:pt>
                <c:pt idx="1616" formatCode="#,##0">
                  <c:v>908010</c:v>
                </c:pt>
                <c:pt idx="1617" formatCode="#,##0">
                  <c:v>816677</c:v>
                </c:pt>
                <c:pt idx="1618" formatCode="#,##0">
                  <c:v>1750280</c:v>
                </c:pt>
                <c:pt idx="1619" formatCode="#,##0">
                  <c:v>1996596</c:v>
                </c:pt>
                <c:pt idx="1620" formatCode="#,##0">
                  <c:v>671783</c:v>
                </c:pt>
                <c:pt idx="1621" formatCode="#,##0">
                  <c:v>795910</c:v>
                </c:pt>
                <c:pt idx="1622" formatCode="#,##0">
                  <c:v>1107776</c:v>
                </c:pt>
                <c:pt idx="1623" formatCode="#,##0">
                  <c:v>658312</c:v>
                </c:pt>
                <c:pt idx="1624" formatCode="#,##0">
                  <c:v>870561</c:v>
                </c:pt>
                <c:pt idx="1625" formatCode="#,##0">
                  <c:v>2316480</c:v>
                </c:pt>
                <c:pt idx="1626">
                  <c:v>1168044</c:v>
                </c:pt>
                <c:pt idx="1627" formatCode="#,##0">
                  <c:v>3614978</c:v>
                </c:pt>
                <c:pt idx="1628" formatCode="#,##0">
                  <c:v>1503280</c:v>
                </c:pt>
                <c:pt idx="1629" formatCode="#,##0">
                  <c:v>1074013</c:v>
                </c:pt>
                <c:pt idx="1630">
                  <c:v>1168044</c:v>
                </c:pt>
                <c:pt idx="1631">
                  <c:v>1168044</c:v>
                </c:pt>
                <c:pt idx="1632" formatCode="#,##0">
                  <c:v>1166334</c:v>
                </c:pt>
                <c:pt idx="1633" formatCode="#,##0">
                  <c:v>898358</c:v>
                </c:pt>
                <c:pt idx="1634" formatCode="#,##0">
                  <c:v>1277161</c:v>
                </c:pt>
                <c:pt idx="1635" formatCode="#,##0">
                  <c:v>715065</c:v>
                </c:pt>
                <c:pt idx="1636" formatCode="#,##0">
                  <c:v>758328</c:v>
                </c:pt>
                <c:pt idx="1637" formatCode="#,##0">
                  <c:v>994612</c:v>
                </c:pt>
                <c:pt idx="1638" formatCode="#,##0">
                  <c:v>1786608</c:v>
                </c:pt>
                <c:pt idx="1639" formatCode="#,##0">
                  <c:v>778145</c:v>
                </c:pt>
                <c:pt idx="1640">
                  <c:v>1168044</c:v>
                </c:pt>
                <c:pt idx="1641" formatCode="#,##0">
                  <c:v>1131906</c:v>
                </c:pt>
                <c:pt idx="1642" formatCode="#,##0">
                  <c:v>1102171</c:v>
                </c:pt>
                <c:pt idx="1643" formatCode="#,##0">
                  <c:v>1140000</c:v>
                </c:pt>
                <c:pt idx="1644" formatCode="#,##0">
                  <c:v>1072303</c:v>
                </c:pt>
                <c:pt idx="1645" formatCode="#,##0">
                  <c:v>1305262</c:v>
                </c:pt>
                <c:pt idx="1646" formatCode="#,##0">
                  <c:v>651909</c:v>
                </c:pt>
                <c:pt idx="1647" formatCode="#,##0">
                  <c:v>1458136</c:v>
                </c:pt>
                <c:pt idx="1648" formatCode="#,##0">
                  <c:v>3416238</c:v>
                </c:pt>
                <c:pt idx="1649" formatCode="#,##0">
                  <c:v>2261760</c:v>
                </c:pt>
                <c:pt idx="1650" formatCode="#,##0">
                  <c:v>893855</c:v>
                </c:pt>
                <c:pt idx="1651" formatCode="#,##0">
                  <c:v>1030579</c:v>
                </c:pt>
                <c:pt idx="1652" formatCode="#,##0">
                  <c:v>1303932</c:v>
                </c:pt>
                <c:pt idx="1653" formatCode="#,##0">
                  <c:v>1692387</c:v>
                </c:pt>
                <c:pt idx="1654" formatCode="#,##0">
                  <c:v>1083551</c:v>
                </c:pt>
                <c:pt idx="1655" formatCode="#,##0">
                  <c:v>1915846</c:v>
                </c:pt>
                <c:pt idx="1656" formatCode="#,##0">
                  <c:v>1251359</c:v>
                </c:pt>
                <c:pt idx="1657">
                  <c:v>1168044</c:v>
                </c:pt>
                <c:pt idx="1658" formatCode="#,##0">
                  <c:v>1653437</c:v>
                </c:pt>
                <c:pt idx="1659" formatCode="#,##0">
                  <c:v>860491</c:v>
                </c:pt>
                <c:pt idx="1660" formatCode="#,##0">
                  <c:v>909530</c:v>
                </c:pt>
                <c:pt idx="1661" formatCode="#,##0">
                  <c:v>1549792</c:v>
                </c:pt>
                <c:pt idx="1662" formatCode="#,##0">
                  <c:v>1682127</c:v>
                </c:pt>
                <c:pt idx="1663">
                  <c:v>1168044</c:v>
                </c:pt>
                <c:pt idx="1664" formatCode="#,##0">
                  <c:v>1285274</c:v>
                </c:pt>
                <c:pt idx="1665" formatCode="#,##0">
                  <c:v>1535048</c:v>
                </c:pt>
                <c:pt idx="1666" formatCode="#,##0">
                  <c:v>1297415</c:v>
                </c:pt>
                <c:pt idx="1667" formatCode="#,##0">
                  <c:v>2885340</c:v>
                </c:pt>
                <c:pt idx="1668">
                  <c:v>1168044</c:v>
                </c:pt>
                <c:pt idx="1669">
                  <c:v>1168044</c:v>
                </c:pt>
                <c:pt idx="1670" formatCode="#,##0">
                  <c:v>1290195</c:v>
                </c:pt>
                <c:pt idx="1671" formatCode="#,##0">
                  <c:v>2497721</c:v>
                </c:pt>
                <c:pt idx="1672" formatCode="#,##0">
                  <c:v>799083</c:v>
                </c:pt>
                <c:pt idx="1673" formatCode="#,##0">
                  <c:v>1102171</c:v>
                </c:pt>
                <c:pt idx="1674">
                  <c:v>1168044</c:v>
                </c:pt>
                <c:pt idx="1675" formatCode="#,##0">
                  <c:v>1221662</c:v>
                </c:pt>
                <c:pt idx="1676" formatCode="#,##0">
                  <c:v>1821796</c:v>
                </c:pt>
                <c:pt idx="1677" formatCode="#,##0">
                  <c:v>1327872</c:v>
                </c:pt>
                <c:pt idx="1678">
                  <c:v>1168044</c:v>
                </c:pt>
                <c:pt idx="1679" formatCode="#,##0">
                  <c:v>1586253</c:v>
                </c:pt>
                <c:pt idx="1680" formatCode="#,##0">
                  <c:v>2644116</c:v>
                </c:pt>
                <c:pt idx="1681" formatCode="#,##0">
                  <c:v>1055868</c:v>
                </c:pt>
                <c:pt idx="1682" formatCode="#,##0">
                  <c:v>1936955</c:v>
                </c:pt>
                <c:pt idx="1683" formatCode="#,##0">
                  <c:v>864671</c:v>
                </c:pt>
                <c:pt idx="1684" formatCode="#,##0">
                  <c:v>1973074</c:v>
                </c:pt>
                <c:pt idx="1685" formatCode="#,##0">
                  <c:v>1818908</c:v>
                </c:pt>
                <c:pt idx="1686" formatCode="#,##0">
                  <c:v>582730</c:v>
                </c:pt>
                <c:pt idx="1687" formatCode="#,##0">
                  <c:v>1042188</c:v>
                </c:pt>
                <c:pt idx="1688">
                  <c:v>1168044</c:v>
                </c:pt>
                <c:pt idx="1689" formatCode="#,##0">
                  <c:v>699124</c:v>
                </c:pt>
                <c:pt idx="1690" formatCode="#,##0">
                  <c:v>1398913</c:v>
                </c:pt>
                <c:pt idx="1691" formatCode="#,##0">
                  <c:v>1620339</c:v>
                </c:pt>
                <c:pt idx="1692" formatCode="#,##0">
                  <c:v>926820</c:v>
                </c:pt>
                <c:pt idx="1693" formatCode="#,##0">
                  <c:v>1400566</c:v>
                </c:pt>
                <c:pt idx="1694" formatCode="#,##0">
                  <c:v>868224</c:v>
                </c:pt>
                <c:pt idx="1695" formatCode="#,##0">
                  <c:v>873392</c:v>
                </c:pt>
                <c:pt idx="1696" formatCode="#,##0">
                  <c:v>1571946</c:v>
                </c:pt>
                <c:pt idx="1697">
                  <c:v>1168044</c:v>
                </c:pt>
                <c:pt idx="1698" formatCode="#,##0">
                  <c:v>778240</c:v>
                </c:pt>
                <c:pt idx="1699" formatCode="#,##0">
                  <c:v>709916</c:v>
                </c:pt>
                <c:pt idx="1700" formatCode="#,##0">
                  <c:v>1671525</c:v>
                </c:pt>
                <c:pt idx="1701" formatCode="#,##0">
                  <c:v>1420782</c:v>
                </c:pt>
                <c:pt idx="1702" formatCode="#,##0">
                  <c:v>1386316</c:v>
                </c:pt>
                <c:pt idx="1703" formatCode="#,##0">
                  <c:v>612902</c:v>
                </c:pt>
                <c:pt idx="1704">
                  <c:v>1168044</c:v>
                </c:pt>
                <c:pt idx="1705" formatCode="#,##0">
                  <c:v>1746461</c:v>
                </c:pt>
                <c:pt idx="1706" formatCode="#,##0">
                  <c:v>1306060</c:v>
                </c:pt>
                <c:pt idx="1707" formatCode="#,##0">
                  <c:v>767372</c:v>
                </c:pt>
                <c:pt idx="1708" formatCode="#,##0">
                  <c:v>965998</c:v>
                </c:pt>
                <c:pt idx="1709" formatCode="#,##0">
                  <c:v>1081480</c:v>
                </c:pt>
                <c:pt idx="1710">
                  <c:v>1168044</c:v>
                </c:pt>
                <c:pt idx="1711">
                  <c:v>1168044</c:v>
                </c:pt>
                <c:pt idx="1712" formatCode="#,##0">
                  <c:v>2235255</c:v>
                </c:pt>
                <c:pt idx="1713" formatCode="#,##0">
                  <c:v>1082791</c:v>
                </c:pt>
                <c:pt idx="1714" formatCode="#,##0">
                  <c:v>851466</c:v>
                </c:pt>
                <c:pt idx="1715" formatCode="#,##0">
                  <c:v>649249</c:v>
                </c:pt>
                <c:pt idx="1716" formatCode="#,##0">
                  <c:v>741076</c:v>
                </c:pt>
                <c:pt idx="1717" formatCode="#,##0">
                  <c:v>732963</c:v>
                </c:pt>
                <c:pt idx="1718">
                  <c:v>1168044</c:v>
                </c:pt>
                <c:pt idx="1719" formatCode="#,##0">
                  <c:v>2522364</c:v>
                </c:pt>
                <c:pt idx="1720" formatCode="#,##0">
                  <c:v>1437407</c:v>
                </c:pt>
                <c:pt idx="1721" formatCode="#,##0">
                  <c:v>786125</c:v>
                </c:pt>
                <c:pt idx="1722">
                  <c:v>1168044</c:v>
                </c:pt>
                <c:pt idx="1723" formatCode="#,##0">
                  <c:v>1030066</c:v>
                </c:pt>
                <c:pt idx="1724" formatCode="#,##0">
                  <c:v>936035</c:v>
                </c:pt>
                <c:pt idx="1725" formatCode="#,##0">
                  <c:v>982167</c:v>
                </c:pt>
                <c:pt idx="1726" formatCode="#,##0">
                  <c:v>2393335</c:v>
                </c:pt>
                <c:pt idx="1727">
                  <c:v>1168044</c:v>
                </c:pt>
                <c:pt idx="1728" formatCode="#,##0">
                  <c:v>671137</c:v>
                </c:pt>
                <c:pt idx="1729" formatCode="#,##0">
                  <c:v>1813854</c:v>
                </c:pt>
                <c:pt idx="1730" formatCode="#,##0">
                  <c:v>1257971</c:v>
                </c:pt>
                <c:pt idx="1731" formatCode="#,##0">
                  <c:v>1159950</c:v>
                </c:pt>
                <c:pt idx="1732" formatCode="#,##0">
                  <c:v>2145898</c:v>
                </c:pt>
                <c:pt idx="1733" formatCode="#,##0">
                  <c:v>1065786</c:v>
                </c:pt>
                <c:pt idx="1734" formatCode="#,##0">
                  <c:v>738644</c:v>
                </c:pt>
                <c:pt idx="1735" formatCode="#,##0">
                  <c:v>1361027</c:v>
                </c:pt>
                <c:pt idx="1736" formatCode="#,##0">
                  <c:v>721601</c:v>
                </c:pt>
                <c:pt idx="1737" formatCode="#,##0">
                  <c:v>1838345</c:v>
                </c:pt>
                <c:pt idx="1738" formatCode="#,##0">
                  <c:v>1705554</c:v>
                </c:pt>
                <c:pt idx="1739">
                  <c:v>1168044</c:v>
                </c:pt>
                <c:pt idx="1740" formatCode="#,##0">
                  <c:v>718466</c:v>
                </c:pt>
                <c:pt idx="1741" formatCode="#,##0">
                  <c:v>452352</c:v>
                </c:pt>
                <c:pt idx="1742" formatCode="#,##0">
                  <c:v>1490645</c:v>
                </c:pt>
                <c:pt idx="1743" formatCode="#,##0">
                  <c:v>719549</c:v>
                </c:pt>
                <c:pt idx="1744" formatCode="#,##0">
                  <c:v>1482912</c:v>
                </c:pt>
                <c:pt idx="1745" formatCode="#,##0">
                  <c:v>2531712</c:v>
                </c:pt>
                <c:pt idx="1746" formatCode="#,##0">
                  <c:v>1206861</c:v>
                </c:pt>
                <c:pt idx="1747" formatCode="#,##0">
                  <c:v>961571</c:v>
                </c:pt>
                <c:pt idx="1748" formatCode="#,##0">
                  <c:v>1408033</c:v>
                </c:pt>
                <c:pt idx="1749" formatCode="#,##0">
                  <c:v>1877181</c:v>
                </c:pt>
                <c:pt idx="1750" formatCode="#,##0">
                  <c:v>1544320</c:v>
                </c:pt>
                <c:pt idx="1751" formatCode="#,##0">
                  <c:v>1996197</c:v>
                </c:pt>
                <c:pt idx="1752" formatCode="#,##0">
                  <c:v>1263538</c:v>
                </c:pt>
                <c:pt idx="1753">
                  <c:v>1168044</c:v>
                </c:pt>
                <c:pt idx="1754" formatCode="#,##0">
                  <c:v>868604</c:v>
                </c:pt>
                <c:pt idx="1755" formatCode="#,##0">
                  <c:v>1744029</c:v>
                </c:pt>
                <c:pt idx="1756" formatCode="#,##0">
                  <c:v>932235</c:v>
                </c:pt>
                <c:pt idx="1757" formatCode="#,##0">
                  <c:v>1411035</c:v>
                </c:pt>
                <c:pt idx="1758" formatCode="#,##0">
                  <c:v>1705554</c:v>
                </c:pt>
                <c:pt idx="1759" formatCode="#,##0">
                  <c:v>1031548</c:v>
                </c:pt>
                <c:pt idx="1760" formatCode="#,##0">
                  <c:v>2413950</c:v>
                </c:pt>
                <c:pt idx="1761" formatCode="#,##0">
                  <c:v>473822</c:v>
                </c:pt>
                <c:pt idx="1762" formatCode="#,##0">
                  <c:v>1141368</c:v>
                </c:pt>
                <c:pt idx="1763" formatCode="#,##0">
                  <c:v>1606526</c:v>
                </c:pt>
                <c:pt idx="1764" formatCode="#,##0">
                  <c:v>1113438</c:v>
                </c:pt>
                <c:pt idx="1765">
                  <c:v>1168044</c:v>
                </c:pt>
                <c:pt idx="1766" formatCode="#,##0">
                  <c:v>1490683</c:v>
                </c:pt>
                <c:pt idx="1767" formatCode="#,##0">
                  <c:v>4673088</c:v>
                </c:pt>
                <c:pt idx="1768" formatCode="#,##0">
                  <c:v>3293745</c:v>
                </c:pt>
                <c:pt idx="1769" formatCode="#,##0">
                  <c:v>1022846</c:v>
                </c:pt>
                <c:pt idx="1770" formatCode="#,##0">
                  <c:v>1490664</c:v>
                </c:pt>
                <c:pt idx="1771" formatCode="#,##0">
                  <c:v>2309184</c:v>
                </c:pt>
                <c:pt idx="1772" formatCode="#,##0">
                  <c:v>1479530</c:v>
                </c:pt>
                <c:pt idx="1773" formatCode="#,##0">
                  <c:v>734027</c:v>
                </c:pt>
                <c:pt idx="1774" formatCode="#,##0">
                  <c:v>1524712</c:v>
                </c:pt>
                <c:pt idx="1775" formatCode="#,##0">
                  <c:v>451117</c:v>
                </c:pt>
                <c:pt idx="1776" formatCode="#,##0">
                  <c:v>1117181</c:v>
                </c:pt>
                <c:pt idx="1777">
                  <c:v>1168044</c:v>
                </c:pt>
                <c:pt idx="1778" formatCode="#,##0">
                  <c:v>1482760</c:v>
                </c:pt>
                <c:pt idx="1779">
                  <c:v>1168044</c:v>
                </c:pt>
                <c:pt idx="1780">
                  <c:v>1168044</c:v>
                </c:pt>
                <c:pt idx="1781" formatCode="#,##0">
                  <c:v>1304141</c:v>
                </c:pt>
                <c:pt idx="1782" formatCode="#,##0">
                  <c:v>1282462</c:v>
                </c:pt>
                <c:pt idx="1783" formatCode="#,##0">
                  <c:v>629698</c:v>
                </c:pt>
                <c:pt idx="1784">
                  <c:v>1168044</c:v>
                </c:pt>
                <c:pt idx="1785" formatCode="#,##0">
                  <c:v>2344429</c:v>
                </c:pt>
                <c:pt idx="1786" formatCode="#,##0">
                  <c:v>1336802</c:v>
                </c:pt>
                <c:pt idx="1787" formatCode="#,##0">
                  <c:v>803035</c:v>
                </c:pt>
                <c:pt idx="1788">
                  <c:v>1168044</c:v>
                </c:pt>
                <c:pt idx="1789" formatCode="#,##0">
                  <c:v>1920919</c:v>
                </c:pt>
                <c:pt idx="1790">
                  <c:v>1168044</c:v>
                </c:pt>
                <c:pt idx="1791">
                  <c:v>1168044</c:v>
                </c:pt>
                <c:pt idx="1792" formatCode="#,##0">
                  <c:v>1757101</c:v>
                </c:pt>
                <c:pt idx="1793" formatCode="#,##0">
                  <c:v>999001</c:v>
                </c:pt>
                <c:pt idx="1794" formatCode="#,##0">
                  <c:v>886654</c:v>
                </c:pt>
                <c:pt idx="1795" formatCode="#,##0">
                  <c:v>1633506</c:v>
                </c:pt>
                <c:pt idx="1796" formatCode="#,##0">
                  <c:v>1180964</c:v>
                </c:pt>
                <c:pt idx="1797" formatCode="#,##0">
                  <c:v>1186322</c:v>
                </c:pt>
                <c:pt idx="1798" formatCode="#,##0">
                  <c:v>1357683</c:v>
                </c:pt>
                <c:pt idx="1799" formatCode="#,##0">
                  <c:v>1126206</c:v>
                </c:pt>
                <c:pt idx="1800" formatCode="#,##0">
                  <c:v>2028934</c:v>
                </c:pt>
                <c:pt idx="1801" formatCode="#,##0">
                  <c:v>947720</c:v>
                </c:pt>
                <c:pt idx="1802" formatCode="#,##0">
                  <c:v>1520304</c:v>
                </c:pt>
                <c:pt idx="1803">
                  <c:v>1168044</c:v>
                </c:pt>
                <c:pt idx="1804" formatCode="#,##0">
                  <c:v>1495471</c:v>
                </c:pt>
                <c:pt idx="1805" formatCode="#,##0">
                  <c:v>1260574</c:v>
                </c:pt>
                <c:pt idx="1806">
                  <c:v>1168044</c:v>
                </c:pt>
                <c:pt idx="1807" formatCode="#,##0">
                  <c:v>4690454</c:v>
                </c:pt>
                <c:pt idx="1808" formatCode="#,##0">
                  <c:v>921462</c:v>
                </c:pt>
                <c:pt idx="1809" formatCode="#,##0">
                  <c:v>795511</c:v>
                </c:pt>
                <c:pt idx="1810" formatCode="#,##0">
                  <c:v>2237820</c:v>
                </c:pt>
                <c:pt idx="1811" formatCode="#,##0">
                  <c:v>1056818</c:v>
                </c:pt>
                <c:pt idx="1812" formatCode="#,##0">
                  <c:v>1283127</c:v>
                </c:pt>
                <c:pt idx="1813">
                  <c:v>1168044</c:v>
                </c:pt>
                <c:pt idx="1814" formatCode="#,##0">
                  <c:v>1583935</c:v>
                </c:pt>
                <c:pt idx="1815" formatCode="#,##0">
                  <c:v>2316613</c:v>
                </c:pt>
                <c:pt idx="1816">
                  <c:v>1168044</c:v>
                </c:pt>
                <c:pt idx="1817" formatCode="#,##0">
                  <c:v>1347822</c:v>
                </c:pt>
                <c:pt idx="1818" formatCode="#,##0">
                  <c:v>521512</c:v>
                </c:pt>
                <c:pt idx="1819" formatCode="#,##0">
                  <c:v>525160</c:v>
                </c:pt>
                <c:pt idx="1820">
                  <c:v>1168044</c:v>
                </c:pt>
                <c:pt idx="1821" formatCode="#,##0">
                  <c:v>1557753</c:v>
                </c:pt>
                <c:pt idx="1822" formatCode="#,##0">
                  <c:v>1628889</c:v>
                </c:pt>
                <c:pt idx="1823" formatCode="#,##0">
                  <c:v>757036</c:v>
                </c:pt>
                <c:pt idx="1824" formatCode="#,##0">
                  <c:v>439622</c:v>
                </c:pt>
                <c:pt idx="1825">
                  <c:v>1168044</c:v>
                </c:pt>
                <c:pt idx="1826" formatCode="#,##0">
                  <c:v>867749</c:v>
                </c:pt>
                <c:pt idx="1827">
                  <c:v>1168044</c:v>
                </c:pt>
                <c:pt idx="1828" formatCode="#,##0">
                  <c:v>751108</c:v>
                </c:pt>
                <c:pt idx="1829">
                  <c:v>1168044</c:v>
                </c:pt>
                <c:pt idx="1830">
                  <c:v>1168044</c:v>
                </c:pt>
                <c:pt idx="1831" formatCode="#,##0">
                  <c:v>852359</c:v>
                </c:pt>
                <c:pt idx="1832" formatCode="#,##0">
                  <c:v>1151172</c:v>
                </c:pt>
                <c:pt idx="1833">
                  <c:v>1168044</c:v>
                </c:pt>
                <c:pt idx="1834" formatCode="#,##0">
                  <c:v>1351546</c:v>
                </c:pt>
                <c:pt idx="1835" formatCode="#,##0">
                  <c:v>1592561</c:v>
                </c:pt>
                <c:pt idx="1836" formatCode="#,##0">
                  <c:v>728707</c:v>
                </c:pt>
                <c:pt idx="1837" formatCode="#,##0">
                  <c:v>1442328</c:v>
                </c:pt>
                <c:pt idx="1838" formatCode="#,##0">
                  <c:v>1518176</c:v>
                </c:pt>
                <c:pt idx="1839" formatCode="#,##0">
                  <c:v>558942</c:v>
                </c:pt>
                <c:pt idx="1840" formatCode="#,##0">
                  <c:v>1844444</c:v>
                </c:pt>
                <c:pt idx="1841" formatCode="#,##0">
                  <c:v>914185</c:v>
                </c:pt>
                <c:pt idx="1842">
                  <c:v>1168044</c:v>
                </c:pt>
                <c:pt idx="1843">
                  <c:v>1168044</c:v>
                </c:pt>
                <c:pt idx="1844" formatCode="#,##0">
                  <c:v>1356068</c:v>
                </c:pt>
                <c:pt idx="1845" formatCode="#,##0">
                  <c:v>1322153</c:v>
                </c:pt>
                <c:pt idx="1846" formatCode="#,##0">
                  <c:v>921272</c:v>
                </c:pt>
                <c:pt idx="1847">
                  <c:v>1168044</c:v>
                </c:pt>
                <c:pt idx="1848">
                  <c:v>1168044</c:v>
                </c:pt>
                <c:pt idx="1849" formatCode="#,##0">
                  <c:v>2649094</c:v>
                </c:pt>
                <c:pt idx="1850" formatCode="#,##0">
                  <c:v>1223030</c:v>
                </c:pt>
                <c:pt idx="1851">
                  <c:v>1168044</c:v>
                </c:pt>
                <c:pt idx="1852" formatCode="#,##0">
                  <c:v>1025981</c:v>
                </c:pt>
                <c:pt idx="1853">
                  <c:v>1168044</c:v>
                </c:pt>
                <c:pt idx="1854" formatCode="#,##0">
                  <c:v>1625678</c:v>
                </c:pt>
                <c:pt idx="1855" formatCode="#,##0">
                  <c:v>2178122</c:v>
                </c:pt>
                <c:pt idx="1856">
                  <c:v>1168044</c:v>
                </c:pt>
                <c:pt idx="1857" formatCode="#,##0">
                  <c:v>1141710</c:v>
                </c:pt>
                <c:pt idx="1858" formatCode="#,##0">
                  <c:v>405859</c:v>
                </c:pt>
                <c:pt idx="1859">
                  <c:v>1168044</c:v>
                </c:pt>
                <c:pt idx="1860" formatCode="#,##0">
                  <c:v>777822</c:v>
                </c:pt>
                <c:pt idx="1861">
                  <c:v>1168044</c:v>
                </c:pt>
                <c:pt idx="1862" formatCode="#,##0">
                  <c:v>1653589</c:v>
                </c:pt>
                <c:pt idx="1863" formatCode="#,##0">
                  <c:v>358701</c:v>
                </c:pt>
                <c:pt idx="1864" formatCode="#,##0">
                  <c:v>1231048</c:v>
                </c:pt>
                <c:pt idx="1865" formatCode="#,##0">
                  <c:v>808583</c:v>
                </c:pt>
                <c:pt idx="1866" formatCode="#,##0">
                  <c:v>561906</c:v>
                </c:pt>
                <c:pt idx="1867" formatCode="#,##0">
                  <c:v>945630</c:v>
                </c:pt>
                <c:pt idx="1868" formatCode="#,##0">
                  <c:v>1682469</c:v>
                </c:pt>
                <c:pt idx="1869" formatCode="#,##0">
                  <c:v>2908748</c:v>
                </c:pt>
                <c:pt idx="1870" formatCode="#,##0">
                  <c:v>192166</c:v>
                </c:pt>
                <c:pt idx="1871" formatCode="#,##0">
                  <c:v>1765290</c:v>
                </c:pt>
                <c:pt idx="1872" formatCode="#,##0">
                  <c:v>869022</c:v>
                </c:pt>
                <c:pt idx="1873" formatCode="#,##0">
                  <c:v>648508</c:v>
                </c:pt>
                <c:pt idx="1874" formatCode="#,##0">
                  <c:v>1828104</c:v>
                </c:pt>
                <c:pt idx="1875" formatCode="#,##0">
                  <c:v>379050</c:v>
                </c:pt>
                <c:pt idx="1876" formatCode="#,##0">
                  <c:v>2372625</c:v>
                </c:pt>
                <c:pt idx="1877">
                  <c:v>1168044</c:v>
                </c:pt>
                <c:pt idx="1878" formatCode="#,##0">
                  <c:v>965770</c:v>
                </c:pt>
                <c:pt idx="1879" formatCode="#,##0">
                  <c:v>759544</c:v>
                </c:pt>
                <c:pt idx="1880" formatCode="#,##0">
                  <c:v>488262</c:v>
                </c:pt>
                <c:pt idx="1881">
                  <c:v>1168044</c:v>
                </c:pt>
                <c:pt idx="1882" formatCode="#,##0">
                  <c:v>1331444</c:v>
                </c:pt>
                <c:pt idx="1883" formatCode="#,##0">
                  <c:v>2198110</c:v>
                </c:pt>
                <c:pt idx="1884" formatCode="#,##0">
                  <c:v>1086667</c:v>
                </c:pt>
                <c:pt idx="1885" formatCode="#,##0">
                  <c:v>1124496</c:v>
                </c:pt>
                <c:pt idx="1886" formatCode="#,##0">
                  <c:v>807595</c:v>
                </c:pt>
                <c:pt idx="1887" formatCode="#,##0">
                  <c:v>797012</c:v>
                </c:pt>
                <c:pt idx="1888" formatCode="#,##0">
                  <c:v>2187850</c:v>
                </c:pt>
                <c:pt idx="1889" formatCode="#,##0">
                  <c:v>2444806</c:v>
                </c:pt>
                <c:pt idx="1890" formatCode="#,##0">
                  <c:v>1835058</c:v>
                </c:pt>
                <c:pt idx="1891" formatCode="#,##0">
                  <c:v>2129919</c:v>
                </c:pt>
                <c:pt idx="1892" formatCode="#,##0">
                  <c:v>1139601</c:v>
                </c:pt>
                <c:pt idx="1893" formatCode="#,##0">
                  <c:v>801154</c:v>
                </c:pt>
                <c:pt idx="1894">
                  <c:v>1168044</c:v>
                </c:pt>
                <c:pt idx="1895">
                  <c:v>1168044</c:v>
                </c:pt>
                <c:pt idx="1896" formatCode="#,##0">
                  <c:v>968145</c:v>
                </c:pt>
                <c:pt idx="1897" formatCode="#,##0">
                  <c:v>1236444</c:v>
                </c:pt>
                <c:pt idx="1898" formatCode="#,##0">
                  <c:v>936130</c:v>
                </c:pt>
                <c:pt idx="1899">
                  <c:v>1168044</c:v>
                </c:pt>
                <c:pt idx="1900" formatCode="#,##0">
                  <c:v>722019</c:v>
                </c:pt>
                <c:pt idx="1901" formatCode="#,##0">
                  <c:v>858078</c:v>
                </c:pt>
                <c:pt idx="1902" formatCode="#,##0">
                  <c:v>1304198</c:v>
                </c:pt>
                <c:pt idx="1903" formatCode="#,##0">
                  <c:v>595384</c:v>
                </c:pt>
                <c:pt idx="1904" formatCode="#,##0">
                  <c:v>2132788</c:v>
                </c:pt>
                <c:pt idx="1905" formatCode="#,##0">
                  <c:v>1907410</c:v>
                </c:pt>
                <c:pt idx="1906" formatCode="#,##0">
                  <c:v>1949115</c:v>
                </c:pt>
                <c:pt idx="1907" formatCode="#,##0">
                  <c:v>1389375</c:v>
                </c:pt>
                <c:pt idx="1908" formatCode="#,##0">
                  <c:v>1253145</c:v>
                </c:pt>
                <c:pt idx="1909">
                  <c:v>1168044</c:v>
                </c:pt>
                <c:pt idx="1910" formatCode="#,##0">
                  <c:v>690764</c:v>
                </c:pt>
                <c:pt idx="1911" formatCode="#,##0">
                  <c:v>1770173</c:v>
                </c:pt>
                <c:pt idx="1912" formatCode="#,##0">
                  <c:v>1619199</c:v>
                </c:pt>
                <c:pt idx="1913" formatCode="#,##0">
                  <c:v>3203514</c:v>
                </c:pt>
                <c:pt idx="1914" formatCode="#,##0">
                  <c:v>1538392</c:v>
                </c:pt>
                <c:pt idx="1915" formatCode="#,##0">
                  <c:v>1900190</c:v>
                </c:pt>
                <c:pt idx="1916" formatCode="#,##0">
                  <c:v>1683400</c:v>
                </c:pt>
                <c:pt idx="1917" formatCode="#,##0">
                  <c:v>1166904</c:v>
                </c:pt>
                <c:pt idx="1918" formatCode="#,##0">
                  <c:v>1161660</c:v>
                </c:pt>
                <c:pt idx="1919" formatCode="#,##0">
                  <c:v>4374180</c:v>
                </c:pt>
                <c:pt idx="1920" formatCode="#,##0">
                  <c:v>2620176</c:v>
                </c:pt>
                <c:pt idx="1921">
                  <c:v>1168044</c:v>
                </c:pt>
                <c:pt idx="1922" formatCode="#,##0">
                  <c:v>1140912</c:v>
                </c:pt>
                <c:pt idx="1923">
                  <c:v>1168044</c:v>
                </c:pt>
                <c:pt idx="1924" formatCode="#,##0">
                  <c:v>572451</c:v>
                </c:pt>
                <c:pt idx="1925" formatCode="#,##0">
                  <c:v>1044639</c:v>
                </c:pt>
                <c:pt idx="1926" formatCode="#,##0">
                  <c:v>1087009</c:v>
                </c:pt>
                <c:pt idx="1927">
                  <c:v>1168044</c:v>
                </c:pt>
                <c:pt idx="1928" formatCode="#,##0">
                  <c:v>1448275</c:v>
                </c:pt>
                <c:pt idx="1929" formatCode="#,##0">
                  <c:v>1926467</c:v>
                </c:pt>
                <c:pt idx="1930" formatCode="#,##0">
                  <c:v>941830</c:v>
                </c:pt>
                <c:pt idx="1931">
                  <c:v>1168044</c:v>
                </c:pt>
                <c:pt idx="1932" formatCode="#,##0">
                  <c:v>668002</c:v>
                </c:pt>
                <c:pt idx="1933" formatCode="#,##0">
                  <c:v>2607199</c:v>
                </c:pt>
                <c:pt idx="1934" formatCode="#,##0">
                  <c:v>1874844</c:v>
                </c:pt>
                <c:pt idx="1935" formatCode="#,##0">
                  <c:v>1060675</c:v>
                </c:pt>
                <c:pt idx="1936" formatCode="#,##0">
                  <c:v>1084425</c:v>
                </c:pt>
                <c:pt idx="1937" formatCode="#,##0">
                  <c:v>692550</c:v>
                </c:pt>
                <c:pt idx="1938" formatCode="#,##0">
                  <c:v>1365131</c:v>
                </c:pt>
                <c:pt idx="1939" formatCode="#,##0">
                  <c:v>1398647</c:v>
                </c:pt>
                <c:pt idx="1940" formatCode="#,##0">
                  <c:v>2094598</c:v>
                </c:pt>
                <c:pt idx="1941">
                  <c:v>1168044</c:v>
                </c:pt>
                <c:pt idx="1942" formatCode="#,##0">
                  <c:v>845861</c:v>
                </c:pt>
                <c:pt idx="1943">
                  <c:v>1168044</c:v>
                </c:pt>
                <c:pt idx="1944" formatCode="#,##0">
                  <c:v>1142166</c:v>
                </c:pt>
                <c:pt idx="1945" formatCode="#,##0">
                  <c:v>593427</c:v>
                </c:pt>
                <c:pt idx="1946" formatCode="#,##0">
                  <c:v>2510755</c:v>
                </c:pt>
                <c:pt idx="1947">
                  <c:v>1168044</c:v>
                </c:pt>
                <c:pt idx="1948" formatCode="#,##0">
                  <c:v>3451464</c:v>
                </c:pt>
                <c:pt idx="1949" formatCode="#,##0">
                  <c:v>1731926</c:v>
                </c:pt>
                <c:pt idx="1950" formatCode="#,##0">
                  <c:v>1038616</c:v>
                </c:pt>
                <c:pt idx="1951" formatCode="#,##0">
                  <c:v>2705220</c:v>
                </c:pt>
                <c:pt idx="1952" formatCode="#,##0">
                  <c:v>511442</c:v>
                </c:pt>
                <c:pt idx="1953" formatCode="#,##0">
                  <c:v>1331064</c:v>
                </c:pt>
                <c:pt idx="1954" formatCode="#,##0">
                  <c:v>1010325</c:v>
                </c:pt>
                <c:pt idx="1955" formatCode="#,##0">
                  <c:v>813162</c:v>
                </c:pt>
                <c:pt idx="1956" formatCode="#,##0">
                  <c:v>992047</c:v>
                </c:pt>
                <c:pt idx="1957" formatCode="#,##0">
                  <c:v>864120</c:v>
                </c:pt>
                <c:pt idx="1958" formatCode="#,##0">
                  <c:v>2081583</c:v>
                </c:pt>
                <c:pt idx="1959" formatCode="#,##0">
                  <c:v>2104630</c:v>
                </c:pt>
                <c:pt idx="1960" formatCode="#,##0">
                  <c:v>2315872</c:v>
                </c:pt>
                <c:pt idx="1961" formatCode="#,##0">
                  <c:v>502645</c:v>
                </c:pt>
                <c:pt idx="1962" formatCode="#,##0">
                  <c:v>2323472</c:v>
                </c:pt>
                <c:pt idx="1963" formatCode="#,##0">
                  <c:v>2318532</c:v>
                </c:pt>
                <c:pt idx="1964">
                  <c:v>1168044</c:v>
                </c:pt>
                <c:pt idx="1965" formatCode="#,##0">
                  <c:v>1453937</c:v>
                </c:pt>
                <c:pt idx="1966" formatCode="#,##0">
                  <c:v>944775</c:v>
                </c:pt>
                <c:pt idx="1967" formatCode="#,##0">
                  <c:v>1504819</c:v>
                </c:pt>
                <c:pt idx="1968" formatCode="#,##0">
                  <c:v>1198387</c:v>
                </c:pt>
                <c:pt idx="1969" formatCode="#,##0">
                  <c:v>529872</c:v>
                </c:pt>
                <c:pt idx="1970" formatCode="#,##0">
                  <c:v>1318695</c:v>
                </c:pt>
                <c:pt idx="1971" formatCode="#,##0">
                  <c:v>222718</c:v>
                </c:pt>
                <c:pt idx="1972" formatCode="#,##0">
                  <c:v>1280125</c:v>
                </c:pt>
                <c:pt idx="1973" formatCode="#,##0">
                  <c:v>1530108</c:v>
                </c:pt>
                <c:pt idx="1974" formatCode="#,##0">
                  <c:v>1044696</c:v>
                </c:pt>
                <c:pt idx="1975" formatCode="#,##0">
                  <c:v>761520</c:v>
                </c:pt>
                <c:pt idx="1976" formatCode="#,##0">
                  <c:v>975555</c:v>
                </c:pt>
                <c:pt idx="1977" formatCode="#,##0">
                  <c:v>720119</c:v>
                </c:pt>
                <c:pt idx="1978">
                  <c:v>1168044</c:v>
                </c:pt>
                <c:pt idx="1979" formatCode="#,##0">
                  <c:v>936035</c:v>
                </c:pt>
                <c:pt idx="1980" formatCode="#,##0">
                  <c:v>862277</c:v>
                </c:pt>
                <c:pt idx="1981" formatCode="#,##0">
                  <c:v>2885226</c:v>
                </c:pt>
                <c:pt idx="1982" formatCode="#,##0">
                  <c:v>526794</c:v>
                </c:pt>
                <c:pt idx="1983" formatCode="#,##0">
                  <c:v>4060091</c:v>
                </c:pt>
                <c:pt idx="1984" formatCode="#,##0">
                  <c:v>856900</c:v>
                </c:pt>
                <c:pt idx="1985" formatCode="#,##0">
                  <c:v>1042929</c:v>
                </c:pt>
                <c:pt idx="1986" formatCode="#,##0">
                  <c:v>630268</c:v>
                </c:pt>
                <c:pt idx="1987" formatCode="#,##0">
                  <c:v>600761</c:v>
                </c:pt>
                <c:pt idx="1988" formatCode="#,##0">
                  <c:v>718542</c:v>
                </c:pt>
                <c:pt idx="1989">
                  <c:v>1168044</c:v>
                </c:pt>
                <c:pt idx="1990" formatCode="#,##0">
                  <c:v>553755</c:v>
                </c:pt>
                <c:pt idx="1991" formatCode="#,##0">
                  <c:v>653144</c:v>
                </c:pt>
                <c:pt idx="1992" formatCode="#,##0">
                  <c:v>1490360</c:v>
                </c:pt>
                <c:pt idx="1993" formatCode="#,##0">
                  <c:v>411027</c:v>
                </c:pt>
                <c:pt idx="1994" formatCode="#,##0">
                  <c:v>577467</c:v>
                </c:pt>
                <c:pt idx="1995" formatCode="#,##0">
                  <c:v>1910640</c:v>
                </c:pt>
                <c:pt idx="1996">
                  <c:v>1168044</c:v>
                </c:pt>
                <c:pt idx="1997" formatCode="#,##0">
                  <c:v>714457</c:v>
                </c:pt>
                <c:pt idx="1998" formatCode="#,##0">
                  <c:v>2001783</c:v>
                </c:pt>
                <c:pt idx="1999" formatCode="#,##0">
                  <c:v>849110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66-4B1C-A81A-3A2F259C0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627839"/>
        <c:axId val="1918631167"/>
      </c:scatterChart>
      <c:valAx>
        <c:axId val="1918627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8631167"/>
        <c:crosses val="autoZero"/>
        <c:crossBetween val="midCat"/>
      </c:valAx>
      <c:valAx>
        <c:axId val="191863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8627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0</xdr:colOff>
      <xdr:row>0</xdr:row>
      <xdr:rowOff>28575</xdr:rowOff>
    </xdr:from>
    <xdr:to>
      <xdr:col>63</xdr:col>
      <xdr:colOff>304800</xdr:colOff>
      <xdr:row>15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53EF65E-EFA0-42B1-87AB-F050309E5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Иван Бедак" refreshedDate="44468.700703703704" createdVersion="7" refreshedVersion="7" minRefreshableVersion="3" recordCount="2000">
  <cacheSource type="worksheet">
    <worksheetSource name="Таблица1"/>
  </cacheSource>
  <cacheFields count="21">
    <cacheField name="Номер  договора" numFmtId="0">
      <sharedItems containsSemiMixedTypes="0" containsString="0" containsNumber="1" containsInteger="1" minValue="1" maxValue="2000"/>
    </cacheField>
    <cacheField name="Число нарушений кредитных договоров" numFmtId="0">
      <sharedItems containsSemiMixedTypes="0" containsString="0" containsNumber="1" containsInteger="1" minValue="0" maxValue="7"/>
    </cacheField>
    <cacheField name="Размер кредита" numFmtId="2">
      <sharedItems containsString="0" containsBlank="1" containsNumber="1" containsInteger="1" minValue="21824" maxValue="789096"/>
    </cacheField>
    <cacheField name="Кредитный рейтинг" numFmtId="0">
      <sharedItems containsSemiMixedTypes="0" containsString="0" containsNumber="1" containsInteger="1" minValue="586" maxValue="751"/>
    </cacheField>
    <cacheField name="Годовой доход" numFmtId="0">
      <sharedItems containsSemiMixedTypes="0" containsString="0" containsNumber="1" containsInteger="1" minValue="185782" maxValue="9057984"/>
    </cacheField>
    <cacheField name="Срок с последнего нарушения кредитного договора (мес.)" numFmtId="0">
      <sharedItems containsSemiMixedTypes="0" containsString="0" containsNumber="1" containsInteger="1" minValue="0" maxValue="88"/>
    </cacheField>
    <cacheField name="Ежемесячный платеж" numFmtId="0">
      <sharedItems containsSemiMixedTypes="0" containsString="0" containsNumber="1" minValue="0" maxValue="105676.48"/>
    </cacheField>
    <cacheField name="Срок кредитной истории (лет)" numFmtId="0">
      <sharedItems containsSemiMixedTypes="0" containsString="0" containsNumber="1" minValue="4.5" maxValue="50.1"/>
    </cacheField>
    <cacheField name="Количество кредитных карт" numFmtId="0">
      <sharedItems containsSemiMixedTypes="0" containsString="0" containsNumber="1" containsInteger="1" minValue="1" maxValue="43"/>
    </cacheField>
    <cacheField name="Текущий баланс кредитов" numFmtId="0">
      <sharedItems containsSemiMixedTypes="0" containsString="0" containsNumber="1" containsInteger="1" minValue="0" maxValue="5246261"/>
    </cacheField>
    <cacheField name="Максимальный выданный кредит" numFmtId="0">
      <sharedItems containsString="0" containsBlank="1" containsNumber="1" containsInteger="1" minValue="0" maxValue="14822676"/>
    </cacheField>
    <cacheField name="Стаж работы на текущем месте" numFmtId="0">
      <sharedItems count="11">
        <s v="8 лет"/>
        <s v="10+ лет"/>
        <s v="3 года"/>
        <s v="5 лет"/>
        <s v="&lt; 1 года"/>
        <s v="2 года"/>
        <s v="4 года"/>
        <s v="9 лет"/>
        <s v="7 лет"/>
        <s v="1 год"/>
        <s v="6 лет"/>
      </sharedItems>
    </cacheField>
    <cacheField name="Идентификатор клиента" numFmtId="0">
      <sharedItems/>
    </cacheField>
    <cacheField name="Цель кредита" numFmtId="0">
      <sharedItems/>
    </cacheField>
    <cacheField name="Недвижимость" numFmtId="0">
      <sharedItems/>
    </cacheField>
    <cacheField name="Срок кредита" numFmtId="0">
      <sharedItems/>
    </cacheField>
    <cacheField name="Статус кредита" numFmtId="0">
      <sharedItems count="2">
        <s v="погашен"/>
        <s v="не погашен"/>
      </sharedItems>
    </cacheField>
    <cacheField name="Столбец1" numFmtId="0">
      <sharedItems/>
    </cacheField>
    <cacheField name="минамакс размер кредита" numFmtId="2">
      <sharedItems containsString="0" containsBlank="1" containsNumber="1" minValue="0" maxValue="1"/>
    </cacheField>
    <cacheField name="Столбец2" numFmtId="2">
      <sharedItems containsSemiMixedTypes="0" containsString="0" containsNumber="1" minValue="0" maxValue="1"/>
    </cacheField>
    <cacheField name="Столбец3" numFmtId="2">
      <sharedItems containsSemiMixedTypes="0" containsString="0" containsNumber="1" minValue="0" maxValue="1.00343158305680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0">
  <r>
    <n v="1"/>
    <n v="1"/>
    <n v="445412"/>
    <n v="709"/>
    <n v="1167493"/>
    <n v="0"/>
    <n v="5214.74"/>
    <n v="17.2"/>
    <n v="6"/>
    <n v="228190"/>
    <n v="416746"/>
    <x v="0"/>
    <s v="981165ec-3274-42f5-a3b4-d104041a9ca9"/>
    <s v="ремонт жилья"/>
    <s v="в ипотеке"/>
    <s v="краткосрочный"/>
    <x v="0"/>
    <b v="0"/>
    <n v="0.55207019153572656"/>
    <n v="0.74545454545454548"/>
    <n v="5.3599362051849564E-2"/>
  </r>
  <r>
    <n v="2"/>
    <n v="0"/>
    <n v="262328"/>
    <n v="723"/>
    <n v="1168044"/>
    <n v="8"/>
    <n v="33295.980000000003"/>
    <n v="21.1"/>
    <n v="35"/>
    <n v="229976"/>
    <n v="850784"/>
    <x v="1"/>
    <s v="2de017a3-2e01-49cb-a581-08169e83be29"/>
    <s v="консолидация кредитов"/>
    <s v="в ипотеке"/>
    <s v="краткосрочный"/>
    <x v="0"/>
    <b v="0"/>
    <n v="0.31345337768092674"/>
    <n v="0.83030303030303032"/>
    <n v="0.34206910013663872"/>
  </r>
  <r>
    <n v="3"/>
    <n v="1"/>
    <m/>
    <n v="741"/>
    <n v="2231892"/>
    <n v="29"/>
    <n v="29200.53"/>
    <n v="14.9"/>
    <n v="18"/>
    <n v="297996"/>
    <n v="750090"/>
    <x v="0"/>
    <s v="5efb2b2b-bf11-4dfd-a572-3761a2694725"/>
    <s v="консолидация кредитов"/>
    <s v="в собственности"/>
    <s v="краткосрочный"/>
    <x v="0"/>
    <b v="0"/>
    <m/>
    <n v="0.93939393939393945"/>
    <n v="0.15699969353355808"/>
  </r>
  <r>
    <n v="4"/>
    <n v="0"/>
    <n v="347666"/>
    <n v="721"/>
    <n v="806949"/>
    <n v="0"/>
    <n v="8741.9"/>
    <n v="12"/>
    <n v="9"/>
    <n v="256329"/>
    <n v="386958"/>
    <x v="2"/>
    <s v="e777faab-98ae-45af-9a86-7ce5b33b1011"/>
    <s v="консолидация кредитов"/>
    <s v="в собственности"/>
    <s v="долгосрочный"/>
    <x v="0"/>
    <b v="0"/>
    <n v="0.42467599495354974"/>
    <n v="0.81818181818181823"/>
    <n v="0.12999929363565726"/>
  </r>
  <r>
    <n v="5"/>
    <n v="0"/>
    <n v="176220"/>
    <n v="723"/>
    <n v="1168044"/>
    <n v="0"/>
    <n v="20639.7"/>
    <n v="6.1"/>
    <n v="15"/>
    <n v="253460"/>
    <n v="427174"/>
    <x v="3"/>
    <s v="81536ad9-5ccf-4eb8-befb-47a4d608658e"/>
    <s v="консолидация кредитов"/>
    <s v="в аренде"/>
    <s v="краткосрочный"/>
    <x v="0"/>
    <b v="0"/>
    <n v="0.20122720495469665"/>
    <n v="0.83030303030303032"/>
    <n v="0.21204372438024596"/>
  </r>
  <r>
    <n v="6"/>
    <n v="0"/>
    <n v="206602"/>
    <n v="729"/>
    <n v="896857"/>
    <n v="0"/>
    <n v="16367.74"/>
    <n v="17.3"/>
    <n v="6"/>
    <n v="215308"/>
    <n v="272448"/>
    <x v="1"/>
    <s v="4ffe99d3-7f2a-44db-afc1-40943f1f9750"/>
    <s v="консолидация кредитов"/>
    <s v="в ипотеке"/>
    <s v="краткосрочный"/>
    <x v="1"/>
    <b v="0"/>
    <n v="0.24082463585273542"/>
    <n v="0.8666666666666667"/>
    <n v="0.21900133466093258"/>
  </r>
  <r>
    <n v="7"/>
    <n v="1"/>
    <n v="217646"/>
    <n v="730"/>
    <n v="1184194"/>
    <n v="10"/>
    <n v="10855.08"/>
    <n v="19.600000000000001"/>
    <n v="13"/>
    <n v="122170"/>
    <n v="272052"/>
    <x v="4"/>
    <s v="90a75dde-34d5-419c-90dc-1e58b04b3e35"/>
    <s v="консолидация кредитов"/>
    <s v="в ипотеке"/>
    <s v="краткосрочный"/>
    <x v="0"/>
    <b v="0"/>
    <n v="0.25521848835875671"/>
    <n v="0.87272727272727268"/>
    <n v="0.10999967910663287"/>
  </r>
  <r>
    <n v="8"/>
    <n v="0"/>
    <n v="648714"/>
    <n v="723"/>
    <n v="1168044"/>
    <n v="8"/>
    <n v="14806.13"/>
    <n v="8.1999999999999993"/>
    <n v="15"/>
    <n v="193306"/>
    <n v="864204"/>
    <x v="4"/>
    <s v="018973c9-e316-4956-b363-67e134fb0931"/>
    <s v="приобретение жилья"/>
    <s v="в ипотеке"/>
    <s v="долгосрочный"/>
    <x v="1"/>
    <b v="0"/>
    <n v="0.8170375043009519"/>
    <n v="0.83030303030303032"/>
    <n v="0.15211204372438022"/>
  </r>
  <r>
    <n v="9"/>
    <n v="0"/>
    <n v="548746"/>
    <n v="678"/>
    <n v="2559110"/>
    <n v="33"/>
    <n v="18660.28"/>
    <n v="22.6"/>
    <n v="4"/>
    <n v="437171"/>
    <n v="555038"/>
    <x v="5"/>
    <s v="af534dea-d27e-4fd6-9de8-efaa52a78ec0"/>
    <s v="консолидация кредитов"/>
    <s v="в аренде"/>
    <s v="краткосрочный"/>
    <x v="0"/>
    <b v="0"/>
    <n v="0.68674733340979466"/>
    <n v="0.55757575757575761"/>
    <n v="8.7500482589650305E-2"/>
  </r>
  <r>
    <n v="10"/>
    <n v="0"/>
    <n v="215952"/>
    <n v="739"/>
    <n v="1454735"/>
    <n v="0"/>
    <n v="39277.75"/>
    <n v="13.9"/>
    <n v="20"/>
    <n v="669560"/>
    <n v="1021460"/>
    <x v="4"/>
    <s v="235c4a43-dadf-483d-aa44-9d6d77ae4583"/>
    <s v="консолидация кредитов"/>
    <s v="в аренде"/>
    <s v="краткосрочный"/>
    <x v="0"/>
    <b v="0"/>
    <n v="0.2530106663608212"/>
    <n v="0.92727272727272725"/>
    <n v="0.32399921635211909"/>
  </r>
  <r>
    <n v="11"/>
    <n v="0"/>
    <m/>
    <n v="728"/>
    <n v="714628"/>
    <n v="76"/>
    <n v="11851.06"/>
    <n v="16"/>
    <n v="16"/>
    <n v="203965"/>
    <n v="289784"/>
    <x v="2"/>
    <s v="0de7bcdb-ebf4-4608-ba39-05f083f855b6"/>
    <s v="консолидация кредитов"/>
    <s v="в аренде"/>
    <s v="краткосрочный"/>
    <x v="0"/>
    <b v="0"/>
    <m/>
    <n v="0.8606060606060606"/>
    <n v="0.19900244602786343"/>
  </r>
  <r>
    <n v="12"/>
    <n v="0"/>
    <n v="541970"/>
    <n v="723"/>
    <n v="1168044"/>
    <n v="0"/>
    <n v="23568.55"/>
    <n v="23.2"/>
    <n v="23"/>
    <n v="60705"/>
    <n v="1634468"/>
    <x v="1"/>
    <s v="aa0a6a22-a95e-48e0-ba4f-b83456d424e4"/>
    <s v="ремонт жилья"/>
    <s v="в ипотеке"/>
    <s v="краткосрочный"/>
    <x v="0"/>
    <b v="0"/>
    <n v="0.6779160454180525"/>
    <n v="0.83030303030303032"/>
    <n v="0.24213351551825102"/>
  </r>
  <r>
    <n v="13"/>
    <n v="0"/>
    <m/>
    <n v="740"/>
    <n v="776188"/>
    <n v="25"/>
    <n v="11578.22"/>
    <n v="8.5"/>
    <n v="6"/>
    <n v="134083"/>
    <n v="220220"/>
    <x v="4"/>
    <s v="11581f68-de3c-49d8-80d9-22268ebb323b"/>
    <s v="консолидация кредитов"/>
    <s v="в собственности"/>
    <s v="краткосрочный"/>
    <x v="0"/>
    <b v="0"/>
    <m/>
    <n v="0.93333333333333335"/>
    <n v="0.17900127288749632"/>
  </r>
  <r>
    <n v="14"/>
    <n v="1"/>
    <m/>
    <n v="743"/>
    <n v="1560907"/>
    <n v="0"/>
    <n v="17560.37"/>
    <n v="13.3"/>
    <n v="10"/>
    <n v="225549"/>
    <n v="496474"/>
    <x v="6"/>
    <s v="900c9191-2c20-4688-af7e-07c59b5d5a24"/>
    <s v="консолидация кредитов"/>
    <s v="в аренде"/>
    <s v="краткосрочный"/>
    <x v="0"/>
    <b v="0"/>
    <m/>
    <n v="0.95151515151515154"/>
    <n v="0.13500127810305163"/>
  </r>
  <r>
    <n v="15"/>
    <n v="1"/>
    <n v="234124"/>
    <n v="727"/>
    <n v="693234"/>
    <n v="46"/>
    <n v="14211.24"/>
    <n v="24.7"/>
    <n v="10"/>
    <n v="28291"/>
    <n v="107052"/>
    <x v="1"/>
    <s v="2ac05980-7848-4692-89ae-9321afe650f8"/>
    <s v="консолидация кредитов"/>
    <s v="в аренде"/>
    <s v="краткосрочный"/>
    <x v="0"/>
    <b v="0"/>
    <n v="0.27669457506594791"/>
    <n v="0.8545454545454545"/>
    <n v="0.2459990133201776"/>
  </r>
  <r>
    <n v="16"/>
    <n v="0"/>
    <n v="449020"/>
    <n v="723"/>
    <n v="1168044"/>
    <n v="0"/>
    <n v="18904.810000000001"/>
    <n v="19.399999999999999"/>
    <n v="8"/>
    <n v="334533"/>
    <n v="428956"/>
    <x v="7"/>
    <s v="3ec886e7-f15d-4c35-83d0-bdec4817ae4b"/>
    <s v="консолидация кредитов"/>
    <s v="в собственности"/>
    <s v="долгосрочный"/>
    <x v="0"/>
    <b v="0"/>
    <n v="0.5567725656611997"/>
    <n v="0.83030303030303032"/>
    <n v="0.19422018348623854"/>
  </r>
  <r>
    <n v="17"/>
    <n v="0"/>
    <n v="653004"/>
    <n v="723"/>
    <n v="1168044"/>
    <n v="0"/>
    <n v="14537.09"/>
    <n v="20.5"/>
    <n v="9"/>
    <n v="302309"/>
    <n v="413754"/>
    <x v="8"/>
    <s v="abb4c446-08ea-49ff-aeb8-5e1e9da673e7"/>
    <s v="консолидация кредитов"/>
    <s v="в ипотеке"/>
    <s v="долгосрочный"/>
    <x v="1"/>
    <b v="0"/>
    <n v="0.82262874182819135"/>
    <n v="0.83030303030303032"/>
    <n v="0.14934803825883272"/>
  </r>
  <r>
    <n v="18"/>
    <n v="0"/>
    <n v="666204"/>
    <n v="723"/>
    <n v="1821967"/>
    <n v="34"/>
    <n v="17612.240000000002"/>
    <n v="22"/>
    <n v="15"/>
    <n v="813694"/>
    <n v="2004618"/>
    <x v="1"/>
    <s v="967e8733-7189-49b7-a3ab-6a1d0e1abdac"/>
    <s v="консолидация кредитов"/>
    <s v="в ипотеке"/>
    <s v="долгосрочный"/>
    <x v="0"/>
    <b v="0"/>
    <n v="0.83983254960431242"/>
    <n v="0.83030303030303032"/>
    <n v="0.1159992908762892"/>
  </r>
  <r>
    <n v="19"/>
    <n v="1"/>
    <n v="66396"/>
    <n v="723"/>
    <n v="1168044"/>
    <n v="0"/>
    <n v="9898.81"/>
    <n v="27.1"/>
    <n v="23"/>
    <n v="9728"/>
    <n v="402380"/>
    <x v="1"/>
    <s v="c67b2cb5-9f91-4bcb-9a03-03d1589c6c1a"/>
    <s v="консолидация кредитов"/>
    <s v="в аренде"/>
    <s v="краткосрочный"/>
    <x v="0"/>
    <b v="0"/>
    <n v="5.8091524257368965E-2"/>
    <n v="0.83030303030303032"/>
    <n v="0.10169627171579153"/>
  </r>
  <r>
    <n v="20"/>
    <n v="0"/>
    <n v="390390"/>
    <n v="747"/>
    <n v="1791738"/>
    <n v="0"/>
    <n v="2478.5500000000002"/>
    <n v="22.7"/>
    <n v="6"/>
    <n v="121182"/>
    <n v="801812"/>
    <x v="0"/>
    <s v="422f9b72-5041-407c-8ac4-982213deacd1"/>
    <s v="ремонт жилья"/>
    <s v="в ипотеке"/>
    <s v="краткосрочный"/>
    <x v="0"/>
    <b v="0"/>
    <n v="0.48035898612226174"/>
    <n v="0.97575757575757571"/>
    <n v="1.6599860024177644E-2"/>
  </r>
  <r>
    <n v="21"/>
    <n v="0"/>
    <n v="317108"/>
    <n v="687"/>
    <n v="1133274"/>
    <n v="53"/>
    <n v="9632.81"/>
    <n v="17.399999999999999"/>
    <n v="4"/>
    <n v="60287"/>
    <n v="126940"/>
    <x v="0"/>
    <s v="40f729c9-54c7-4768-9fb5-2fa41d074c48"/>
    <s v="консолидация кредитов"/>
    <s v="в аренде"/>
    <s v="долгосрочный"/>
    <x v="1"/>
    <b v="0"/>
    <n v="0.38484917995182932"/>
    <n v="0.61212121212121207"/>
    <n v="0.10199979881299667"/>
  </r>
  <r>
    <n v="22"/>
    <n v="0"/>
    <n v="128238"/>
    <n v="750"/>
    <n v="1354073"/>
    <n v="0"/>
    <n v="13202.15"/>
    <n v="11.9"/>
    <n v="7"/>
    <n v="131936"/>
    <n v="458788"/>
    <x v="4"/>
    <s v="016c5139-4da2-44ba-a0a6-7b23597526a8"/>
    <s v="консолидация кредитов"/>
    <s v="в аренде"/>
    <s v="краткосрочный"/>
    <x v="0"/>
    <b v="0"/>
    <n v="0.13869136368849638"/>
    <n v="0.9939393939393939"/>
    <n v="0.11699945276214797"/>
  </r>
  <r>
    <n v="23"/>
    <n v="0"/>
    <n v="153252"/>
    <n v="714"/>
    <n v="1890690"/>
    <n v="0"/>
    <n v="21900.35"/>
    <n v="15.7"/>
    <n v="12"/>
    <n v="891594"/>
    <n v="1081014"/>
    <x v="5"/>
    <s v="5b53e176-8fc7-48bf-9d78-ceb5aa284f36"/>
    <s v="консолидация кредитов"/>
    <s v="в аренде"/>
    <s v="краткосрочный"/>
    <x v="1"/>
    <b v="0"/>
    <n v="0.17129257942424589"/>
    <n v="0.77575757575757576"/>
    <n v="0.13899909556828458"/>
  </r>
  <r>
    <n v="24"/>
    <n v="0"/>
    <n v="91894"/>
    <n v="724"/>
    <n v="850383"/>
    <n v="0"/>
    <n v="5860.74"/>
    <n v="17.5"/>
    <n v="7"/>
    <n v="95608"/>
    <n v="230626"/>
    <x v="1"/>
    <s v="eb166545-76e5-43ae-8c64-3fe5ebb9c729"/>
    <s v="консолидация кредитов"/>
    <s v="в ипотеке"/>
    <s v="краткосрочный"/>
    <x v="0"/>
    <b v="0"/>
    <n v="9.132354627824292E-2"/>
    <n v="0.83636363636363631"/>
    <n v="8.2702594007641253E-2"/>
  </r>
  <r>
    <n v="25"/>
    <n v="1"/>
    <n v="244926"/>
    <n v="704"/>
    <n v="1249953"/>
    <n v="0"/>
    <n v="6812.26"/>
    <n v="14.4"/>
    <n v="6"/>
    <n v="143051"/>
    <n v="245014"/>
    <x v="6"/>
    <s v="54f57722-2473-4dd8-b69b-82b5b0c1c9f9"/>
    <s v="консолидация кредитов"/>
    <s v="в ипотеке"/>
    <s v="долгосрочный"/>
    <x v="0"/>
    <b v="0"/>
    <n v="0.29077302442940706"/>
    <n v="0.7151515151515152"/>
    <n v="6.540015504582973E-2"/>
  </r>
  <r>
    <n v="26"/>
    <n v="0"/>
    <n v="465410"/>
    <n v="688"/>
    <n v="1722654"/>
    <n v="30"/>
    <n v="15647.45"/>
    <n v="22.3"/>
    <n v="7"/>
    <n v="107559"/>
    <n v="488356"/>
    <x v="2"/>
    <s v="cbe53e22-ba67-4eaf-a4fb-c5acdd12ec66"/>
    <s v="приобретение жилья"/>
    <s v="в аренде"/>
    <s v="долгосрочный"/>
    <x v="0"/>
    <b v="0"/>
    <n v="0.57813396031655007"/>
    <n v="0.61818181818181817"/>
    <n v="0.10900006617695719"/>
  </r>
  <r>
    <n v="27"/>
    <n v="0"/>
    <m/>
    <n v="724"/>
    <n v="1029857"/>
    <n v="0"/>
    <n v="13817.18"/>
    <n v="12"/>
    <n v="6"/>
    <n v="138339"/>
    <n v="221232"/>
    <x v="9"/>
    <s v="9baf6d5d-f744-4332-abb0-e939b75cde40"/>
    <s v="консолидация кредитов"/>
    <s v="в аренде"/>
    <s v="краткосрочный"/>
    <x v="0"/>
    <b v="0"/>
    <m/>
    <n v="0.83636363636363631"/>
    <n v="0.16099920668597678"/>
  </r>
  <r>
    <n v="28"/>
    <n v="0"/>
    <n v="443960"/>
    <n v="749"/>
    <n v="1432391"/>
    <n v="0"/>
    <n v="25186.21"/>
    <n v="14"/>
    <n v="15"/>
    <n v="342475"/>
    <n v="905344"/>
    <x v="5"/>
    <s v="2bdc133d-cbbf-46c1-a902-488924082993"/>
    <s v="консолидация кредитов"/>
    <s v="в ипотеке"/>
    <s v="краткосрочный"/>
    <x v="0"/>
    <b v="0"/>
    <n v="0.55017777268035328"/>
    <n v="0.98787878787878791"/>
    <n v="0.2110000132645346"/>
  </r>
  <r>
    <n v="29"/>
    <n v="0"/>
    <m/>
    <n v="746"/>
    <n v="1749748"/>
    <n v="32"/>
    <n v="19247.189999999999"/>
    <n v="20"/>
    <n v="17"/>
    <n v="224390"/>
    <n v="295240"/>
    <x v="1"/>
    <s v="689da294-ff83-4d49-986a-c61887f6d4e2"/>
    <s v="консолидация кредитов"/>
    <s v="в ипотеке"/>
    <s v="краткосрочный"/>
    <x v="0"/>
    <b v="0"/>
    <m/>
    <n v="0.96969696969696972"/>
    <n v="0.13199973939104373"/>
  </r>
  <r>
    <n v="30"/>
    <n v="0"/>
    <n v="107404"/>
    <n v="723"/>
    <n v="1168044"/>
    <n v="0"/>
    <n v="19238.07"/>
    <n v="43.7"/>
    <n v="5"/>
    <n v="28956"/>
    <n v="58014"/>
    <x v="1"/>
    <s v="5129cffc-68a1-4dd9-8bfe-035f3478d6dd"/>
    <s v="иное"/>
    <s v="в ипотеке"/>
    <s v="краткосрочный"/>
    <x v="0"/>
    <b v="0"/>
    <n v="0.11153802041518522"/>
    <n v="0.83030303030303032"/>
    <n v="0.19764395861799727"/>
  </r>
  <r>
    <n v="31"/>
    <n v="0"/>
    <m/>
    <n v="737"/>
    <n v="1501912"/>
    <n v="0"/>
    <n v="31039.54"/>
    <n v="18"/>
    <n v="8"/>
    <n v="229349"/>
    <n v="469172"/>
    <x v="10"/>
    <s v="f4226232-1c33-4d69-ada0-c88245fe345f"/>
    <s v="бизнес"/>
    <s v="в аренде"/>
    <s v="краткосрочный"/>
    <x v="0"/>
    <b v="0"/>
    <m/>
    <n v="0.91515151515151516"/>
    <n v="0.24800020240866311"/>
  </r>
  <r>
    <n v="32"/>
    <n v="0"/>
    <n v="334620"/>
    <n v="729"/>
    <n v="1348620"/>
    <n v="0"/>
    <n v="16913.990000000002"/>
    <n v="20"/>
    <n v="16"/>
    <n v="313177"/>
    <n v="539616"/>
    <x v="5"/>
    <s v="247c59e9-cf6b-40a7-ae35-d102b69991cc"/>
    <s v="консолидация кредитов"/>
    <s v="в аренде"/>
    <s v="краткосрочный"/>
    <x v="0"/>
    <b v="0"/>
    <n v="0.40767289826815001"/>
    <n v="0.8666666666666667"/>
    <n v="0.15050042265426883"/>
  </r>
  <r>
    <n v="33"/>
    <n v="1"/>
    <n v="130174"/>
    <n v="733"/>
    <n v="524609"/>
    <n v="0"/>
    <n v="9311.7099999999991"/>
    <n v="15.4"/>
    <n v="7"/>
    <n v="130701"/>
    <n v="268818"/>
    <x v="4"/>
    <s v="1c9b6b3e-060d-4a70-8b08-522a7f589e89"/>
    <s v="консолидация кредитов"/>
    <s v="в аренде"/>
    <s v="краткосрочный"/>
    <x v="1"/>
    <b v="0"/>
    <n v="0.14121458882899415"/>
    <n v="0.89090909090909087"/>
    <n v="0.21299771830067726"/>
  </r>
  <r>
    <n v="34"/>
    <n v="0"/>
    <n v="333564"/>
    <n v="725"/>
    <n v="1248338"/>
    <n v="0"/>
    <n v="18205.04"/>
    <n v="14.6"/>
    <n v="18"/>
    <n v="300979"/>
    <n v="515526"/>
    <x v="1"/>
    <s v="61a4f1ed-e2c3-401e-aec8-9b0d7178f5ff"/>
    <s v="консолидация кредитов"/>
    <s v="в ипотеке"/>
    <s v="долгосрочный"/>
    <x v="0"/>
    <b v="0"/>
    <n v="0.40629659364606036"/>
    <n v="0.84242424242424241"/>
    <n v="0.17500106541657789"/>
  </r>
  <r>
    <n v="35"/>
    <n v="0"/>
    <n v="109318"/>
    <n v="723"/>
    <n v="1168044"/>
    <n v="0"/>
    <n v="15524.9"/>
    <n v="22.7"/>
    <n v="9"/>
    <n v="77121"/>
    <n v="920524"/>
    <x v="1"/>
    <s v="2d53b50a-30a2-488e-a287-3780b26e62ba"/>
    <s v="приобретение автомобиля"/>
    <s v="в ипотеке"/>
    <s v="долгосрочный"/>
    <x v="0"/>
    <b v="0"/>
    <n v="0.1140325725427228"/>
    <n v="0.83030303030303032"/>
    <n v="0.15949638883466719"/>
  </r>
  <r>
    <n v="36"/>
    <n v="0"/>
    <n v="125796"/>
    <n v="745"/>
    <n v="1261068"/>
    <n v="0"/>
    <n v="20597.330000000002"/>
    <n v="24.5"/>
    <n v="13"/>
    <n v="684817"/>
    <n v="997414"/>
    <x v="3"/>
    <s v="b91032a8-107c-4c0f-9ef8-c517e696f497"/>
    <s v="консолидация кредитов"/>
    <s v="в ипотеке"/>
    <s v="краткосрочный"/>
    <x v="0"/>
    <b v="0"/>
    <n v="0.13550865924991398"/>
    <n v="0.96363636363636362"/>
    <n v="0.19599891520520704"/>
  </r>
  <r>
    <n v="37"/>
    <n v="0"/>
    <m/>
    <n v="743"/>
    <n v="752039"/>
    <n v="0"/>
    <n v="17046.23"/>
    <n v="14.1"/>
    <n v="10"/>
    <n v="213484"/>
    <n v="478126"/>
    <x v="6"/>
    <s v="86b8d158-c6f7-4ff0-8aaf-4eb96a3e6adc"/>
    <s v="консолидация кредитов"/>
    <s v="в ипотеке"/>
    <s v="краткосрочный"/>
    <x v="0"/>
    <b v="0"/>
    <m/>
    <n v="0.95151515151515154"/>
    <n v="0.27200020211717746"/>
  </r>
  <r>
    <n v="38"/>
    <n v="1"/>
    <n v="161172"/>
    <n v="720"/>
    <n v="796499"/>
    <n v="0"/>
    <n v="3404.99"/>
    <n v="22.6"/>
    <n v="6"/>
    <n v="114095"/>
    <n v="170038"/>
    <x v="0"/>
    <s v="d1d8497b-90bf-48ea-a8b1-40c909ab1f97"/>
    <s v="консолидация кредитов"/>
    <s v="в ипотеке"/>
    <s v="краткосрочный"/>
    <x v="0"/>
    <b v="0"/>
    <n v="0.18161486408991856"/>
    <n v="0.81212121212121213"/>
    <n v="5.1299348775076921E-2"/>
  </r>
  <r>
    <n v="39"/>
    <n v="0"/>
    <n v="259842"/>
    <n v="723"/>
    <n v="1168044"/>
    <n v="34"/>
    <n v="11792.73"/>
    <n v="20.6"/>
    <n v="9"/>
    <n v="401584"/>
    <n v="708818"/>
    <x v="0"/>
    <s v="dedbd71d-dabd-4c64-a38f-bb5886e7f8b6"/>
    <s v="консолидация кредитов"/>
    <s v="в ипотеке"/>
    <s v="краткосрочный"/>
    <x v="1"/>
    <b v="0"/>
    <n v="0.31021332721642392"/>
    <n v="0.83030303030303032"/>
    <n v="0.12115362092523911"/>
  </r>
  <r>
    <n v="40"/>
    <n v="0"/>
    <n v="449108"/>
    <n v="718"/>
    <n v="1454507"/>
    <n v="21"/>
    <n v="13090.43"/>
    <n v="28.8"/>
    <n v="14"/>
    <n v="193990"/>
    <n v="458414"/>
    <x v="0"/>
    <s v="f7581a72-d073-48a3-934f-14bdfae93691"/>
    <s v="консолидация кредитов"/>
    <s v="в ипотеке"/>
    <s v="краткосрочный"/>
    <x v="0"/>
    <b v="0"/>
    <n v="0.55688725771304048"/>
    <n v="0.8"/>
    <n v="0.10799890272099068"/>
  </r>
  <r>
    <n v="41"/>
    <n v="0"/>
    <n v="688468"/>
    <n v="682"/>
    <n v="1494616"/>
    <n v="50"/>
    <n v="14697.07"/>
    <n v="16.600000000000001"/>
    <n v="8"/>
    <n v="343995"/>
    <n v="843854"/>
    <x v="4"/>
    <s v="64560eb4-f50d-4f14-8a86-b46c0381bef2"/>
    <s v="консолидация кредитов"/>
    <s v="в аренде"/>
    <s v="долгосрочный"/>
    <x v="1"/>
    <b v="0"/>
    <n v="0.86884963872003673"/>
    <n v="0.58181818181818179"/>
    <n v="0.11800010169836266"/>
  </r>
  <r>
    <n v="42"/>
    <n v="0"/>
    <n v="210166"/>
    <n v="723"/>
    <n v="1168044"/>
    <n v="20"/>
    <n v="13084.54"/>
    <n v="14"/>
    <n v="10"/>
    <n v="314336"/>
    <n v="483362"/>
    <x v="5"/>
    <s v="33ca84d6-61ab-4e1c-9312-77228201e7dd"/>
    <s v="консолидация кредитов"/>
    <s v="в аренде"/>
    <s v="краткосрочный"/>
    <x v="0"/>
    <b v="0"/>
    <n v="0.24546966395228811"/>
    <n v="0.83030303030303032"/>
    <n v="0.13442514151864143"/>
  </r>
  <r>
    <n v="43"/>
    <n v="0"/>
    <n v="327008"/>
    <n v="723"/>
    <n v="1168044"/>
    <n v="24"/>
    <n v="15419.45"/>
    <n v="16.7"/>
    <n v="13"/>
    <n v="268090"/>
    <n v="529738"/>
    <x v="6"/>
    <s v="847e2dfa-a44c-4ec1-b05f-5d4a33e66885"/>
    <s v="консолидация кредитов"/>
    <s v="в ипотеке"/>
    <s v="долгосрочный"/>
    <x v="0"/>
    <b v="0"/>
    <n v="0.39775203578392015"/>
    <n v="0.83030303030303032"/>
    <n v="0.15841303923482336"/>
  </r>
  <r>
    <n v="44"/>
    <n v="0"/>
    <n v="288948"/>
    <n v="712"/>
    <n v="537472"/>
    <n v="0"/>
    <n v="5777.9"/>
    <n v="14.8"/>
    <n v="4"/>
    <n v="132468"/>
    <n v="164406"/>
    <x v="1"/>
    <s v="628b0914-b1d7-4028-b590-b50f5da53d06"/>
    <s v="консолидация кредитов"/>
    <s v="в аренде"/>
    <s v="краткосрочный"/>
    <x v="1"/>
    <b v="0"/>
    <n v="0.34814772336277094"/>
    <n v="0.76363636363636367"/>
    <n v="0.12900169683257917"/>
  </r>
  <r>
    <n v="45"/>
    <n v="0"/>
    <n v="311762"/>
    <n v="680"/>
    <n v="2211657"/>
    <n v="15"/>
    <n v="44601.74"/>
    <n v="14.5"/>
    <n v="11"/>
    <n v="213921"/>
    <n v="509652"/>
    <x v="6"/>
    <s v="c5a714bb-75c6-4264-a807-8a35bb12ce7d"/>
    <s v="консолидация кредитов"/>
    <s v="в ипотеке"/>
    <s v="долгосрочный"/>
    <x v="0"/>
    <b v="1"/>
    <n v="0.37788163780250028"/>
    <n v="0.5696969696969697"/>
    <n v="0.24199994845493672"/>
  </r>
  <r>
    <n v="46"/>
    <n v="0"/>
    <n v="266112"/>
    <n v="750"/>
    <n v="919296"/>
    <n v="0"/>
    <n v="12946.79"/>
    <n v="21.6"/>
    <n v="9"/>
    <n v="266266"/>
    <n v="485518"/>
    <x v="9"/>
    <s v="64a23638-0025-41de-b41d-85c01eee6f1a"/>
    <s v="консолидация кредитов"/>
    <s v="в аренде"/>
    <s v="краткосрочный"/>
    <x v="0"/>
    <b v="0"/>
    <n v="0.31838513591008144"/>
    <n v="0.9939393939393939"/>
    <n v="0.16900049603174605"/>
  </r>
  <r>
    <n v="47"/>
    <n v="1"/>
    <n v="129712"/>
    <n v="723"/>
    <n v="1465698"/>
    <n v="6"/>
    <n v="18199.150000000001"/>
    <n v="19.399999999999999"/>
    <n v="34"/>
    <n v="45106"/>
    <n v="163218"/>
    <x v="1"/>
    <s v="5d71bb9d-ce8b-499d-91bf-3df92426430d"/>
    <s v="консолидация кредитов"/>
    <s v="в собственности"/>
    <s v="краткосрочный"/>
    <x v="0"/>
    <b v="0"/>
    <n v="0.14061245555682991"/>
    <n v="0.83030303030303032"/>
    <n v="0.1490005444504939"/>
  </r>
  <r>
    <n v="48"/>
    <n v="0"/>
    <n v="287980"/>
    <n v="737"/>
    <n v="1013954"/>
    <n v="13"/>
    <n v="16138.6"/>
    <n v="18.600000000000001"/>
    <n v="11"/>
    <n v="223117"/>
    <n v="489302"/>
    <x v="4"/>
    <s v="24f6b0cb-17bd-4931-8cc9-b957f20efea5"/>
    <s v="консолидация кредитов"/>
    <s v="в ипотеке"/>
    <s v="краткосрочный"/>
    <x v="0"/>
    <b v="0"/>
    <n v="0.34688611079252207"/>
    <n v="0.91515151515151516"/>
    <n v="0.19099801371659858"/>
  </r>
  <r>
    <n v="49"/>
    <n v="0"/>
    <n v="439428"/>
    <n v="710"/>
    <n v="1518024"/>
    <n v="0"/>
    <n v="20923.560000000001"/>
    <n v="17.8"/>
    <n v="11"/>
    <n v="209304"/>
    <n v="265716"/>
    <x v="0"/>
    <s v="6cfb0765-7cd8-4ef5-aa6e-f935caf57cf0"/>
    <s v="консолидация кредитов"/>
    <s v="в аренде"/>
    <s v="краткосрочный"/>
    <x v="0"/>
    <b v="0"/>
    <n v="0.54427113201055166"/>
    <n v="0.75151515151515147"/>
    <n v="0.16540102132772605"/>
  </r>
  <r>
    <n v="50"/>
    <n v="0"/>
    <n v="456808"/>
    <n v="598"/>
    <n v="1096167"/>
    <n v="0"/>
    <n v="14341.39"/>
    <n v="14.1"/>
    <n v="8"/>
    <n v="161861"/>
    <n v="278058"/>
    <x v="1"/>
    <s v="1ee733fd-fda7-4666-bbcb-059103773627"/>
    <s v="консолидация кредитов"/>
    <s v="в собственности"/>
    <s v="долгосрочный"/>
    <x v="1"/>
    <b v="0"/>
    <n v="0.56692281224911112"/>
    <n v="7.2727272727272724E-2"/>
    <n v="0.15699859601684779"/>
  </r>
  <r>
    <n v="51"/>
    <n v="0"/>
    <n v="518012"/>
    <n v="719"/>
    <n v="1193010"/>
    <n v="0"/>
    <n v="22667.38"/>
    <n v="20.9"/>
    <n v="11"/>
    <n v="452770"/>
    <n v="1080926"/>
    <x v="1"/>
    <s v="86d02184-ce07-4f47-9f68-45743fa29ced"/>
    <s v="консолидация кредитов"/>
    <s v="в собственности"/>
    <s v="долгосрочный"/>
    <x v="0"/>
    <b v="0"/>
    <n v="0.64669113430439273"/>
    <n v="0.80606060606060603"/>
    <n v="0.22800191113234591"/>
  </r>
  <r>
    <n v="52"/>
    <n v="0"/>
    <n v="219692"/>
    <n v="661"/>
    <n v="527839"/>
    <n v="48"/>
    <n v="14207.63"/>
    <n v="17"/>
    <n v="9"/>
    <n v="254277"/>
    <n v="379918"/>
    <x v="1"/>
    <s v="2884d362-391a-4941-af69-c825cae18002"/>
    <s v="консолидация кредитов"/>
    <s v="в аренде"/>
    <s v="долгосрочный"/>
    <x v="1"/>
    <b v="0"/>
    <n v="0.25788507856405551"/>
    <n v="0.45454545454545453"/>
    <n v="0.32299917209603685"/>
  </r>
  <r>
    <n v="53"/>
    <n v="0"/>
    <n v="214874"/>
    <n v="723"/>
    <n v="1168044"/>
    <n v="69"/>
    <n v="20322.78"/>
    <n v="15.6"/>
    <n v="8"/>
    <n v="285589"/>
    <n v="402776"/>
    <x v="5"/>
    <s v="06d6c4a1-7a06-41c5-aeb1-fe0d7e5c895e"/>
    <s v="консолидация кредитов"/>
    <s v="в аренде"/>
    <s v="краткосрочный"/>
    <x v="1"/>
    <b v="0"/>
    <n v="0.25160568872577133"/>
    <n v="0.83030303030303032"/>
    <n v="0.20878781963693147"/>
  </r>
  <r>
    <n v="54"/>
    <n v="0"/>
    <n v="374176"/>
    <n v="652"/>
    <n v="1239199"/>
    <n v="42"/>
    <n v="5163.25"/>
    <n v="36.6"/>
    <n v="10"/>
    <n v="126350"/>
    <n v="415602"/>
    <x v="1"/>
    <s v="41988ec9-7368-42a3-bc2f-9882fb3779f6"/>
    <s v="иное"/>
    <s v="в ипотеке"/>
    <s v="долгосрочный"/>
    <x v="1"/>
    <b v="0"/>
    <n v="0.45922697557059294"/>
    <n v="0.4"/>
    <n v="4.999923337575321E-2"/>
  </r>
  <r>
    <n v="55"/>
    <n v="0"/>
    <m/>
    <n v="730"/>
    <n v="2509520"/>
    <n v="35"/>
    <n v="34714.9"/>
    <n v="40.799999999999997"/>
    <n v="12"/>
    <n v="733324"/>
    <n v="1035496"/>
    <x v="1"/>
    <s v="82b6502d-b24e-43d7-baf5-5624e566bfe3"/>
    <s v="консолидация кредитов"/>
    <s v="в ипотеке"/>
    <s v="долгосрочный"/>
    <x v="0"/>
    <b v="0"/>
    <m/>
    <n v="0.87272727272727268"/>
    <n v="0.16599939430648095"/>
  </r>
  <r>
    <n v="56"/>
    <n v="0"/>
    <n v="176198"/>
    <n v="736"/>
    <n v="1902090"/>
    <n v="7"/>
    <n v="28372.89"/>
    <n v="15.4"/>
    <n v="9"/>
    <n v="206872"/>
    <n v="620554"/>
    <x v="1"/>
    <s v="48e551b4-6a6f-4450-bf3c-f0ee9bcb266e"/>
    <s v="консолидация кредитов"/>
    <s v="в ипотеке"/>
    <s v="краткосрочный"/>
    <x v="1"/>
    <b v="0"/>
    <n v="0.20119853194173642"/>
    <n v="0.90909090909090906"/>
    <n v="0.1790002996703626"/>
  </r>
  <r>
    <n v="57"/>
    <n v="0"/>
    <n v="78012"/>
    <n v="738"/>
    <n v="728726"/>
    <n v="0"/>
    <n v="10135.36"/>
    <n v="11.4"/>
    <n v="8"/>
    <n v="104633"/>
    <n v="199936"/>
    <x v="6"/>
    <s v="9966e08c-04a6-41ab-86d0-e4062c64bd41"/>
    <s v="крупная покупка"/>
    <s v="в аренде"/>
    <s v="краткосрочный"/>
    <x v="1"/>
    <b v="0"/>
    <n v="7.3230875100355544E-2"/>
    <n v="0.92121212121212126"/>
    <n v="0.16689993221046046"/>
  </r>
  <r>
    <n v="58"/>
    <n v="0"/>
    <n v="669372"/>
    <n v="725"/>
    <n v="2158210"/>
    <n v="0"/>
    <n v="34711.29"/>
    <n v="9.1999999999999993"/>
    <n v="17"/>
    <n v="496052"/>
    <n v="638176"/>
    <x v="8"/>
    <s v="b6f9e737-6609-45fd-8d6c-37b1b64c45df"/>
    <s v="консолидация кредитов"/>
    <s v="в ипотеке"/>
    <s v="краткосрочный"/>
    <x v="0"/>
    <b v="0"/>
    <n v="0.84396146347058154"/>
    <n v="0.84242424242424241"/>
    <n v="0.19300044017959328"/>
  </r>
  <r>
    <n v="59"/>
    <n v="0"/>
    <n v="130922"/>
    <n v="747"/>
    <n v="2261304"/>
    <n v="30"/>
    <n v="9761.25"/>
    <n v="16.100000000000001"/>
    <n v="6"/>
    <n v="110428"/>
    <n v="235488"/>
    <x v="5"/>
    <s v="0b25e0aa-3fe1-4540-8e6d-f6e579dfc84a"/>
    <s v="консолидация кредитов"/>
    <s v="в аренде"/>
    <s v="краткосрочный"/>
    <x v="0"/>
    <b v="0"/>
    <n v="0.14218947126964102"/>
    <n v="0.97575757575757571"/>
    <n v="5.1799758015728975E-2"/>
  </r>
  <r>
    <n v="60"/>
    <n v="0"/>
    <n v="174548"/>
    <n v="721"/>
    <n v="1620681"/>
    <n v="27"/>
    <n v="30522.74"/>
    <n v="15"/>
    <n v="7"/>
    <n v="40489"/>
    <n v="128832"/>
    <x v="10"/>
    <s v="cdb9037a-a7e4-49e5-ace2-61cb3df0e1e0"/>
    <s v="путешествие"/>
    <s v="в аренде"/>
    <s v="краткосрочный"/>
    <x v="0"/>
    <b v="0"/>
    <n v="0.1990480559697213"/>
    <n v="0.81818181818181823"/>
    <n v="0.22599936693278938"/>
  </r>
  <r>
    <n v="61"/>
    <n v="0"/>
    <n v="290224"/>
    <n v="644"/>
    <n v="837045"/>
    <n v="10"/>
    <n v="8230.99"/>
    <n v="18.3"/>
    <n v="11"/>
    <n v="176624"/>
    <n v="370480"/>
    <x v="8"/>
    <s v="e947abb6-87fa-4e75-b381-d487bc4dd0bf"/>
    <s v="консолидация кредитов"/>
    <s v="в ипотеке"/>
    <s v="долгосрочный"/>
    <x v="1"/>
    <b v="0"/>
    <n v="0.34981075811446266"/>
    <n v="0.3515151515151515"/>
    <n v="0.1180006809669731"/>
  </r>
  <r>
    <n v="62"/>
    <n v="0"/>
    <n v="718784"/>
    <n v="672"/>
    <n v="1648915"/>
    <n v="5"/>
    <n v="15664.74"/>
    <n v="12"/>
    <n v="10"/>
    <n v="252016"/>
    <n v="489610"/>
    <x v="1"/>
    <s v="2b8d9ed7-d6d4-491e-82f9-f5bee3bd9408"/>
    <s v="консолидация кредитов"/>
    <s v="в ипотеке"/>
    <s v="долгосрочный"/>
    <x v="0"/>
    <b v="0"/>
    <n v="0.90836105057919481"/>
    <n v="0.52121212121212124"/>
    <n v="0.11400034568185745"/>
  </r>
  <r>
    <n v="63"/>
    <n v="0"/>
    <n v="152548"/>
    <n v="723"/>
    <n v="1168044"/>
    <n v="26"/>
    <n v="19164.54"/>
    <n v="12.1"/>
    <n v="22"/>
    <n v="120916"/>
    <n v="946000"/>
    <x v="8"/>
    <s v="1902ebd8-4ffa-4182-90dd-89a9eb14a9a0"/>
    <s v="консолидация кредитов"/>
    <s v="в ипотеке"/>
    <s v="краткосрочный"/>
    <x v="0"/>
    <b v="0"/>
    <n v="0.17037504300951944"/>
    <n v="0.83030303030303032"/>
    <n v="0.19688854186999805"/>
  </r>
  <r>
    <n v="64"/>
    <n v="0"/>
    <n v="602008"/>
    <n v="741"/>
    <n v="2896721"/>
    <n v="32"/>
    <n v="48278.62"/>
    <n v="19.600000000000001"/>
    <n v="17"/>
    <n v="5246261"/>
    <n v="11887678"/>
    <x v="5"/>
    <s v="c5e8d25e-4417-4e67-ac03-9d5cf3f903ca"/>
    <s v="консолидация кредитов"/>
    <s v="в собственности"/>
    <s v="долгосрочный"/>
    <x v="0"/>
    <b v="1"/>
    <n v="0.75616469778644335"/>
    <n v="0.93939393939393945"/>
    <n v="0.19999973763438042"/>
  </r>
  <r>
    <n v="65"/>
    <n v="0"/>
    <n v="171248"/>
    <n v="747"/>
    <n v="3035725"/>
    <n v="17"/>
    <n v="42500.15"/>
    <n v="31.5"/>
    <n v="11"/>
    <n v="25460"/>
    <n v="151140"/>
    <x v="1"/>
    <s v="8e49b9f9-b15f-4d76-a1f8-2bc90dfdb07f"/>
    <s v="консолидация кредитов"/>
    <s v="в ипотеке"/>
    <s v="краткосрочный"/>
    <x v="0"/>
    <b v="0"/>
    <n v="0.19474710402569101"/>
    <n v="0.97575757575757571"/>
    <n v="0.16800000000000001"/>
  </r>
  <r>
    <n v="66"/>
    <n v="0"/>
    <n v="523908"/>
    <n v="737"/>
    <n v="1028774"/>
    <n v="0"/>
    <n v="22632.99"/>
    <n v="19.3"/>
    <n v="5"/>
    <n v="474658"/>
    <n v="742720"/>
    <x v="10"/>
    <s v="88f97adf-070a-47b1-9657-38276eef7d19"/>
    <s v="консолидация кредитов"/>
    <s v="в ипотеке"/>
    <s v="долгосрочный"/>
    <x v="1"/>
    <b v="0"/>
    <n v="0.65437550177772685"/>
    <n v="0.91515151515151516"/>
    <n v="0.26399955675396153"/>
  </r>
  <r>
    <n v="67"/>
    <n v="1"/>
    <n v="323466"/>
    <n v="699"/>
    <n v="2048618"/>
    <n v="72"/>
    <n v="27997.64"/>
    <n v="14"/>
    <n v="19"/>
    <n v="389994"/>
    <n v="743952"/>
    <x v="10"/>
    <s v="0c0f26c2-c4c9-4f63-ae6c-1895438c6966"/>
    <s v="консолидация кредитов"/>
    <s v="в ипотеке"/>
    <s v="долгосрочный"/>
    <x v="0"/>
    <b v="0"/>
    <n v="0.39313568069732768"/>
    <n v="0.68484848484848482"/>
    <n v="0.16399918384003265"/>
  </r>
  <r>
    <n v="68"/>
    <n v="0"/>
    <n v="751520"/>
    <n v="723"/>
    <n v="1168044"/>
    <n v="48"/>
    <n v="27204.01"/>
    <n v="20.5"/>
    <n v="19"/>
    <n v="483968"/>
    <n v="594880"/>
    <x v="10"/>
    <s v="fef3362a-2732-4520-ab83-4ce52074aa4e"/>
    <s v="консолидация кредитов"/>
    <s v="в ипотеке"/>
    <s v="долгосрочный"/>
    <x v="1"/>
    <b v="0"/>
    <n v="0.9510264938639752"/>
    <n v="0.83030303030303032"/>
    <n v="0.27948272496584031"/>
  </r>
  <r>
    <n v="69"/>
    <n v="0"/>
    <n v="289388"/>
    <n v="723"/>
    <n v="1168044"/>
    <n v="0"/>
    <n v="9758.4"/>
    <n v="16"/>
    <n v="12"/>
    <n v="439033"/>
    <n v="1735030"/>
    <x v="8"/>
    <s v="6ae17645-6b2a-4088-bb0c-1ca8424fedd7"/>
    <s v="консолидация кредитов"/>
    <s v="в ипотеке"/>
    <s v="краткосрочный"/>
    <x v="0"/>
    <b v="0"/>
    <n v="0.34872118362197502"/>
    <n v="0.83030303030303032"/>
    <n v="0.10025375756392738"/>
  </r>
  <r>
    <n v="70"/>
    <n v="0"/>
    <n v="144562"/>
    <n v="751"/>
    <n v="1060922"/>
    <n v="0"/>
    <n v="19750.88"/>
    <n v="21.8"/>
    <n v="7"/>
    <n v="314773"/>
    <n v="1035408"/>
    <x v="7"/>
    <s v="570f58b9-c502-4c7d-b1a8-9df512e9daf5"/>
    <s v="консолидация кредитов"/>
    <s v="в ипотеке"/>
    <s v="краткосрочный"/>
    <x v="0"/>
    <b v="0"/>
    <n v="0.15996673930496616"/>
    <n v="1"/>
    <n v="0.22340055159568753"/>
  </r>
  <r>
    <n v="71"/>
    <n v="1"/>
    <n v="211222"/>
    <n v="694"/>
    <n v="947625"/>
    <n v="65"/>
    <n v="8923.35"/>
    <n v="18"/>
    <n v="9"/>
    <n v="93081"/>
    <n v="397694"/>
    <x v="6"/>
    <s v="c2fe5a7f-9826-48ad-ae02-b2c31cae3463"/>
    <s v="консолидация кредитов"/>
    <s v="в аренде"/>
    <s v="краткосрочный"/>
    <x v="0"/>
    <b v="0"/>
    <n v="0.24684596857437779"/>
    <n v="0.65454545454545454"/>
    <n v="0.11299849624060151"/>
  </r>
  <r>
    <n v="72"/>
    <n v="0"/>
    <n v="162360"/>
    <n v="720"/>
    <n v="486875"/>
    <n v="46"/>
    <n v="8560.83"/>
    <n v="15.1"/>
    <n v="16"/>
    <n v="129504"/>
    <n v="434654"/>
    <x v="1"/>
    <s v="e978f6d8-912e-418e-8649-1b970583f4c8"/>
    <s v="консолидация кредитов"/>
    <s v="в аренде"/>
    <s v="краткосрочный"/>
    <x v="0"/>
    <b v="0"/>
    <n v="0.18316320678976947"/>
    <n v="0.81212121212121213"/>
    <n v="0.21099863414634148"/>
  </r>
  <r>
    <n v="73"/>
    <n v="0"/>
    <m/>
    <n v="699"/>
    <n v="2770162"/>
    <n v="25"/>
    <n v="48708.4"/>
    <n v="25.6"/>
    <n v="13"/>
    <n v="348802"/>
    <n v="449262"/>
    <x v="3"/>
    <s v="decb6753-c45f-4f8a-ae0d-e8b26d246998"/>
    <s v="консолидация кредитов"/>
    <s v="в ипотеке"/>
    <s v="краткосрочный"/>
    <x v="0"/>
    <b v="1"/>
    <m/>
    <n v="0.68484848484848482"/>
    <n v="0.21099877913277273"/>
  </r>
  <r>
    <n v="74"/>
    <n v="0"/>
    <n v="311058"/>
    <n v="675"/>
    <n v="1343167"/>
    <n v="17"/>
    <n v="21378.799999999999"/>
    <n v="31.4"/>
    <n v="11"/>
    <n v="247912"/>
    <n v="541596"/>
    <x v="1"/>
    <s v="a17de546-6b7f-4abf-9af4-99047eeda08a"/>
    <s v="консолидация кредитов"/>
    <s v="в ипотеке"/>
    <s v="долгосрочный"/>
    <x v="0"/>
    <b v="0"/>
    <n v="0.37696410138777381"/>
    <n v="0.53939393939393943"/>
    <n v="0.19100052338986886"/>
  </r>
  <r>
    <n v="75"/>
    <n v="0"/>
    <n v="767536"/>
    <n v="724"/>
    <n v="6628720"/>
    <n v="0"/>
    <n v="53747.96"/>
    <n v="29.5"/>
    <n v="13"/>
    <n v="1426425"/>
    <n v="2510112"/>
    <x v="1"/>
    <s v="8980b1b1-7f07-49c7-a4f7-4268a61210f5"/>
    <s v="консолидация кредитов"/>
    <s v="в ипотеке"/>
    <s v="долгосрочный"/>
    <x v="0"/>
    <b v="1"/>
    <n v="0.97190044729900216"/>
    <n v="0.83636363636363631"/>
    <n v="9.7300160513643652E-2"/>
  </r>
  <r>
    <n v="76"/>
    <n v="0"/>
    <n v="133034"/>
    <n v="723"/>
    <n v="1168044"/>
    <n v="0"/>
    <n v="30520.46"/>
    <n v="13.8"/>
    <n v="23"/>
    <n v="113278"/>
    <n v="1561406"/>
    <x v="3"/>
    <s v="6e8df64b-1404-4c95-8c79-954a601ba585"/>
    <s v="иное"/>
    <s v="в собственности"/>
    <s v="краткосрочный"/>
    <x v="1"/>
    <b v="0"/>
    <n v="0.1449420805138204"/>
    <n v="0.83030303030303032"/>
    <n v="0.31355455787624437"/>
  </r>
  <r>
    <n v="77"/>
    <n v="1"/>
    <n v="389884"/>
    <n v="657"/>
    <n v="4776125"/>
    <n v="4"/>
    <n v="42985.22"/>
    <n v="21.5"/>
    <n v="14"/>
    <n v="237500"/>
    <n v="562386"/>
    <x v="9"/>
    <s v="55012e48-1a72-4609-b289-cd25b03f1aea"/>
    <s v="консолидация кредитов"/>
    <s v="в ипотеке"/>
    <s v="краткосрочный"/>
    <x v="0"/>
    <b v="0"/>
    <n v="0.47969950682417706"/>
    <n v="0.4303030303030303"/>
    <n v="0.10800023868722029"/>
  </r>
  <r>
    <n v="78"/>
    <n v="1"/>
    <n v="163966"/>
    <n v="678"/>
    <n v="719910"/>
    <n v="0"/>
    <n v="12778.26"/>
    <n v="6.4"/>
    <n v="9"/>
    <n v="66025"/>
    <n v="138248"/>
    <x v="7"/>
    <s v="d377d2ea-5cf8-4ee2-b7ba-f5be4dbb1b11"/>
    <s v="ремонт жилья"/>
    <s v="в ипотеке"/>
    <s v="краткосрочный"/>
    <x v="0"/>
    <b v="0"/>
    <n v="0.1852563367358642"/>
    <n v="0.55757575757575761"/>
    <n v="0.21299762470308789"/>
  </r>
  <r>
    <n v="79"/>
    <n v="0"/>
    <n v="433312"/>
    <n v="736"/>
    <n v="1010401"/>
    <n v="11"/>
    <n v="22228.86"/>
    <n v="16.100000000000001"/>
    <n v="19"/>
    <n v="201780"/>
    <n v="613228"/>
    <x v="8"/>
    <s v="47e5d0b1-228e-4fae-a0a5-22f4b9f8ad7d"/>
    <s v="консолидация кредитов"/>
    <s v="в ипотеке"/>
    <s v="краткосрочный"/>
    <x v="0"/>
    <b v="0"/>
    <n v="0.53630003440761553"/>
    <n v="0.90909090909090906"/>
    <n v="0.26400045130596667"/>
  </r>
  <r>
    <n v="80"/>
    <n v="0"/>
    <m/>
    <n v="737"/>
    <n v="2015159"/>
    <n v="54"/>
    <n v="21494.89"/>
    <n v="10.5"/>
    <n v="16"/>
    <n v="321214"/>
    <n v="478060"/>
    <x v="10"/>
    <s v="42374c5d-1275-4b47-b0d6-e1c33d02b811"/>
    <s v="консолидация кредитов"/>
    <s v="в ипотеке"/>
    <s v="краткосрочный"/>
    <x v="0"/>
    <b v="0"/>
    <m/>
    <n v="0.91515151515151516"/>
    <n v="0.12799917028879607"/>
  </r>
  <r>
    <n v="81"/>
    <n v="0"/>
    <m/>
    <n v="748"/>
    <n v="1875680"/>
    <n v="0"/>
    <n v="9393.98"/>
    <n v="13"/>
    <n v="14"/>
    <n v="232674"/>
    <n v="1353858"/>
    <x v="3"/>
    <s v="2bafd352-5fbb-4435-8316-fa2e7bc6950f"/>
    <s v="иное"/>
    <s v="в аренде"/>
    <s v="краткосрочный"/>
    <x v="0"/>
    <b v="0"/>
    <m/>
    <n v="0.98181818181818181"/>
    <n v="6.0099675850891411E-2"/>
  </r>
  <r>
    <n v="82"/>
    <n v="0"/>
    <n v="89320"/>
    <n v="748"/>
    <n v="1832075"/>
    <n v="0"/>
    <n v="13312.92"/>
    <n v="19"/>
    <n v="6"/>
    <n v="127946"/>
    <n v="216260"/>
    <x v="4"/>
    <s v="3c75455c-6827-49fc-b91d-3001a1a5c9ba"/>
    <s v="иное"/>
    <s v="в ипотеке"/>
    <s v="краткосрочный"/>
    <x v="0"/>
    <b v="0"/>
    <n v="8.7968803761899306E-2"/>
    <n v="0.98181818181818181"/>
    <n v="8.7198962924552773E-2"/>
  </r>
  <r>
    <n v="83"/>
    <n v="0"/>
    <n v="392282"/>
    <n v="688"/>
    <n v="974662"/>
    <n v="10"/>
    <n v="10396.42"/>
    <n v="12"/>
    <n v="11"/>
    <n v="35663"/>
    <n v="242946"/>
    <x v="0"/>
    <s v="ac460fac-928b-4149-b919-69ea4eb9750f"/>
    <s v="консолидация кредитов"/>
    <s v="в ипотеке"/>
    <s v="долгосрочный"/>
    <x v="0"/>
    <b v="0"/>
    <n v="0.4828248652368391"/>
    <n v="0.61818181818181817"/>
    <n v="0.12800031190299818"/>
  </r>
  <r>
    <n v="84"/>
    <n v="0"/>
    <n v="444620"/>
    <n v="723"/>
    <n v="1168044"/>
    <n v="0"/>
    <n v="15292.34"/>
    <n v="11.8"/>
    <n v="9"/>
    <n v="373350"/>
    <n v="522742"/>
    <x v="5"/>
    <s v="d80034d4-37b2-4380-9546-3bc3c9025077"/>
    <s v="ремонт жилья"/>
    <s v="в ипотеке"/>
    <s v="краткосрочный"/>
    <x v="0"/>
    <b v="0"/>
    <n v="0.55103796306915931"/>
    <n v="0.83030303030303032"/>
    <n v="0.1571071637712278"/>
  </r>
  <r>
    <n v="85"/>
    <n v="0"/>
    <n v="262988"/>
    <n v="743"/>
    <n v="1340279"/>
    <n v="35"/>
    <n v="9348.3799999999992"/>
    <n v="28.2"/>
    <n v="9"/>
    <n v="499548"/>
    <n v="681296"/>
    <x v="1"/>
    <s v="034ce7a6-999c-4ffa-a1d2-610f88a29606"/>
    <s v="консолидация кредитов"/>
    <s v="в аренде"/>
    <s v="краткосрочный"/>
    <x v="0"/>
    <b v="0"/>
    <n v="0.31431356806973276"/>
    <n v="0.95151515151515154"/>
    <n v="8.3699408854425075E-2"/>
  </r>
  <r>
    <n v="86"/>
    <n v="0"/>
    <n v="498586"/>
    <n v="666"/>
    <n v="1351679"/>
    <n v="0"/>
    <n v="32214.880000000001"/>
    <n v="12.2"/>
    <n v="15"/>
    <n v="205637"/>
    <n v="433686"/>
    <x v="2"/>
    <s v="0f9f9ea4-6122-4fc6-99fd-6c6c38a32138"/>
    <s v="иное"/>
    <s v="в аренде"/>
    <s v="долгосрочный"/>
    <x v="0"/>
    <b v="0"/>
    <n v="0.62137286386053447"/>
    <n v="0.48484848484848486"/>
    <n v="0.28599879113310184"/>
  </r>
  <r>
    <n v="87"/>
    <n v="0"/>
    <n v="378334"/>
    <n v="714"/>
    <n v="2120514"/>
    <n v="24"/>
    <n v="35695.300000000003"/>
    <n v="17"/>
    <n v="12"/>
    <n v="75335"/>
    <n v="413402"/>
    <x v="5"/>
    <s v="f55d6d2b-646b-4d5d-996e-85f78f6fe3f2"/>
    <s v="консолидация кредитов"/>
    <s v="в аренде"/>
    <s v="краткосрочный"/>
    <x v="0"/>
    <b v="0"/>
    <n v="0.46464617502007111"/>
    <n v="0.77575757575757576"/>
    <n v="0.20199989247889899"/>
  </r>
  <r>
    <n v="88"/>
    <n v="0"/>
    <m/>
    <n v="734"/>
    <n v="1355802"/>
    <n v="31"/>
    <n v="15365.68"/>
    <n v="44.5"/>
    <n v="8"/>
    <n v="25441"/>
    <n v="1841796"/>
    <x v="2"/>
    <s v="e5e051b3-545f-45c7-a975-360b732f7c97"/>
    <s v="консолидация кредитов"/>
    <s v="в аренде"/>
    <s v="краткосрочный"/>
    <x v="0"/>
    <b v="0"/>
    <m/>
    <n v="0.89696969696969697"/>
    <n v="0.13599932733540737"/>
  </r>
  <r>
    <n v="89"/>
    <n v="1"/>
    <n v="194942"/>
    <n v="742"/>
    <n v="1212238"/>
    <n v="19"/>
    <n v="25254.99"/>
    <n v="27.4"/>
    <n v="13"/>
    <n v="176396"/>
    <n v="339834"/>
    <x v="9"/>
    <s v="377a2055-0d25-4dd0-a7c9-28cb61f68259"/>
    <s v="консолидация кредитов"/>
    <s v="в аренде"/>
    <s v="краткосрочный"/>
    <x v="1"/>
    <b v="0"/>
    <n v="0.22562793898382841"/>
    <n v="0.94545454545454544"/>
    <n v="0.25000031346979723"/>
  </r>
  <r>
    <n v="90"/>
    <n v="0"/>
    <n v="731566"/>
    <n v="705"/>
    <n v="1377443"/>
    <n v="65"/>
    <n v="13429.96"/>
    <n v="20.399999999999999"/>
    <n v="18"/>
    <n v="563008"/>
    <n v="1070432"/>
    <x v="1"/>
    <s v="46dce277-4cdd-4b47-83f8-97078cb41bc0"/>
    <s v="консолидация кредитов"/>
    <s v="в ипотеке"/>
    <s v="краткосрочный"/>
    <x v="0"/>
    <b v="0"/>
    <n v="0.92502007110907214"/>
    <n v="0.72121212121212119"/>
    <n v="0.11699904823647873"/>
  </r>
  <r>
    <n v="91"/>
    <n v="0"/>
    <n v="479358"/>
    <n v="723"/>
    <n v="1168044"/>
    <n v="41"/>
    <n v="22659.59"/>
    <n v="22.4"/>
    <n v="13"/>
    <n v="807462"/>
    <n v="1391302"/>
    <x v="1"/>
    <s v="64f770d8-dec2-42e7-8955-6149ce7efd5f"/>
    <s v="консолидация кредитов"/>
    <s v="в аренде"/>
    <s v="краткосрочный"/>
    <x v="0"/>
    <b v="0"/>
    <n v="0.59631265053331806"/>
    <n v="0.83030303030303032"/>
    <n v="0.2327952371657232"/>
  </r>
  <r>
    <n v="92"/>
    <n v="0"/>
    <n v="336908"/>
    <n v="723"/>
    <n v="1168044"/>
    <n v="0"/>
    <n v="6652.47"/>
    <n v="29.1"/>
    <n v="8"/>
    <n v="277419"/>
    <n v="1119250"/>
    <x v="1"/>
    <s v="4da78dcb-83c2-4338-9a5b-72bd01053f5c"/>
    <s v="консолидация кредитов"/>
    <s v="в аренде"/>
    <s v="краткосрочный"/>
    <x v="0"/>
    <b v="0"/>
    <n v="0.41065489161601099"/>
    <n v="0.83030303030303032"/>
    <n v="6.8344719890689049E-2"/>
  </r>
  <r>
    <n v="93"/>
    <n v="0"/>
    <n v="270116"/>
    <n v="723"/>
    <n v="1168044"/>
    <n v="0"/>
    <n v="15649.92"/>
    <n v="31.3"/>
    <n v="22"/>
    <n v="648850"/>
    <n v="3996322"/>
    <x v="5"/>
    <s v="4cc38eb2-c463-493a-82e9-1571bacc69a9"/>
    <s v="консолидация кредитов"/>
    <s v="в ипотеке"/>
    <s v="краткосрочный"/>
    <x v="0"/>
    <b v="0"/>
    <n v="0.32360362426883815"/>
    <n v="0.83030303030303032"/>
    <n v="0.16078079250439195"/>
  </r>
  <r>
    <n v="94"/>
    <n v="0"/>
    <n v="156772"/>
    <n v="748"/>
    <n v="1411966"/>
    <n v="73"/>
    <n v="22591.38"/>
    <n v="18"/>
    <n v="10"/>
    <n v="38456"/>
    <n v="251548"/>
    <x v="10"/>
    <s v="f4a63c54-c7b6-4132-a5c1-160b09c0a1cf"/>
    <s v="ремонт жилья"/>
    <s v="в ипотеке"/>
    <s v="краткосрочный"/>
    <x v="0"/>
    <b v="0"/>
    <n v="0.17588026149787819"/>
    <n v="0.98181818181818181"/>
    <n v="0.19199935409209573"/>
  </r>
  <r>
    <n v="95"/>
    <n v="0"/>
    <n v="306548"/>
    <n v="723"/>
    <n v="1168044"/>
    <n v="0"/>
    <n v="11157.37"/>
    <n v="17.5"/>
    <n v="10"/>
    <n v="200127"/>
    <n v="387508"/>
    <x v="10"/>
    <s v="40deeacb-f472-4241-9861-56ce8bfe3151"/>
    <s v="консолидация кредитов"/>
    <s v="в аренде"/>
    <s v="краткосрочный"/>
    <x v="0"/>
    <b v="0"/>
    <n v="0.37108613373093247"/>
    <n v="0.83030303030303032"/>
    <n v="0.11462619558852236"/>
  </r>
  <r>
    <n v="96"/>
    <n v="0"/>
    <n v="432080"/>
    <n v="723"/>
    <n v="1168044"/>
    <n v="24"/>
    <n v="35360.14"/>
    <n v="17.899999999999999"/>
    <n v="22"/>
    <n v="160550"/>
    <n v="685982"/>
    <x v="1"/>
    <s v="bc653e0d-ccac-4114-b998-f53c9f2dffc8"/>
    <s v="консолидация кредитов"/>
    <s v="в аренде"/>
    <s v="краткосрочный"/>
    <x v="0"/>
    <b v="0"/>
    <n v="0.53469434568184426"/>
    <n v="0.83030303030303032"/>
    <n v="0.36327542455592426"/>
  </r>
  <r>
    <n v="97"/>
    <n v="2"/>
    <n v="158818"/>
    <n v="731"/>
    <n v="315666"/>
    <n v="60"/>
    <n v="8522.83"/>
    <n v="31.3"/>
    <n v="13"/>
    <n v="260072"/>
    <n v="756646"/>
    <x v="1"/>
    <s v="403bdb3c-e326-4172-9f81-4e6b992cc349"/>
    <s v="консолидация кредитов"/>
    <s v="в собственности"/>
    <s v="краткосрочный"/>
    <x v="0"/>
    <b v="0"/>
    <n v="0.17854685170317697"/>
    <n v="0.87878787878787878"/>
    <n v="0.32399422174070064"/>
  </r>
  <r>
    <n v="98"/>
    <n v="0"/>
    <n v="78738"/>
    <n v="624"/>
    <n v="536370"/>
    <n v="15"/>
    <n v="14034.92"/>
    <n v="10.5"/>
    <n v="14"/>
    <n v="138586"/>
    <n v="266112"/>
    <x v="5"/>
    <s v="168cc347-945f-43d4-827b-1c06c7a80722"/>
    <s v="иное"/>
    <s v="в аренде"/>
    <s v="краткосрочный"/>
    <x v="1"/>
    <b v="0"/>
    <n v="7.4177084528042211E-2"/>
    <n v="0.23030303030303031"/>
    <n v="0.31399787460148776"/>
  </r>
  <r>
    <n v="99"/>
    <n v="1"/>
    <n v="453464"/>
    <n v="712"/>
    <n v="895147"/>
    <n v="77"/>
    <n v="17007.849999999999"/>
    <n v="14.2"/>
    <n v="12"/>
    <n v="137845"/>
    <n v="222926"/>
    <x v="2"/>
    <s v="d110ff2c-c936-487a-8e4f-8a192bad9cd8"/>
    <s v="консолидация кредитов"/>
    <s v="в аренде"/>
    <s v="краткосрочный"/>
    <x v="0"/>
    <b v="0"/>
    <n v="0.56256451427916043"/>
    <n v="0.76363636363636367"/>
    <n v="0.22800076412030648"/>
  </r>
  <r>
    <n v="100"/>
    <n v="0"/>
    <n v="595672"/>
    <n v="685"/>
    <n v="1305927"/>
    <n v="0"/>
    <n v="13603.43"/>
    <n v="25.9"/>
    <n v="8"/>
    <n v="108148"/>
    <n v="129624"/>
    <x v="1"/>
    <s v="e298cbfc-074f-4441-9faf-d452aba7487f"/>
    <s v="консолидация кредитов"/>
    <s v="в аренде"/>
    <s v="краткосрочный"/>
    <x v="0"/>
    <b v="0"/>
    <n v="0.74790687005390522"/>
    <n v="0.6"/>
    <n v="0.12500021823578195"/>
  </r>
  <r>
    <n v="101"/>
    <n v="0"/>
    <n v="166672"/>
    <n v="705"/>
    <n v="1048667"/>
    <n v="18"/>
    <n v="16166.91"/>
    <n v="16"/>
    <n v="10"/>
    <n v="167656"/>
    <n v="267014"/>
    <x v="1"/>
    <s v="4b8c3426-83b6-4e7a-bd22-ab5695587508"/>
    <s v="консолидация кредитов"/>
    <s v="в ипотеке"/>
    <s v="краткосрочный"/>
    <x v="0"/>
    <b v="0"/>
    <n v="0.18878311732996902"/>
    <n v="0.72121212121212119"/>
    <n v="0.1849995470440092"/>
  </r>
  <r>
    <n v="102"/>
    <n v="0"/>
    <n v="132792"/>
    <n v="751"/>
    <n v="668990"/>
    <n v="0"/>
    <n v="6132.25"/>
    <n v="14.7"/>
    <n v="5"/>
    <n v="61199"/>
    <n v="214742"/>
    <x v="6"/>
    <s v="5df79973-ce71-49e2-a6a2-a52221cd1b1a"/>
    <s v="иное"/>
    <s v="в аренде"/>
    <s v="краткосрочный"/>
    <x v="0"/>
    <b v="0"/>
    <n v="0.14462667737125817"/>
    <n v="1"/>
    <n v="0.10999715989775632"/>
  </r>
  <r>
    <n v="103"/>
    <n v="0"/>
    <n v="119504"/>
    <n v="745"/>
    <n v="938315"/>
    <n v="9"/>
    <n v="11807.17"/>
    <n v="13"/>
    <n v="11"/>
    <n v="32300"/>
    <n v="104170"/>
    <x v="5"/>
    <s v="fc5cff9c-c6b5-4616-a83f-c6866e7ce032"/>
    <s v="приобретение жилья"/>
    <s v="в ипотеке"/>
    <s v="краткосрочный"/>
    <x v="1"/>
    <b v="0"/>
    <n v="0.12730817754329624"/>
    <n v="0.96363636363636362"/>
    <n v="0.15100050622658701"/>
  </r>
  <r>
    <n v="104"/>
    <n v="0"/>
    <n v="33022"/>
    <n v="723"/>
    <n v="1673007"/>
    <n v="80"/>
    <n v="25234.47"/>
    <n v="23.3"/>
    <n v="13"/>
    <n v="125609"/>
    <n v="323928"/>
    <x v="8"/>
    <s v="ba4f8d7d-4907-4870-a1b1-e79f7055e13d"/>
    <s v="консолидация кредитов"/>
    <s v="в аренде"/>
    <s v="краткосрочный"/>
    <x v="0"/>
    <b v="0"/>
    <n v="1.4594563596742745E-2"/>
    <n v="0.83030303030303032"/>
    <n v="0.18099962522571633"/>
  </r>
  <r>
    <n v="105"/>
    <n v="0"/>
    <n v="448976"/>
    <n v="742"/>
    <n v="4071396"/>
    <n v="0"/>
    <n v="10348.16"/>
    <n v="19.7"/>
    <n v="7"/>
    <n v="486001"/>
    <n v="1253340"/>
    <x v="1"/>
    <s v="4bdc5535-cbfe-4f08-9852-0d2a690a4644"/>
    <s v="консолидация кредитов"/>
    <s v="в ипотеке"/>
    <s v="краткосрочный"/>
    <x v="0"/>
    <b v="0"/>
    <n v="0.55671521963527926"/>
    <n v="0.94545454545454544"/>
    <n v="3.0500084000672004E-2"/>
  </r>
  <r>
    <n v="106"/>
    <n v="1"/>
    <n v="280588"/>
    <n v="717"/>
    <n v="671080"/>
    <n v="70"/>
    <n v="17447.89"/>
    <n v="10"/>
    <n v="10"/>
    <n v="168169"/>
    <n v="470360"/>
    <x v="2"/>
    <s v="f0d6b352-bcf0-4114-9180-3e25878ddf69"/>
    <s v="консолидация кредитов"/>
    <s v="в аренде"/>
    <s v="краткосрочный"/>
    <x v="0"/>
    <b v="0"/>
    <n v="0.33725197843789423"/>
    <n v="0.79393939393939394"/>
    <n v="0.31199660249150618"/>
  </r>
  <r>
    <n v="107"/>
    <n v="0"/>
    <n v="556336"/>
    <n v="714"/>
    <n v="1402960"/>
    <n v="38"/>
    <n v="19524.400000000001"/>
    <n v="19.5"/>
    <n v="5"/>
    <n v="317338"/>
    <n v="389246"/>
    <x v="1"/>
    <s v="151e8706-cbcc-4d7f-bff0-a13ef9f5807a"/>
    <s v="консолидация кредитов"/>
    <s v="в ипотеке"/>
    <s v="долгосрочный"/>
    <x v="1"/>
    <b v="0"/>
    <n v="0.69663952288106434"/>
    <n v="0.77575757575757576"/>
    <n v="0.16699891657638138"/>
  </r>
  <r>
    <n v="108"/>
    <n v="0"/>
    <n v="541310"/>
    <n v="722"/>
    <n v="1682982"/>
    <n v="35"/>
    <n v="52733.36"/>
    <n v="17.899999999999999"/>
    <n v="13"/>
    <n v="356288"/>
    <n v="619432"/>
    <x v="9"/>
    <s v="455d606b-6b1e-4222-9b90-987c55d001e6"/>
    <s v="консолидация кредитов"/>
    <s v="в ипотеке"/>
    <s v="краткосрочный"/>
    <x v="0"/>
    <b v="1"/>
    <n v="0.67705585502924648"/>
    <n v="0.82424242424242422"/>
    <n v="0.37599945810472124"/>
  </r>
  <r>
    <n v="109"/>
    <n v="0"/>
    <n v="311872"/>
    <n v="680"/>
    <n v="1063810"/>
    <n v="0"/>
    <n v="28191.06"/>
    <n v="12.2"/>
    <n v="10"/>
    <n v="391723"/>
    <n v="591338"/>
    <x v="10"/>
    <s v="8823b7a8-9c0b-4f2d-a1dc-ffcb37ee4efb"/>
    <s v="консолидация кредитов"/>
    <s v="в ипотеке"/>
    <s v="долгосрочный"/>
    <x v="0"/>
    <b v="0"/>
    <n v="0.37802500286730129"/>
    <n v="0.5696969696969697"/>
    <n v="0.31800107161993219"/>
  </r>
  <r>
    <n v="110"/>
    <n v="0"/>
    <n v="340604"/>
    <n v="618"/>
    <n v="928701"/>
    <n v="0"/>
    <n v="21205.52"/>
    <n v="14.4"/>
    <n v="5"/>
    <n v="291137"/>
    <n v="368808"/>
    <x v="1"/>
    <s v="9d42ab3f-ccf7-4b8e-9dc0-54caaae9c343"/>
    <s v="консолидация кредитов"/>
    <s v="в ипотеке"/>
    <s v="долгосрочный"/>
    <x v="0"/>
    <b v="0"/>
    <n v="0.41547195779332491"/>
    <n v="0.19393939393939394"/>
    <n v="0.27400233228994048"/>
  </r>
  <r>
    <n v="111"/>
    <n v="0"/>
    <n v="765160"/>
    <n v="719"/>
    <n v="2643242"/>
    <n v="47"/>
    <n v="34582.47"/>
    <n v="20.5"/>
    <n v="19"/>
    <n v="249755"/>
    <n v="489302"/>
    <x v="8"/>
    <s v="3fcb95d2-9f4f-4877-b959-a02948af9de4"/>
    <s v="консолидация кредитов"/>
    <s v="в ипотеке"/>
    <s v="долгосрочный"/>
    <x v="1"/>
    <b v="0"/>
    <n v="0.9688037618993004"/>
    <n v="0.80606060606060603"/>
    <n v="0.15700024439684299"/>
  </r>
  <r>
    <n v="112"/>
    <n v="0"/>
    <n v="109802"/>
    <n v="745"/>
    <n v="474069"/>
    <n v="0"/>
    <n v="1497.39"/>
    <n v="11"/>
    <n v="2"/>
    <n v="91048"/>
    <n v="186604"/>
    <x v="4"/>
    <s v="3edb6bb1-2045-4746-bd78-cdd4a7683b8d"/>
    <s v="консолидация кредитов"/>
    <s v="в аренде"/>
    <s v="краткосрочный"/>
    <x v="1"/>
    <b v="0"/>
    <n v="0.11466337882784723"/>
    <n v="0.96363636363636362"/>
    <n v="3.7903090056510762E-2"/>
  </r>
  <r>
    <n v="113"/>
    <n v="0"/>
    <n v="349756"/>
    <n v="737"/>
    <n v="2491945"/>
    <n v="0"/>
    <n v="23258.28"/>
    <n v="21.5"/>
    <n v="7"/>
    <n v="270332"/>
    <n v="660396"/>
    <x v="2"/>
    <s v="030a28e3-11ef-4d3f-9601-0479039ac27c"/>
    <s v="консолидация кредитов"/>
    <s v="в аренде"/>
    <s v="долгосрочный"/>
    <x v="1"/>
    <b v="0"/>
    <n v="0.42739993118476888"/>
    <n v="0.91515151515151516"/>
    <n v="0.11200060996530821"/>
  </r>
  <r>
    <n v="114"/>
    <n v="0"/>
    <n v="545886"/>
    <n v="718"/>
    <n v="1565182"/>
    <n v="6"/>
    <n v="41477"/>
    <n v="15"/>
    <n v="16"/>
    <n v="80465"/>
    <n v="296714"/>
    <x v="8"/>
    <s v="90303eb6-110d-4aed-98e9-5bdb1ce8bb10"/>
    <s v="консолидация кредитов"/>
    <s v="в аренде"/>
    <s v="краткосрочный"/>
    <x v="0"/>
    <b v="0"/>
    <n v="0.68301984172496844"/>
    <n v="0.8"/>
    <n v="0.31799752361067274"/>
  </r>
  <r>
    <n v="115"/>
    <n v="0"/>
    <m/>
    <n v="750"/>
    <n v="2435667"/>
    <n v="0"/>
    <n v="31257.66"/>
    <n v="12.3"/>
    <n v="10"/>
    <n v="72276"/>
    <n v="1073028"/>
    <x v="8"/>
    <s v="d7ba72fa-b67b-46e7-8f1b-aa68520b89c8"/>
    <s v="консолидация кредитов"/>
    <s v="в аренде"/>
    <s v="краткосрочный"/>
    <x v="0"/>
    <b v="0"/>
    <m/>
    <n v="0.9939393939393939"/>
    <n v="0.15399967236900611"/>
  </r>
  <r>
    <n v="116"/>
    <n v="0"/>
    <n v="354046"/>
    <n v="676"/>
    <n v="1815469"/>
    <n v="6"/>
    <n v="5522.16"/>
    <n v="13"/>
    <n v="6"/>
    <n v="20976"/>
    <n v="70840"/>
    <x v="1"/>
    <s v="dccb0b43-a54d-47ae-b01b-382d193b475b"/>
    <s v="ремонт жилья"/>
    <s v="в ипотеке"/>
    <s v="долгосрочный"/>
    <x v="0"/>
    <b v="0"/>
    <n v="0.43299116871200827"/>
    <n v="0.54545454545454541"/>
    <n v="3.6500716894642647E-2"/>
  </r>
  <r>
    <n v="117"/>
    <n v="0"/>
    <n v="472098"/>
    <n v="692"/>
    <n v="2316575"/>
    <n v="0"/>
    <n v="24517.22"/>
    <n v="28.2"/>
    <n v="9"/>
    <n v="454176"/>
    <n v="968506"/>
    <x v="1"/>
    <s v="44c5392a-dab7-4747-a2c7-da56763c6a5e"/>
    <s v="консолидация кредитов"/>
    <s v="в аренде"/>
    <s v="долгосрочный"/>
    <x v="0"/>
    <b v="0"/>
    <n v="0.58685055625645144"/>
    <n v="0.64242424242424245"/>
    <n v="0.12700069714988724"/>
  </r>
  <r>
    <n v="118"/>
    <n v="0"/>
    <n v="86174"/>
    <n v="721"/>
    <n v="837311"/>
    <n v="82"/>
    <n v="10884.91"/>
    <n v="13.6"/>
    <n v="15"/>
    <n v="360867"/>
    <n v="671770"/>
    <x v="9"/>
    <s v="3ecdcd82-6b30-4518-bdf9-92de5833caee"/>
    <s v="консолидация кредитов"/>
    <s v="в ипотеке"/>
    <s v="краткосрочный"/>
    <x v="1"/>
    <b v="0"/>
    <n v="8.3868562908590433E-2"/>
    <n v="0.81818181818181823"/>
    <n v="0.15599809389820507"/>
  </r>
  <r>
    <n v="119"/>
    <n v="1"/>
    <n v="509586"/>
    <n v="678"/>
    <n v="1816001"/>
    <n v="74"/>
    <n v="26180.67"/>
    <n v="13.9"/>
    <n v="32"/>
    <n v="115672"/>
    <n v="319638"/>
    <x v="5"/>
    <s v="4bf2f68f-20e5-44ce-b073-a31953b2f646"/>
    <s v="консолидация кредитов"/>
    <s v="в аренде"/>
    <s v="долгосрочный"/>
    <x v="1"/>
    <b v="0"/>
    <n v="0.63570937034063535"/>
    <n v="0.55757575757575761"/>
    <n v="0.17299992676215487"/>
  </r>
  <r>
    <n v="120"/>
    <n v="0"/>
    <m/>
    <n v="709"/>
    <n v="1806083"/>
    <n v="25"/>
    <n v="29348.92"/>
    <n v="16.100000000000001"/>
    <n v="22"/>
    <n v="492556"/>
    <n v="724680"/>
    <x v="1"/>
    <s v="942d2eb9-a841-4b19-96c3-a9aaa73b0dcf"/>
    <s v="консолидация кредитов"/>
    <s v="в ипотеке"/>
    <s v="краткосрочный"/>
    <x v="0"/>
    <b v="0"/>
    <m/>
    <n v="0.74545454545454548"/>
    <n v="0.19500047340017043"/>
  </r>
  <r>
    <n v="121"/>
    <n v="0"/>
    <n v="218988"/>
    <n v="740"/>
    <n v="775409"/>
    <n v="9"/>
    <n v="8141.88"/>
    <n v="14.9"/>
    <n v="5"/>
    <n v="100206"/>
    <n v="186230"/>
    <x v="6"/>
    <s v="7a826762-3889-4043-9425-363df5f6101d"/>
    <s v="консолидация кредитов"/>
    <s v="в ипотеке"/>
    <s v="краткосрочный"/>
    <x v="0"/>
    <b v="0"/>
    <n v="0.25696754214932904"/>
    <n v="0.93333333333333335"/>
    <n v="0.12600132317267404"/>
  </r>
  <r>
    <n v="122"/>
    <n v="0"/>
    <n v="176462"/>
    <n v="723"/>
    <n v="1168044"/>
    <n v="0"/>
    <n v="14223.59"/>
    <n v="26.5"/>
    <n v="7"/>
    <n v="171703"/>
    <n v="1080552"/>
    <x v="1"/>
    <s v="5bdd1ffb-85eb-4072-941e-226eaecebb1f"/>
    <s v="ремонт жилья"/>
    <s v="в ипотеке"/>
    <s v="краткосрочный"/>
    <x v="0"/>
    <b v="0"/>
    <n v="0.20154260809725885"/>
    <n v="0.83030303030303032"/>
    <n v="0.14612726917821589"/>
  </r>
  <r>
    <n v="123"/>
    <n v="0"/>
    <n v="328262"/>
    <n v="746"/>
    <n v="1133958"/>
    <n v="0"/>
    <n v="20411.32"/>
    <n v="10.199999999999999"/>
    <n v="10"/>
    <n v="229463"/>
    <n v="472758"/>
    <x v="9"/>
    <s v="4e5b7ae7-5341-4435-8da8-fa5ed89b6905"/>
    <s v="консолидация кредитов"/>
    <s v="в аренде"/>
    <s v="краткосрочный"/>
    <x v="0"/>
    <b v="0"/>
    <n v="0.3993863975226517"/>
    <n v="0.96969696969696972"/>
    <n v="0.21600080426259174"/>
  </r>
  <r>
    <n v="124"/>
    <n v="0"/>
    <n v="663168"/>
    <n v="732"/>
    <n v="1527296"/>
    <n v="32"/>
    <n v="22145.83"/>
    <n v="17"/>
    <n v="8"/>
    <n v="331075"/>
    <n v="543774"/>
    <x v="5"/>
    <s v="453062fa-f96e-42e4-add5-d15c812fc141"/>
    <s v="консолидация кредитов"/>
    <s v="в ипотеке"/>
    <s v="долгосрочный"/>
    <x v="1"/>
    <b v="0"/>
    <n v="0.83587567381580452"/>
    <n v="0.88484848484848488"/>
    <n v="0.17400029856687899"/>
  </r>
  <r>
    <n v="125"/>
    <n v="0"/>
    <n v="338030"/>
    <n v="723"/>
    <n v="1168044"/>
    <n v="0"/>
    <n v="12144.04"/>
    <n v="16.899999999999999"/>
    <n v="9"/>
    <n v="321157"/>
    <n v="419232"/>
    <x v="0"/>
    <s v="e1ca1603-7399-4ae4-a7cd-d5015c433e8c"/>
    <s v="консолидация кредитов"/>
    <s v="в аренде"/>
    <s v="краткосрочный"/>
    <x v="0"/>
    <b v="0"/>
    <n v="0.41211721527698131"/>
    <n v="0.83030303030303032"/>
    <n v="0.12476283427679095"/>
  </r>
  <r>
    <n v="126"/>
    <n v="0"/>
    <n v="446094"/>
    <n v="723"/>
    <n v="1168044"/>
    <n v="0"/>
    <n v="30975.51"/>
    <n v="7"/>
    <n v="9"/>
    <n v="76"/>
    <n v="85998"/>
    <x v="2"/>
    <s v="044bdda9-adf7-4025-b77d-0160e4e834c2"/>
    <s v="консолидация кредитов"/>
    <s v="в ипотеке"/>
    <s v="краткосрочный"/>
    <x v="1"/>
    <b v="0"/>
    <n v="0.55295905493749287"/>
    <n v="0.83030303030303032"/>
    <n v="0.31822955299629124"/>
  </r>
  <r>
    <n v="127"/>
    <n v="0"/>
    <n v="133078"/>
    <n v="709"/>
    <n v="804460"/>
    <n v="0"/>
    <n v="9117.34"/>
    <n v="12.5"/>
    <n v="10"/>
    <n v="111568"/>
    <n v="243760"/>
    <x v="4"/>
    <s v="eb9b4903-d0df-4a68-bec9-00583ed78f33"/>
    <s v="консолидация кредитов"/>
    <s v="в аренде"/>
    <s v="краткосрочный"/>
    <x v="0"/>
    <b v="0"/>
    <n v="0.14499942653974079"/>
    <n v="0.74545454545454548"/>
    <n v="0.13600188946622579"/>
  </r>
  <r>
    <n v="128"/>
    <n v="0"/>
    <n v="278058"/>
    <n v="723"/>
    <n v="1168044"/>
    <n v="0"/>
    <n v="18706.64"/>
    <n v="15.9"/>
    <n v="10"/>
    <n v="207423"/>
    <n v="1171566"/>
    <x v="8"/>
    <s v="0c687ecc-cabf-48dd-83cd-b6fa50e11fcb"/>
    <s v="консолидация кредитов"/>
    <s v="в ипотеке"/>
    <s v="краткосрочный"/>
    <x v="0"/>
    <b v="0"/>
    <n v="0.33395458194747102"/>
    <n v="0.83030303030303032"/>
    <n v="0.1921842670310365"/>
  </r>
  <r>
    <n v="129"/>
    <n v="0"/>
    <m/>
    <n v="742"/>
    <n v="1359792"/>
    <n v="0"/>
    <n v="17224.07"/>
    <n v="10.7"/>
    <n v="8"/>
    <n v="57000"/>
    <n v="150678"/>
    <x v="4"/>
    <s v="8ded7e5a-b0e0-4d18-a3cf-5ad8cd5fea52"/>
    <s v="консолидация кредитов"/>
    <s v="в аренде"/>
    <s v="краткосрочный"/>
    <x v="0"/>
    <b v="0"/>
    <m/>
    <n v="0.94545454545454544"/>
    <n v="0.15200033534540577"/>
  </r>
  <r>
    <n v="130"/>
    <n v="0"/>
    <n v="752290"/>
    <n v="649"/>
    <n v="2320375"/>
    <n v="16"/>
    <n v="39252.86"/>
    <n v="13.4"/>
    <n v="13"/>
    <n v="431053"/>
    <n v="513502"/>
    <x v="2"/>
    <s v="f99cee77-ac7d-4d8b-936e-93ada7836e1b"/>
    <s v="консолидация кредитов"/>
    <s v="в аренде"/>
    <s v="долгосрочный"/>
    <x v="0"/>
    <b v="0"/>
    <n v="0.95203004931758228"/>
    <n v="0.38181818181818183"/>
    <n v="0.20299922210849539"/>
  </r>
  <r>
    <n v="131"/>
    <n v="0"/>
    <m/>
    <n v="734"/>
    <n v="622991"/>
    <n v="75"/>
    <n v="8046.88"/>
    <n v="10.7"/>
    <n v="15"/>
    <n v="69179"/>
    <n v="238370"/>
    <x v="10"/>
    <s v="c8b825f5-3188-4c38-a4cd-8dd1952d3e20"/>
    <s v="консолидация кредитов"/>
    <s v="в собственности"/>
    <s v="краткосрочный"/>
    <x v="0"/>
    <b v="0"/>
    <m/>
    <n v="0.89696969696969697"/>
    <n v="0.15499832260819177"/>
  </r>
  <r>
    <n v="132"/>
    <n v="0"/>
    <n v="105556"/>
    <n v="723"/>
    <n v="1168044"/>
    <n v="7"/>
    <n v="18234.11"/>
    <n v="20.7"/>
    <n v="13"/>
    <n v="220894"/>
    <n v="846890"/>
    <x v="1"/>
    <s v="1ccbd292-a4e3-4ac4-bf08-565e66f30fe6"/>
    <s v="консолидация кредитов"/>
    <s v="в ипотеке"/>
    <s v="краткосрочный"/>
    <x v="0"/>
    <b v="0"/>
    <n v="0.10912948732652827"/>
    <n v="0.83030303030303032"/>
    <n v="0.18732968963497951"/>
  </r>
  <r>
    <n v="133"/>
    <n v="0"/>
    <n v="262724"/>
    <n v="695"/>
    <n v="1229072"/>
    <n v="0"/>
    <n v="21508.76"/>
    <n v="21.8"/>
    <n v="5"/>
    <n v="337725"/>
    <n v="394218"/>
    <x v="6"/>
    <s v="c9e10069-780c-4853-aa6f-092a425f2663"/>
    <s v="консолидация кредитов"/>
    <s v="в аренде"/>
    <s v="долгосрочный"/>
    <x v="0"/>
    <b v="0"/>
    <n v="0.31396949191421036"/>
    <n v="0.66060606060606064"/>
    <n v="0.20999999999999996"/>
  </r>
  <r>
    <n v="134"/>
    <n v="0"/>
    <n v="54076"/>
    <n v="744"/>
    <n v="485697"/>
    <n v="0"/>
    <n v="2655.06"/>
    <n v="9"/>
    <n v="6"/>
    <n v="19988"/>
    <n v="282260"/>
    <x v="9"/>
    <s v="36096b3d-97e7-4b1e-89bd-660289a7a62d"/>
    <s v="консолидация кредитов"/>
    <s v="в аренде"/>
    <s v="краткосрочный"/>
    <x v="0"/>
    <b v="0"/>
    <n v="4.2034636999655921E-2"/>
    <n v="0.95757575757575752"/>
    <n v="6.5597934514728312E-2"/>
  </r>
  <r>
    <n v="135"/>
    <n v="0"/>
    <n v="552882"/>
    <n v="686"/>
    <n v="1262151"/>
    <n v="48"/>
    <n v="23770.71"/>
    <n v="23.4"/>
    <n v="13"/>
    <n v="299706"/>
    <n v="694056"/>
    <x v="1"/>
    <s v="9fa0a981-d220-4f8a-99c2-5321c42f070f"/>
    <s v="консолидация кредитов"/>
    <s v="в аренде"/>
    <s v="долгосрочный"/>
    <x v="1"/>
    <b v="0"/>
    <n v="0.6921378598463126"/>
    <n v="0.60606060606060608"/>
    <n v="0.22600189676195637"/>
  </r>
  <r>
    <n v="136"/>
    <n v="0"/>
    <n v="257400"/>
    <n v="723"/>
    <n v="1168044"/>
    <n v="0"/>
    <n v="13740.99"/>
    <n v="15.7"/>
    <n v="11"/>
    <n v="191159"/>
    <n v="274626"/>
    <x v="8"/>
    <s v="1e8705ea-cf91-464b-bba9-035a4c9a6da7"/>
    <s v="консолидация кредитов"/>
    <s v="в ипотеке"/>
    <s v="краткосрочный"/>
    <x v="0"/>
    <b v="0"/>
    <n v="0.30703062277784149"/>
    <n v="0.83030303030303032"/>
    <n v="0.14116923677532695"/>
  </r>
  <r>
    <n v="137"/>
    <n v="0"/>
    <n v="462088"/>
    <n v="723"/>
    <n v="1168044"/>
    <n v="0"/>
    <n v="17759.3"/>
    <n v="14.8"/>
    <n v="13"/>
    <n v="627418"/>
    <n v="1603712"/>
    <x v="8"/>
    <s v="dba85a94-371c-4d9f-a0b4-d56def6659fa"/>
    <s v="консолидация кредитов"/>
    <s v="в ипотеке"/>
    <s v="краткосрочный"/>
    <x v="0"/>
    <b v="0"/>
    <n v="0.57380433535955955"/>
    <n v="0.83030303030303032"/>
    <n v="0.18245168846379073"/>
  </r>
  <r>
    <n v="138"/>
    <n v="0"/>
    <n v="460152"/>
    <n v="723"/>
    <n v="1168044"/>
    <n v="6"/>
    <n v="21330.92"/>
    <n v="20.5"/>
    <n v="13"/>
    <n v="1220978"/>
    <n v="5396072"/>
    <x v="1"/>
    <s v="1ad6919e-0fe1-4628-94a6-69bbd7cb8edc"/>
    <s v="консолидация кредитов"/>
    <s v="в собственности"/>
    <s v="краткосрочный"/>
    <x v="0"/>
    <b v="0"/>
    <n v="0.57128111021906181"/>
    <n v="0.83030303030303032"/>
    <n v="0.2191450322076908"/>
  </r>
  <r>
    <n v="139"/>
    <n v="0"/>
    <n v="402534"/>
    <n v="741"/>
    <n v="3090160"/>
    <n v="6"/>
    <n v="23639.8"/>
    <n v="19.600000000000001"/>
    <n v="15"/>
    <n v="691467"/>
    <n v="1332188"/>
    <x v="7"/>
    <s v="1d77b9af-c36c-4683-81e2-54bfb01f00d6"/>
    <s v="консолидация кредитов"/>
    <s v="в аренде"/>
    <s v="краткосрочный"/>
    <x v="1"/>
    <b v="0"/>
    <n v="0.49618648927629316"/>
    <n v="0.93939393939393945"/>
    <n v="9.1800295130349235E-2"/>
  </r>
  <r>
    <n v="140"/>
    <n v="0"/>
    <n v="129844"/>
    <n v="723"/>
    <n v="1168044"/>
    <n v="0"/>
    <n v="16120.17"/>
    <n v="14.2"/>
    <n v="10"/>
    <n v="110618"/>
    <n v="212058"/>
    <x v="4"/>
    <s v="ec83df40-a37c-4c6f-89c4-e2dbe965026e"/>
    <s v="консолидация кредитов"/>
    <s v="в аренде"/>
    <s v="краткосрочный"/>
    <x v="0"/>
    <b v="0"/>
    <n v="0.14078449363459111"/>
    <n v="0.83030303030303032"/>
    <n v="0.16561194612531721"/>
  </r>
  <r>
    <n v="141"/>
    <n v="0"/>
    <n v="232716"/>
    <n v="637"/>
    <n v="1049427"/>
    <n v="61"/>
    <n v="12942.99"/>
    <n v="9.5"/>
    <n v="20"/>
    <n v="226442"/>
    <n v="389026"/>
    <x v="3"/>
    <s v="735e7283-7724-484c-b113-d50e04e92c63"/>
    <s v="ремонт жилья"/>
    <s v="в аренде"/>
    <s v="краткосрочный"/>
    <x v="1"/>
    <b v="0"/>
    <n v="0.27485950223649502"/>
    <n v="0.30909090909090908"/>
    <n v="0.14800065178425942"/>
  </r>
  <r>
    <n v="142"/>
    <n v="0"/>
    <n v="286462"/>
    <n v="719"/>
    <n v="1380426"/>
    <n v="75"/>
    <n v="27378.62"/>
    <n v="15.7"/>
    <n v="10"/>
    <n v="177916"/>
    <n v="335522"/>
    <x v="1"/>
    <s v="e6b4ef94-b40d-451e-b0f7-a164ca3831fc"/>
    <s v="консолидация кредитов"/>
    <s v="в ипотеке"/>
    <s v="долгосрочный"/>
    <x v="0"/>
    <b v="0"/>
    <n v="0.34490767289826813"/>
    <n v="0.80606060606060603"/>
    <n v="0.23800148649764638"/>
  </r>
  <r>
    <n v="143"/>
    <n v="0"/>
    <n v="223256"/>
    <n v="740"/>
    <n v="804916"/>
    <n v="7"/>
    <n v="6774.64"/>
    <n v="34.4"/>
    <n v="13"/>
    <n v="308142"/>
    <n v="587818"/>
    <x v="8"/>
    <s v="cf4d223b-958a-4a31-8b82-09ae3996fd0c"/>
    <s v="консолидация кредитов"/>
    <s v="в ипотеке"/>
    <s v="краткосрочный"/>
    <x v="0"/>
    <b v="0"/>
    <n v="0.26253010666360821"/>
    <n v="0.93333333333333335"/>
    <n v="0.10099896138230574"/>
  </r>
  <r>
    <n v="144"/>
    <n v="0"/>
    <n v="348832"/>
    <n v="704"/>
    <n v="497306"/>
    <n v="0"/>
    <n v="3257.36"/>
    <n v="13"/>
    <n v="4"/>
    <n v="90022"/>
    <n v="167860"/>
    <x v="4"/>
    <s v="5e02406a-3cd6-49f7-bdc7-0f90ec0bb030"/>
    <s v="консолидация кредитов"/>
    <s v="в аренде"/>
    <s v="долгосрочный"/>
    <x v="0"/>
    <b v="0"/>
    <n v="0.4261956646404404"/>
    <n v="0.7151515151515152"/>
    <n v="7.8600137541071299E-2"/>
  </r>
  <r>
    <n v="145"/>
    <n v="0"/>
    <n v="537878"/>
    <n v="743"/>
    <n v="1296807"/>
    <n v="70"/>
    <n v="24963.53"/>
    <n v="18.399999999999999"/>
    <n v="12"/>
    <n v="249223"/>
    <n v="515306"/>
    <x v="9"/>
    <s v="b0d26cc8-cf23-4eb3-aa53-8074353532ce"/>
    <s v="консолидация кредитов"/>
    <s v="в ипотеке"/>
    <s v="краткосрочный"/>
    <x v="0"/>
    <b v="0"/>
    <n v="0.67258286500745501"/>
    <n v="0.95151515151515154"/>
    <n v="0.23099995604588808"/>
  </r>
  <r>
    <n v="146"/>
    <n v="0"/>
    <n v="196460"/>
    <n v="746"/>
    <n v="942590"/>
    <n v="0"/>
    <n v="15160.1"/>
    <n v="23.5"/>
    <n v="8"/>
    <n v="138700"/>
    <n v="410718"/>
    <x v="5"/>
    <s v="0d165460-bb88-4a53-b8aa-cdbf8c3f342c"/>
    <s v="консолидация кредитов"/>
    <s v="в ипотеке"/>
    <s v="краткосрочный"/>
    <x v="0"/>
    <b v="0"/>
    <n v="0.22760637687808236"/>
    <n v="0.96969696969696972"/>
    <n v="0.19300141100584559"/>
  </r>
  <r>
    <n v="147"/>
    <n v="0"/>
    <n v="214786"/>
    <n v="723"/>
    <n v="883329"/>
    <n v="79"/>
    <n v="11924.97"/>
    <n v="14.3"/>
    <n v="5"/>
    <n v="154755"/>
    <n v="193314"/>
    <x v="7"/>
    <s v="6ecfe8c1-8b24-472b-9efa-0fd181df38e9"/>
    <s v="консолидация кредитов"/>
    <s v="в ипотеке"/>
    <s v="краткосрочный"/>
    <x v="0"/>
    <b v="0"/>
    <n v="0.25149099667393049"/>
    <n v="0.83030303030303032"/>
    <n v="0.16200038717171064"/>
  </r>
  <r>
    <n v="148"/>
    <n v="0"/>
    <n v="109538"/>
    <n v="697"/>
    <n v="567606"/>
    <n v="62"/>
    <n v="5770.68"/>
    <n v="14.3"/>
    <n v="10"/>
    <n v="86716"/>
    <n v="151206"/>
    <x v="8"/>
    <s v="01246538-e5a4-46e1-9db5-082889444846"/>
    <s v="консолидация кредитов"/>
    <s v="в ипотеке"/>
    <s v="краткосрочный"/>
    <x v="0"/>
    <b v="0"/>
    <n v="0.1143193026723248"/>
    <n v="0.67272727272727273"/>
    <n v="0.12200040168708577"/>
  </r>
  <r>
    <n v="149"/>
    <n v="0"/>
    <n v="259116"/>
    <n v="723"/>
    <n v="1168044"/>
    <n v="0"/>
    <n v="21678.81"/>
    <n v="31.4"/>
    <n v="9"/>
    <n v="254030"/>
    <n v="720918"/>
    <x v="10"/>
    <s v="d56c6737-bab6-49fc-9363-b7937e489e3a"/>
    <s v="иное"/>
    <s v="в ипотеке"/>
    <s v="краткосрочный"/>
    <x v="0"/>
    <b v="0"/>
    <n v="0.30926711778873722"/>
    <n v="0.83030303030303032"/>
    <n v="0.222719109896545"/>
  </r>
  <r>
    <n v="150"/>
    <n v="0"/>
    <n v="117986"/>
    <n v="694"/>
    <n v="1886890"/>
    <n v="19"/>
    <n v="3207.77"/>
    <n v="12"/>
    <n v="7"/>
    <n v="80408"/>
    <n v="351296"/>
    <x v="3"/>
    <s v="6adde19f-937f-4369-a6ad-cfe94b41d6dc"/>
    <s v="консолидация кредитов"/>
    <s v="в аренде"/>
    <s v="краткосрочный"/>
    <x v="0"/>
    <b v="0"/>
    <n v="0.12532973964904232"/>
    <n v="0.65454545454545454"/>
    <n v="2.0400362501258682E-2"/>
  </r>
  <r>
    <n v="151"/>
    <n v="0"/>
    <n v="133804"/>
    <n v="725"/>
    <n v="1386734"/>
    <n v="0"/>
    <n v="16756.48"/>
    <n v="13.6"/>
    <n v="11"/>
    <n v="105450"/>
    <n v="260898"/>
    <x v="6"/>
    <s v="ba0dcc40-2355-4934-a4f8-1dc189964279"/>
    <s v="бизнес"/>
    <s v="в ипотеке"/>
    <s v="краткосрочный"/>
    <x v="0"/>
    <b v="0"/>
    <n v="0.14594563596742746"/>
    <n v="0.84242424242424241"/>
    <n v="0.14500095908804428"/>
  </r>
  <r>
    <n v="152"/>
    <n v="0"/>
    <n v="87846"/>
    <n v="736"/>
    <n v="625879"/>
    <n v="56"/>
    <n v="6988.96"/>
    <n v="50.1"/>
    <n v="16"/>
    <n v="96330"/>
    <n v="714978"/>
    <x v="6"/>
    <s v="37c41379-e56c-4455-a94b-2b810d80a058"/>
    <s v="консолидация кредитов"/>
    <s v="в собственности"/>
    <s v="краткосрочный"/>
    <x v="0"/>
    <b v="0"/>
    <n v="8.6047711893565776E-2"/>
    <n v="0.90909090909090906"/>
    <n v="0.13399957499772319"/>
  </r>
  <r>
    <n v="153"/>
    <n v="0"/>
    <n v="332684"/>
    <n v="722"/>
    <n v="881087"/>
    <n v="0"/>
    <n v="12702.26"/>
    <n v="14.5"/>
    <n v="9"/>
    <n v="472226"/>
    <n v="640266"/>
    <x v="1"/>
    <s v="45f8e491-a49a-478d-8ec0-68d6fbd10c90"/>
    <s v="консолидация кредитов"/>
    <s v="в ипотеке"/>
    <s v="долгосрочный"/>
    <x v="1"/>
    <b v="0"/>
    <n v="0.40514967312765227"/>
    <n v="0.82424242424242422"/>
    <n v="0.17299894335065663"/>
  </r>
  <r>
    <n v="154"/>
    <n v="0"/>
    <n v="190498"/>
    <n v="706"/>
    <n v="892164"/>
    <n v="64"/>
    <n v="8996.1200000000008"/>
    <n v="13.2"/>
    <n v="6"/>
    <n v="88160"/>
    <n v="117744"/>
    <x v="9"/>
    <s v="12be2338-32c8-459d-8201-e85308164a9b"/>
    <s v="консолидация кредитов"/>
    <s v="в аренде"/>
    <s v="краткосрочный"/>
    <x v="0"/>
    <b v="0"/>
    <n v="0.21983599036586765"/>
    <n v="0.72727272727272729"/>
    <n v="0.12100178890876566"/>
  </r>
  <r>
    <n v="155"/>
    <n v="0"/>
    <n v="448822"/>
    <n v="741"/>
    <n v="1027444"/>
    <n v="0"/>
    <n v="21576.400000000001"/>
    <n v="33.1"/>
    <n v="8"/>
    <n v="669028"/>
    <n v="981838"/>
    <x v="9"/>
    <s v="a18c315b-1918-4c8c-bf77-15886243427f"/>
    <s v="консолидация кредитов"/>
    <s v="в ипотеке"/>
    <s v="краткосрочный"/>
    <x v="0"/>
    <b v="0"/>
    <n v="0.55651450854455786"/>
    <n v="0.93939393939393945"/>
    <n v="0.25200088763961837"/>
  </r>
  <r>
    <n v="156"/>
    <n v="1"/>
    <n v="229086"/>
    <n v="715"/>
    <n v="787626"/>
    <n v="36"/>
    <n v="6543.79"/>
    <n v="23.9"/>
    <n v="7"/>
    <n v="71231"/>
    <n v="152460"/>
    <x v="0"/>
    <s v="886e3ac5-357d-42ab-81cd-aaee8d28c706"/>
    <s v="консолидация кредитов"/>
    <s v="в аренде"/>
    <s v="краткосрочный"/>
    <x v="0"/>
    <b v="0"/>
    <n v="0.27012845509806171"/>
    <n v="0.78181818181818186"/>
    <n v="9.969894340715009E-2"/>
  </r>
  <r>
    <n v="157"/>
    <n v="0"/>
    <n v="393558"/>
    <n v="678"/>
    <n v="2317392"/>
    <n v="27"/>
    <n v="22015.3"/>
    <n v="14.7"/>
    <n v="8"/>
    <n v="124184"/>
    <n v="145552"/>
    <x v="5"/>
    <s v="f922a1c3-98e7-4870-ade3-dd9a9b2fa5ee"/>
    <s v="консолидация кредитов"/>
    <s v="в собственности"/>
    <s v="долгосрочный"/>
    <x v="1"/>
    <b v="0"/>
    <n v="0.48448789998853081"/>
    <n v="0.55757575757575761"/>
    <n v="0.11400039354584809"/>
  </r>
  <r>
    <n v="158"/>
    <n v="1"/>
    <n v="151954"/>
    <n v="707"/>
    <n v="562419"/>
    <n v="0"/>
    <n v="14341.77"/>
    <n v="12.5"/>
    <n v="9"/>
    <n v="107692"/>
    <n v="219142"/>
    <x v="8"/>
    <s v="68b77d5b-94b9-46b3-a979-d9ae507df0e2"/>
    <s v="консолидация кредитов"/>
    <s v="в аренде"/>
    <s v="краткосрочный"/>
    <x v="0"/>
    <b v="0"/>
    <n v="0.16960087165959398"/>
    <n v="0.73333333333333328"/>
    <n v="0.30600182426269384"/>
  </r>
  <r>
    <n v="159"/>
    <n v="0"/>
    <m/>
    <n v="726"/>
    <n v="1153851"/>
    <n v="39"/>
    <n v="7125"/>
    <n v="13.5"/>
    <n v="7"/>
    <n v="165984"/>
    <n v="286440"/>
    <x v="4"/>
    <s v="90fdf7b8-8547-4d7d-b7c1-a1a93117fcee"/>
    <s v="консолидация кредитов"/>
    <s v="в аренде"/>
    <s v="краткосрочный"/>
    <x v="0"/>
    <b v="0"/>
    <m/>
    <n v="0.84848484848484851"/>
    <n v="7.4099688781307113E-2"/>
  </r>
  <r>
    <n v="160"/>
    <n v="0"/>
    <n v="254562"/>
    <n v="738"/>
    <n v="669123"/>
    <n v="0"/>
    <n v="13549.66"/>
    <n v="17.5"/>
    <n v="13"/>
    <n v="261383"/>
    <n v="743600"/>
    <x v="10"/>
    <s v="7e1c0a75-f49e-4a18-aa19-260ff92b57df"/>
    <s v="консолидация кредитов"/>
    <s v="в аренде"/>
    <s v="краткосрочный"/>
    <x v="0"/>
    <b v="0"/>
    <n v="0.30333180410597543"/>
    <n v="0.92121212121212126"/>
    <n v="0.24299855183576113"/>
  </r>
  <r>
    <n v="161"/>
    <n v="0"/>
    <n v="87912"/>
    <n v="750"/>
    <n v="960184"/>
    <n v="42"/>
    <n v="3432.73"/>
    <n v="43.3"/>
    <n v="9"/>
    <n v="86051"/>
    <n v="301026"/>
    <x v="1"/>
    <s v="f20cccab-9676-4fba-a5c2-7e6d52d07bba"/>
    <s v="консолидация кредитов"/>
    <s v="в аренде"/>
    <s v="краткосрочный"/>
    <x v="1"/>
    <b v="0"/>
    <n v="8.6133730932446376E-2"/>
    <n v="0.9939393939393939"/>
    <n v="4.2900902327053986E-2"/>
  </r>
  <r>
    <n v="162"/>
    <n v="5"/>
    <n v="156178"/>
    <n v="716"/>
    <n v="1124040"/>
    <n v="33"/>
    <n v="8617.64"/>
    <n v="12"/>
    <n v="9"/>
    <n v="6194"/>
    <n v="108790"/>
    <x v="2"/>
    <s v="f36792bd-e4e8-432a-95b6-49c8965cf1d9"/>
    <s v="иное"/>
    <s v="в аренде"/>
    <s v="краткосрочный"/>
    <x v="1"/>
    <b v="0"/>
    <n v="0.17510609014795275"/>
    <n v="0.78787878787878785"/>
    <n v="9.1999999999999998E-2"/>
  </r>
  <r>
    <n v="163"/>
    <n v="0"/>
    <n v="645018"/>
    <n v="737"/>
    <n v="2692471"/>
    <n v="0"/>
    <n v="40386.97"/>
    <n v="24"/>
    <n v="21"/>
    <n v="640376"/>
    <n v="1468302"/>
    <x v="1"/>
    <s v="0af8fb87-4963-408f-824d-63c51cfb7f92"/>
    <s v="консолидация кредитов"/>
    <s v="в ипотеке"/>
    <s v="долгосрочный"/>
    <x v="0"/>
    <b v="0"/>
    <n v="0.81222043812363798"/>
    <n v="0.91515151515151516"/>
    <n v="0.17999957659711097"/>
  </r>
  <r>
    <n v="164"/>
    <n v="0"/>
    <n v="605726"/>
    <n v="748"/>
    <n v="3609145"/>
    <n v="59"/>
    <n v="43610.7"/>
    <n v="23"/>
    <n v="10"/>
    <n v="378423"/>
    <n v="475772"/>
    <x v="1"/>
    <s v="c202ba1a-d4a2-42d7-a2f1-d0093fc4509b"/>
    <s v="консолидация кредитов"/>
    <s v="в ипотеке"/>
    <s v="краткосрочный"/>
    <x v="0"/>
    <b v="0"/>
    <n v="0.76101043697671755"/>
    <n v="0.98181818181818181"/>
    <n v="0.14500065805059092"/>
  </r>
  <r>
    <n v="165"/>
    <n v="0"/>
    <m/>
    <n v="741"/>
    <n v="1288523"/>
    <n v="0"/>
    <n v="9041.34"/>
    <n v="16.2"/>
    <n v="4"/>
    <n v="95855"/>
    <n v="116468"/>
    <x v="5"/>
    <s v="8aad10e5-1d3b-4014-8652-861f974b5dc4"/>
    <s v="консолидация кредитов"/>
    <s v="в ипотеке"/>
    <s v="краткосрочный"/>
    <x v="0"/>
    <b v="0"/>
    <m/>
    <n v="0.93939393939393945"/>
    <n v="8.4201896279693877E-2"/>
  </r>
  <r>
    <n v="166"/>
    <n v="0"/>
    <n v="168300"/>
    <n v="702"/>
    <n v="688522"/>
    <n v="30"/>
    <n v="11762.14"/>
    <n v="17"/>
    <n v="9"/>
    <n v="128041"/>
    <n v="273042"/>
    <x v="5"/>
    <s v="fc950ca6-8f85-425c-a800-85a71a4e0870"/>
    <s v="иное"/>
    <s v="в аренде"/>
    <s v="долгосрочный"/>
    <x v="1"/>
    <b v="0"/>
    <n v="0.19090492028902398"/>
    <n v="0.70303030303030301"/>
    <n v="0.20499806832606654"/>
  </r>
  <r>
    <n v="167"/>
    <n v="0"/>
    <n v="174460"/>
    <n v="723"/>
    <n v="1318429"/>
    <n v="55"/>
    <n v="10547.47"/>
    <n v="15"/>
    <n v="14"/>
    <n v="55176"/>
    <n v="443586"/>
    <x v="2"/>
    <s v="fd4ca23b-1ad4-404e-97c4-f1834094d9d8"/>
    <s v="иное"/>
    <s v="в собственности"/>
    <s v="краткосрочный"/>
    <x v="0"/>
    <b v="0"/>
    <n v="0.1989333639178805"/>
    <n v="0.83030303030303032"/>
    <n v="9.6000345866178616E-2"/>
  </r>
  <r>
    <n v="168"/>
    <n v="0"/>
    <n v="768394"/>
    <n v="651"/>
    <n v="1651252"/>
    <n v="30"/>
    <n v="19264.669999999998"/>
    <n v="29.2"/>
    <n v="6"/>
    <n v="421420"/>
    <n v="559592"/>
    <x v="5"/>
    <s v="ab77813a-d625-4f19-9772-f17d6654656c"/>
    <s v="консолидация кредитов"/>
    <s v="в ипотеке"/>
    <s v="долгосрочный"/>
    <x v="0"/>
    <b v="0"/>
    <n v="0.97301869480445002"/>
    <n v="0.39393939393939392"/>
    <n v="0.14000046025682328"/>
  </r>
  <r>
    <n v="169"/>
    <n v="0"/>
    <n v="314226"/>
    <n v="723"/>
    <n v="2638454"/>
    <n v="54"/>
    <n v="34959.43"/>
    <n v="18.2"/>
    <n v="10"/>
    <n v="662815"/>
    <n v="969034"/>
    <x v="9"/>
    <s v="50b9be84-4a19-4005-b50a-016352734f4d"/>
    <s v="иное"/>
    <s v="в ипотеке"/>
    <s v="долгосрочный"/>
    <x v="0"/>
    <b v="0"/>
    <n v="0.38109301525404288"/>
    <n v="0.83030303030303032"/>
    <n v="0.15899961113591521"/>
  </r>
  <r>
    <n v="170"/>
    <n v="0"/>
    <n v="64966"/>
    <n v="723"/>
    <n v="1224968"/>
    <n v="48"/>
    <n v="23172.21"/>
    <n v="44"/>
    <n v="16"/>
    <n v="858154"/>
    <n v="1344574"/>
    <x v="1"/>
    <s v="47fdd7c4-e629-4826-a847-d2438cf2f445"/>
    <s v="иное"/>
    <s v="в ипотеке"/>
    <s v="краткосрочный"/>
    <x v="0"/>
    <b v="0"/>
    <n v="5.6227778414955847E-2"/>
    <n v="0.83030303030303032"/>
    <n v="0.22699900732100756"/>
  </r>
  <r>
    <n v="171"/>
    <n v="0"/>
    <n v="300366"/>
    <n v="730"/>
    <n v="833188"/>
    <n v="37"/>
    <n v="13400.32"/>
    <n v="17.899999999999999"/>
    <n v="7"/>
    <n v="179721"/>
    <n v="338932"/>
    <x v="1"/>
    <s v="a32475a6-e244-4386-98a7-b02c1c78e2c1"/>
    <s v="консолидация кредитов"/>
    <s v="в ипотеке"/>
    <s v="краткосрочный"/>
    <x v="0"/>
    <b v="0"/>
    <n v="0.36302901708911572"/>
    <n v="0.87272727272727268"/>
    <n v="0.19299826689774699"/>
  </r>
  <r>
    <n v="172"/>
    <n v="1"/>
    <n v="263648"/>
    <n v="736"/>
    <n v="1138518"/>
    <n v="0"/>
    <n v="12808.28"/>
    <n v="15"/>
    <n v="6"/>
    <n v="61788"/>
    <n v="202092"/>
    <x v="7"/>
    <s v="ee43e681-9eca-4f0a-9b37-0c7a242b7963"/>
    <s v="консолидация кредитов"/>
    <s v="в аренде"/>
    <s v="краткосрочный"/>
    <x v="0"/>
    <b v="0"/>
    <n v="0.31517375845853884"/>
    <n v="0.90909090909090906"/>
    <n v="0.1349994993491539"/>
  </r>
  <r>
    <n v="173"/>
    <n v="1"/>
    <m/>
    <n v="725"/>
    <n v="1048363"/>
    <n v="0"/>
    <n v="14152.91"/>
    <n v="21"/>
    <n v="11"/>
    <n v="210045"/>
    <n v="299156"/>
    <x v="1"/>
    <s v="76c63206-8f06-45f1-9973-be2cda8dc4fa"/>
    <s v="консолидация кредитов"/>
    <s v="в аренде"/>
    <s v="краткосрочный"/>
    <x v="0"/>
    <b v="0"/>
    <m/>
    <n v="0.84242424242424241"/>
    <n v="0.16200010874096091"/>
  </r>
  <r>
    <n v="174"/>
    <n v="0"/>
    <n v="716958"/>
    <n v="718"/>
    <n v="1934960"/>
    <n v="24"/>
    <n v="31765.72"/>
    <n v="10"/>
    <n v="9"/>
    <n v="168815"/>
    <n v="228624"/>
    <x v="7"/>
    <s v="a2dc4e54-eaa7-4bbc-b103-8d06d05a3f54"/>
    <s v="ремонт жилья"/>
    <s v="в ипотеке"/>
    <s v="краткосрочный"/>
    <x v="0"/>
    <b v="0"/>
    <n v="0.90598119050349812"/>
    <n v="0.8"/>
    <n v="0.19700078554595446"/>
  </r>
  <r>
    <n v="175"/>
    <n v="0"/>
    <n v="459602"/>
    <n v="712"/>
    <n v="982870"/>
    <n v="0"/>
    <n v="12859.01"/>
    <n v="15.6"/>
    <n v="6"/>
    <n v="390621"/>
    <n v="468204"/>
    <x v="10"/>
    <s v="860862ac-4148-48de-88df-fff9e7f4d784"/>
    <s v="консолидация кредитов"/>
    <s v="в ипотеке"/>
    <s v="долгосрочный"/>
    <x v="1"/>
    <b v="0"/>
    <n v="0.57056428489505673"/>
    <n v="0.76363636363636367"/>
    <n v="0.15699748695147883"/>
  </r>
  <r>
    <n v="176"/>
    <n v="0"/>
    <n v="405856"/>
    <n v="708"/>
    <n v="1155751"/>
    <n v="0"/>
    <n v="32264.85"/>
    <n v="22.7"/>
    <n v="13"/>
    <n v="338181"/>
    <n v="594198"/>
    <x v="1"/>
    <s v="1eefc01a-2551-44c9-8305-0fd083e770ac"/>
    <s v="консолидация кредитов"/>
    <s v="в аренде"/>
    <s v="долгосрочный"/>
    <x v="0"/>
    <b v="0"/>
    <n v="0.50051611423328368"/>
    <n v="0.73939393939393938"/>
    <n v="0.33500139735981194"/>
  </r>
  <r>
    <n v="177"/>
    <n v="0"/>
    <n v="547580"/>
    <n v="710"/>
    <n v="1125978"/>
    <n v="58"/>
    <n v="9758.4"/>
    <n v="13.8"/>
    <n v="6"/>
    <n v="435328"/>
    <n v="790064"/>
    <x v="4"/>
    <s v="133bad47-5555-49f6-9885-70756e18ad74"/>
    <s v="консолидация кредитов"/>
    <s v="в аренде"/>
    <s v="краткосрочный"/>
    <x v="1"/>
    <b v="0"/>
    <n v="0.685227663722904"/>
    <n v="0.75151515151515147"/>
    <n v="0.10399919003746076"/>
  </r>
  <r>
    <n v="178"/>
    <n v="0"/>
    <n v="175428"/>
    <n v="698"/>
    <n v="1136238"/>
    <n v="68"/>
    <n v="2594.4499999999998"/>
    <n v="30.5"/>
    <n v="4"/>
    <n v="70832"/>
    <n v="96470"/>
    <x v="5"/>
    <s v="3d444fd0-12df-4671-a439-e6933570da1b"/>
    <s v="приобретение автомобиля"/>
    <s v="в аренде"/>
    <s v="краткосрочный"/>
    <x v="0"/>
    <b v="0"/>
    <n v="0.20019497648812937"/>
    <n v="0.67878787878787883"/>
    <n v="2.7400421390588941E-2"/>
  </r>
  <r>
    <n v="179"/>
    <n v="0"/>
    <n v="216370"/>
    <n v="723"/>
    <n v="1168044"/>
    <n v="0"/>
    <n v="6446.89"/>
    <n v="8.1999999999999993"/>
    <n v="10"/>
    <n v="239970"/>
    <n v="551320"/>
    <x v="5"/>
    <s v="c56cdb33-b1fd-4d8b-9b63-db54333910a8"/>
    <s v="консолидация кредитов"/>
    <s v="в аренде"/>
    <s v="краткосрочный"/>
    <x v="0"/>
    <b v="0"/>
    <n v="0.25355545360706505"/>
    <n v="0.83030303030303032"/>
    <n v="6.6232676166308804E-2"/>
  </r>
  <r>
    <n v="180"/>
    <n v="1"/>
    <m/>
    <n v="743"/>
    <n v="756352"/>
    <n v="0"/>
    <n v="11849.54"/>
    <n v="18.399999999999999"/>
    <n v="9"/>
    <n v="46341"/>
    <n v="496870"/>
    <x v="1"/>
    <s v="7391b4e2-f7fe-41dd-bb58-eddcce0ea92d"/>
    <s v="ремонт жилья"/>
    <s v="в ипотеке"/>
    <s v="краткосрочный"/>
    <x v="0"/>
    <b v="0"/>
    <m/>
    <n v="0.95151515151515154"/>
    <n v="0.18800040192926046"/>
  </r>
  <r>
    <n v="181"/>
    <n v="2"/>
    <n v="234806"/>
    <n v="689"/>
    <n v="866799"/>
    <n v="7"/>
    <n v="3676.69"/>
    <n v="14.1"/>
    <n v="4"/>
    <n v="86051"/>
    <n v="167750"/>
    <x v="7"/>
    <s v="64dcd3aa-3c82-4c70-929a-a83d249d894a"/>
    <s v="консолидация кредитов"/>
    <s v="в ипотеке"/>
    <s v="долгосрочный"/>
    <x v="0"/>
    <b v="0"/>
    <n v="0.27758343846771416"/>
    <n v="0.62424242424242427"/>
    <n v="5.0900243309002433E-2"/>
  </r>
  <r>
    <n v="182"/>
    <n v="0"/>
    <n v="25806"/>
    <n v="685"/>
    <n v="742976"/>
    <n v="35"/>
    <n v="6377.16"/>
    <n v="7.1"/>
    <n v="5"/>
    <n v="8189"/>
    <n v="47432"/>
    <x v="0"/>
    <s v="51fcba2d-c634-4e05-ba0f-9d1b3e2e70a5"/>
    <s v="иное"/>
    <s v="в аренде"/>
    <s v="краткосрочный"/>
    <x v="1"/>
    <b v="0"/>
    <n v="5.1898153457965359E-3"/>
    <n v="0.6"/>
    <n v="0.10299918166939444"/>
  </r>
  <r>
    <n v="183"/>
    <n v="0"/>
    <n v="332706"/>
    <n v="735"/>
    <n v="957790"/>
    <n v="0"/>
    <n v="10855.08"/>
    <n v="6.6"/>
    <n v="9"/>
    <n v="220571"/>
    <n v="498828"/>
    <x v="1"/>
    <s v="62c2c24e-d73e-424b-b344-173ff9c1ab34"/>
    <s v="консолидация кредитов"/>
    <s v="в ипотеке"/>
    <s v="краткосрочный"/>
    <x v="0"/>
    <b v="0"/>
    <n v="0.40517834614061243"/>
    <n v="0.90303030303030307"/>
    <n v="0.136001586986709"/>
  </r>
  <r>
    <n v="184"/>
    <n v="0"/>
    <n v="333124"/>
    <n v="703"/>
    <n v="1300246"/>
    <n v="22"/>
    <n v="13110.76"/>
    <n v="14.6"/>
    <n v="10"/>
    <n v="173128"/>
    <n v="384032"/>
    <x v="1"/>
    <s v="7d09ca08-2cdd-4da0-8419-56efa1742725"/>
    <s v="консолидация кредитов"/>
    <s v="в ипотеке"/>
    <s v="краткосрочный"/>
    <x v="0"/>
    <b v="0"/>
    <n v="0.40572313338685628"/>
    <n v="0.70909090909090911"/>
    <n v="0.12099950317093842"/>
  </r>
  <r>
    <n v="185"/>
    <n v="0"/>
    <n v="441276"/>
    <n v="747"/>
    <n v="2305669"/>
    <n v="0"/>
    <n v="24017.52"/>
    <n v="17.8"/>
    <n v="14"/>
    <n v="678851"/>
    <n v="2245848"/>
    <x v="1"/>
    <s v="bc0556e1-ef0d-4ad8-a579-83fffe860d50"/>
    <s v="консолидация кредитов"/>
    <s v="в ипотеке"/>
    <s v="краткосрочный"/>
    <x v="0"/>
    <b v="0"/>
    <n v="0.54667966509920862"/>
    <n v="0.97575757575757571"/>
    <n v="0.12500070044746231"/>
  </r>
  <r>
    <n v="186"/>
    <n v="0"/>
    <n v="327756"/>
    <n v="707"/>
    <n v="830319"/>
    <n v="0"/>
    <n v="9271.81"/>
    <n v="15.8"/>
    <n v="6"/>
    <n v="245727"/>
    <n v="292732"/>
    <x v="3"/>
    <s v="2cfaebac-5ad2-44c3-804f-8cee5fd8ea96"/>
    <s v="консолидация кредитов"/>
    <s v="в аренде"/>
    <s v="краткосрочный"/>
    <x v="0"/>
    <b v="0"/>
    <n v="0.39872691822456702"/>
    <n v="0.73333333333333328"/>
    <n v="0.1339987643303357"/>
  </r>
  <r>
    <n v="187"/>
    <n v="0"/>
    <m/>
    <n v="736"/>
    <n v="1111367"/>
    <n v="77"/>
    <n v="16577.88"/>
    <n v="13.5"/>
    <n v="8"/>
    <n v="378746"/>
    <n v="594242"/>
    <x v="9"/>
    <s v="b5c327ed-2316-4b1e-98e4-5e0a31943bef"/>
    <s v="иное"/>
    <s v="в аренде"/>
    <s v="краткосрочный"/>
    <x v="0"/>
    <b v="0"/>
    <m/>
    <n v="0.90909090909090906"/>
    <n v="0.17899988032756056"/>
  </r>
  <r>
    <n v="188"/>
    <n v="0"/>
    <n v="476586"/>
    <n v="707"/>
    <n v="1403207"/>
    <n v="11"/>
    <n v="18241.52"/>
    <n v="13.4"/>
    <n v="6"/>
    <n v="91580"/>
    <n v="214654"/>
    <x v="8"/>
    <s v="e3c54e03-73c7-418d-9672-f3eda66c4f4f"/>
    <s v="консолидация кредитов"/>
    <s v="в аренде"/>
    <s v="краткосрочный"/>
    <x v="0"/>
    <b v="0"/>
    <n v="0.59269985090033261"/>
    <n v="0.73333333333333328"/>
    <n v="0.15599853763557336"/>
  </r>
  <r>
    <n v="189"/>
    <n v="1"/>
    <n v="263450"/>
    <n v="723"/>
    <n v="1168044"/>
    <n v="0"/>
    <n v="7319.18"/>
    <n v="16.899999999999999"/>
    <n v="17"/>
    <n v="169100"/>
    <n v="621610"/>
    <x v="1"/>
    <s v="9a378a11-d17c-486f-bdc8-2ce117215d6b"/>
    <s v="ремонт жилья"/>
    <s v="в ипотеке"/>
    <s v="краткосрочный"/>
    <x v="0"/>
    <b v="0"/>
    <n v="0.314915701341897"/>
    <n v="0.83030303030303032"/>
    <n v="7.5194222135467503E-2"/>
  </r>
  <r>
    <n v="190"/>
    <n v="0"/>
    <n v="261800"/>
    <n v="738"/>
    <n v="1488536"/>
    <n v="45"/>
    <n v="21087.72"/>
    <n v="16.5"/>
    <n v="8"/>
    <n v="178220"/>
    <n v="274780"/>
    <x v="6"/>
    <s v="b48dacc4-9a81-4817-9efc-62f4678f632b"/>
    <s v="консолидация кредитов"/>
    <s v="в аренде"/>
    <s v="краткосрочный"/>
    <x v="0"/>
    <b v="0"/>
    <n v="0.31276522536988188"/>
    <n v="0.92121212121212126"/>
    <n v="0.17000102113754723"/>
  </r>
  <r>
    <n v="191"/>
    <n v="0"/>
    <n v="433136"/>
    <n v="682"/>
    <n v="1178323"/>
    <n v="0"/>
    <n v="17969.439999999999"/>
    <n v="17.600000000000001"/>
    <n v="16"/>
    <n v="355471"/>
    <n v="426514"/>
    <x v="7"/>
    <s v="bcb7a8a2-54b9-4d2e-907d-066d7db1332f"/>
    <s v="консолидация кредитов"/>
    <s v="в ипотеке"/>
    <s v="долгосрочный"/>
    <x v="1"/>
    <b v="0"/>
    <n v="0.53607065030393397"/>
    <n v="0.58181818181818179"/>
    <n v="0.18300014512149895"/>
  </r>
  <r>
    <n v="192"/>
    <n v="0"/>
    <n v="322124"/>
    <n v="716"/>
    <n v="1020034"/>
    <n v="0"/>
    <n v="16915.32"/>
    <n v="17.8"/>
    <n v="10"/>
    <n v="205865"/>
    <n v="341506"/>
    <x v="7"/>
    <s v="3569687c-9c83-4902-8499-07554a9de12b"/>
    <s v="консолидация кредитов"/>
    <s v="в ипотеке"/>
    <s v="долгосрочный"/>
    <x v="1"/>
    <b v="0"/>
    <n v="0.39138662690675535"/>
    <n v="0.78787878787878785"/>
    <n v="0.19899713146816675"/>
  </r>
  <r>
    <n v="193"/>
    <n v="0"/>
    <n v="107536"/>
    <n v="723"/>
    <n v="1168044"/>
    <n v="0"/>
    <n v="22176.61"/>
    <n v="13.5"/>
    <n v="7"/>
    <n v="107483"/>
    <n v="197868"/>
    <x v="4"/>
    <s v="477346c7-4293-4c1b-a712-89be53157e28"/>
    <s v="консолидация кредитов"/>
    <s v="в аренде"/>
    <s v="краткосрочный"/>
    <x v="1"/>
    <b v="0"/>
    <n v="0.11171005849294643"/>
    <n v="0.83030303030303032"/>
    <n v="0.22783330080031233"/>
  </r>
  <r>
    <n v="194"/>
    <n v="1"/>
    <n v="355410"/>
    <n v="723"/>
    <n v="1168044"/>
    <n v="0"/>
    <n v="13237.11"/>
    <n v="13.7"/>
    <n v="6"/>
    <n v="297293"/>
    <n v="397518"/>
    <x v="1"/>
    <s v="0c83cac3-592e-4d36-a601-b4e50af8e96e"/>
    <s v="консолидация кредитов"/>
    <s v="в ипотеке"/>
    <s v="краткосрочный"/>
    <x v="0"/>
    <b v="0"/>
    <n v="0.43476889551554077"/>
    <n v="0.83030303030303032"/>
    <n v="0.1359925824712083"/>
  </r>
  <r>
    <n v="195"/>
    <n v="0"/>
    <n v="437668"/>
    <n v="749"/>
    <n v="2683693"/>
    <n v="0"/>
    <n v="5993.55"/>
    <n v="21.5"/>
    <n v="7"/>
    <n v="326496"/>
    <n v="562584"/>
    <x v="3"/>
    <s v="67d9a806-c23d-45fc-8c49-aec86224c66f"/>
    <s v="консолидация кредитов"/>
    <s v="в ипотеке"/>
    <s v="краткосрочный"/>
    <x v="0"/>
    <b v="0"/>
    <n v="0.54197729097373548"/>
    <n v="0.98787878787878791"/>
    <n v="2.6799861235990853E-2"/>
  </r>
  <r>
    <n v="196"/>
    <n v="0"/>
    <n v="377322"/>
    <n v="740"/>
    <n v="1288162"/>
    <n v="16"/>
    <n v="17068.080000000002"/>
    <n v="36.299999999999997"/>
    <n v="8"/>
    <n v="358549"/>
    <n v="494824"/>
    <x v="4"/>
    <s v="36a90e1f-25bb-4666-b78a-62b17ecc427d"/>
    <s v="консолидация кредитов"/>
    <s v="в аренде"/>
    <s v="краткосрочный"/>
    <x v="0"/>
    <b v="0"/>
    <n v="0.46332721642390184"/>
    <n v="0.93333333333333335"/>
    <n v="0.15899938051269952"/>
  </r>
  <r>
    <n v="197"/>
    <n v="1"/>
    <n v="606122"/>
    <n v="693"/>
    <n v="1395911"/>
    <n v="0"/>
    <n v="24079.46"/>
    <n v="22.5"/>
    <n v="8"/>
    <n v="168378"/>
    <n v="332156"/>
    <x v="1"/>
    <s v="86ea6dde-87de-443a-98a8-1ddb8c454811"/>
    <s v="консолидация кредитов"/>
    <s v="в ипотеке"/>
    <s v="долгосрочный"/>
    <x v="0"/>
    <b v="0"/>
    <n v="0.76152655121000112"/>
    <n v="0.64848484848484844"/>
    <n v="0.20699995916645114"/>
  </r>
  <r>
    <n v="198"/>
    <n v="0"/>
    <n v="520982"/>
    <n v="724"/>
    <n v="1031111"/>
    <n v="0"/>
    <n v="17013.169999999998"/>
    <n v="15"/>
    <n v="12"/>
    <n v="267976"/>
    <n v="475178"/>
    <x v="1"/>
    <s v="f0d0fb77-c03c-4e41-86ce-421999997be0"/>
    <s v="консолидация кредитов"/>
    <s v="в аренде"/>
    <s v="долгосрочный"/>
    <x v="0"/>
    <b v="0"/>
    <n v="0.65056199105401991"/>
    <n v="0.83636363636363631"/>
    <n v="0.19799812047393536"/>
  </r>
  <r>
    <n v="199"/>
    <n v="0"/>
    <n v="304590"/>
    <n v="746"/>
    <n v="1202510"/>
    <n v="0"/>
    <n v="28960.18"/>
    <n v="19.7"/>
    <n v="9"/>
    <n v="314830"/>
    <n v="619982"/>
    <x v="9"/>
    <s v="c68e4653-01eb-4e55-88c3-80b151fa9c90"/>
    <s v="консолидация кредитов"/>
    <s v="в аренде"/>
    <s v="краткосрочный"/>
    <x v="1"/>
    <b v="0"/>
    <n v="0.3685342355774745"/>
    <n v="0.96969696969696972"/>
    <n v="0.28899731395165112"/>
  </r>
  <r>
    <n v="200"/>
    <n v="0"/>
    <n v="472362"/>
    <n v="732"/>
    <n v="1075058"/>
    <n v="0"/>
    <n v="22218.03"/>
    <n v="16.100000000000001"/>
    <n v="13"/>
    <n v="392369"/>
    <n v="542146"/>
    <x v="3"/>
    <s v="142ac1e6-9f6b-4656-b1c5-a3aeca3b3736"/>
    <s v="консолидация кредитов"/>
    <s v="в ипотеке"/>
    <s v="краткосрочный"/>
    <x v="1"/>
    <b v="0"/>
    <n v="0.58719463241197389"/>
    <n v="0.88484848484848488"/>
    <n v="0.24800183804036616"/>
  </r>
  <r>
    <n v="201"/>
    <n v="0"/>
    <n v="322872"/>
    <n v="708"/>
    <n v="985245"/>
    <n v="0"/>
    <n v="10895.17"/>
    <n v="17.5"/>
    <n v="7"/>
    <n v="106894"/>
    <n v="357698"/>
    <x v="1"/>
    <s v="91a2224e-3024-4b3c-848b-3ecf24503d71"/>
    <s v="ремонт жилья"/>
    <s v="в ипотеке"/>
    <s v="долгосрочный"/>
    <x v="1"/>
    <b v="0"/>
    <n v="0.39236150934740222"/>
    <n v="0.73939393939393938"/>
    <n v="0.13270002892681515"/>
  </r>
  <r>
    <n v="202"/>
    <n v="0"/>
    <n v="149402"/>
    <n v="727"/>
    <n v="841491"/>
    <n v="0"/>
    <n v="18723.169999999998"/>
    <n v="8.6"/>
    <n v="14"/>
    <n v="163571"/>
    <n v="539572"/>
    <x v="9"/>
    <s v="51e76175-9403-4871-a6e4-c5b5ea7a1412"/>
    <s v="консолидация кредитов"/>
    <s v="в аренде"/>
    <s v="краткосрочный"/>
    <x v="0"/>
    <b v="0"/>
    <n v="0.16627480215621057"/>
    <n v="0.8545454545454545"/>
    <n v="0.26699993226309016"/>
  </r>
  <r>
    <n v="203"/>
    <n v="0"/>
    <n v="150458"/>
    <n v="737"/>
    <n v="1330513"/>
    <n v="0"/>
    <n v="4446.1899999999996"/>
    <n v="13.9"/>
    <n v="13"/>
    <n v="129827"/>
    <n v="316492"/>
    <x v="3"/>
    <s v="546408e9-0300-401e-a111-446b87b78fa2"/>
    <s v="консолидация кредитов"/>
    <s v="в ипотеке"/>
    <s v="краткосрочный"/>
    <x v="0"/>
    <b v="0"/>
    <n v="0.16765110677830025"/>
    <n v="0.91515151515151516"/>
    <n v="4.0100532651691487E-2"/>
  </r>
  <r>
    <n v="204"/>
    <n v="0"/>
    <n v="268268"/>
    <n v="723"/>
    <n v="1168044"/>
    <n v="0"/>
    <n v="6896.62"/>
    <n v="16"/>
    <n v="10"/>
    <n v="207860"/>
    <n v="429044"/>
    <x v="3"/>
    <s v="77c02bb2-717c-459d-8828-7cfce08b4a0b"/>
    <s v="консолидация кредитов"/>
    <s v="в аренде"/>
    <s v="краткосрочный"/>
    <x v="0"/>
    <b v="0"/>
    <n v="0.32119509118018119"/>
    <n v="0.83030303030303032"/>
    <n v="7.0853015811048206E-2"/>
  </r>
  <r>
    <n v="205"/>
    <n v="0"/>
    <n v="341352"/>
    <n v="712"/>
    <n v="751108"/>
    <n v="0"/>
    <n v="10327.83"/>
    <n v="13.3"/>
    <n v="11"/>
    <n v="81377"/>
    <n v="110858"/>
    <x v="4"/>
    <s v="0e0fa488-b6cb-444e-b3cf-c2021a74cad8"/>
    <s v="консолидация кредитов"/>
    <s v="в ипотеке"/>
    <s v="долгосрочный"/>
    <x v="0"/>
    <b v="0"/>
    <n v="0.41644684023397177"/>
    <n v="0.76363636363636367"/>
    <n v="0.16500151775776586"/>
  </r>
  <r>
    <n v="206"/>
    <n v="0"/>
    <n v="432256"/>
    <n v="737"/>
    <n v="2053216"/>
    <n v="0"/>
    <n v="16305.8"/>
    <n v="17.399999999999999"/>
    <n v="11"/>
    <n v="316331"/>
    <n v="638088"/>
    <x v="1"/>
    <s v="2bac8213-2ea9-4aa7-9112-8cc72cbb616e"/>
    <s v="консолидация кредитов"/>
    <s v="в ипотеке"/>
    <s v="краткосрочный"/>
    <x v="1"/>
    <b v="0"/>
    <n v="0.53492372978552583"/>
    <n v="0.91515151515151516"/>
    <n v="9.5299082025466386E-2"/>
  </r>
  <r>
    <n v="207"/>
    <n v="1"/>
    <n v="301114"/>
    <n v="645"/>
    <n v="825246"/>
    <n v="0"/>
    <n v="5948.71"/>
    <n v="9"/>
    <n v="10"/>
    <n v="59888"/>
    <n v="372746"/>
    <x v="4"/>
    <s v="117496d1-3c6e-4299-a8f6-0e4668b6bef9"/>
    <s v="консолидация кредитов"/>
    <s v="в аренде"/>
    <s v="долгосрочный"/>
    <x v="0"/>
    <b v="0"/>
    <n v="0.36400389952976259"/>
    <n v="0.3575757575757576"/>
    <n v="8.650089791407653E-2"/>
  </r>
  <r>
    <n v="208"/>
    <n v="0"/>
    <n v="79398"/>
    <n v="718"/>
    <n v="761824"/>
    <n v="0"/>
    <n v="13459.03"/>
    <n v="15.5"/>
    <n v="13"/>
    <n v="159315"/>
    <n v="317526"/>
    <x v="5"/>
    <s v="289b5992-ceed-469a-9c30-9a8c5567a1ee"/>
    <s v="консолидация кредитов"/>
    <s v="в аренде"/>
    <s v="краткосрочный"/>
    <x v="0"/>
    <b v="0"/>
    <n v="7.5037274916848265E-2"/>
    <n v="0.8"/>
    <n v="0.21200219473264167"/>
  </r>
  <r>
    <n v="209"/>
    <n v="0"/>
    <n v="171842"/>
    <n v="724"/>
    <n v="612199"/>
    <n v="0"/>
    <n v="6734.17"/>
    <n v="11.8"/>
    <n v="12"/>
    <n v="330714"/>
    <n v="558228"/>
    <x v="5"/>
    <s v="50d18312-05f4-44c6-8b25-5afe86526d33"/>
    <s v="консолидация кредитов"/>
    <s v="в аренде"/>
    <s v="краткосрочный"/>
    <x v="0"/>
    <b v="0"/>
    <n v="0.19552127537561648"/>
    <n v="0.83636363636363631"/>
    <n v="0.13199962757208031"/>
  </r>
  <r>
    <n v="210"/>
    <n v="0"/>
    <n v="329120"/>
    <n v="715"/>
    <n v="1515896"/>
    <n v="0"/>
    <n v="21601.48"/>
    <n v="13"/>
    <n v="19"/>
    <n v="332576"/>
    <n v="683980"/>
    <x v="3"/>
    <s v="8156ed23-5700-4450-a981-dcff4cf322ce"/>
    <s v="консолидация кредитов"/>
    <s v="в ипотеке"/>
    <s v="долгосрочный"/>
    <x v="0"/>
    <b v="0"/>
    <n v="0.40050464502809957"/>
    <n v="0.78181818181818186"/>
    <n v="0.17099969918780708"/>
  </r>
  <r>
    <n v="211"/>
    <n v="0"/>
    <n v="486288"/>
    <n v="707"/>
    <n v="1654577"/>
    <n v="14"/>
    <n v="22612.47"/>
    <n v="14.9"/>
    <n v="18"/>
    <n v="407835"/>
    <n v="821282"/>
    <x v="2"/>
    <s v="fa3af482-4fd5-4b0c-8d75-d3292a195463"/>
    <s v="консолидация кредитов"/>
    <s v="в ипотеке"/>
    <s v="долгосрочный"/>
    <x v="0"/>
    <b v="0"/>
    <n v="0.6053446496157816"/>
    <n v="0.73333333333333328"/>
    <n v="0.16399940286852774"/>
  </r>
  <r>
    <n v="212"/>
    <n v="1"/>
    <n v="104368"/>
    <n v="691"/>
    <n v="853974"/>
    <n v="32"/>
    <n v="22559.08"/>
    <n v="20"/>
    <n v="10"/>
    <n v="116223"/>
    <n v="195580"/>
    <x v="9"/>
    <s v="9af01efe-ca83-4a69-bae2-a2d80b18e467"/>
    <s v="консолидация кредитов"/>
    <s v="в аренде"/>
    <s v="краткосрочный"/>
    <x v="0"/>
    <b v="0"/>
    <n v="0.10758114462667737"/>
    <n v="0.63636363636363635"/>
    <n v="0.31699906554532109"/>
  </r>
  <r>
    <n v="213"/>
    <n v="0"/>
    <n v="205854"/>
    <n v="717"/>
    <n v="1898860"/>
    <n v="15"/>
    <n v="31647.73"/>
    <n v="22.3"/>
    <n v="6"/>
    <n v="195738"/>
    <n v="251284"/>
    <x v="1"/>
    <s v="660e1e64-6904-4904-acd7-6c7dc096bbfc"/>
    <s v="консолидация кредитов"/>
    <s v="в ипотеке"/>
    <s v="краткосрочный"/>
    <x v="0"/>
    <b v="0"/>
    <n v="0.23984975341208853"/>
    <n v="0.79393939393939394"/>
    <n v="0.20000040024014407"/>
  </r>
  <r>
    <n v="214"/>
    <n v="0"/>
    <n v="96690"/>
    <n v="673"/>
    <n v="280136"/>
    <n v="51"/>
    <n v="4598.76"/>
    <n v="17.8"/>
    <n v="4"/>
    <n v="179037"/>
    <n v="329582"/>
    <x v="1"/>
    <s v="1eff98c5-6382-4c2b-8241-1193ea885216"/>
    <s v="консолидация кредитов"/>
    <s v="в ипотеке"/>
    <s v="краткосрочный"/>
    <x v="1"/>
    <b v="0"/>
    <n v="9.7574263103566927E-2"/>
    <n v="0.52727272727272723"/>
    <n v="0.19699403147042865"/>
  </r>
  <r>
    <n v="215"/>
    <n v="0"/>
    <n v="111408"/>
    <n v="733"/>
    <n v="1154592"/>
    <n v="47"/>
    <n v="18762.12"/>
    <n v="20.399999999999999"/>
    <n v="9"/>
    <n v="283936"/>
    <n v="465674"/>
    <x v="1"/>
    <s v="580287c4-97f3-4e12-b815-4a57be8fc372"/>
    <s v="консолидация кредитов"/>
    <s v="в аренде"/>
    <s v="краткосрочный"/>
    <x v="0"/>
    <b v="0"/>
    <n v="0.11675650877394196"/>
    <n v="0.89090909090909087"/>
    <n v="0.19499999999999998"/>
  </r>
  <r>
    <n v="216"/>
    <n v="0"/>
    <n v="284152"/>
    <n v="700"/>
    <n v="1054519"/>
    <n v="36"/>
    <n v="15202.66"/>
    <n v="14"/>
    <n v="12"/>
    <n v="182780"/>
    <n v="366146"/>
    <x v="1"/>
    <s v="b0e36332-8a35-45a8-94bb-a2ccdbb43f93"/>
    <s v="консолидация кредитов"/>
    <s v="в ипотеке"/>
    <s v="краткосрочный"/>
    <x v="0"/>
    <b v="0"/>
    <n v="0.34189700653744698"/>
    <n v="0.69090909090909092"/>
    <n v="0.17300012612385363"/>
  </r>
  <r>
    <n v="217"/>
    <n v="1"/>
    <n v="269170"/>
    <n v="714"/>
    <n v="1259206"/>
    <n v="0"/>
    <n v="15110.51"/>
    <n v="10.199999999999999"/>
    <n v="9"/>
    <n v="392730"/>
    <n v="639584"/>
    <x v="1"/>
    <s v="f2679b6f-e5c8-4af8-8027-b2933a535741"/>
    <s v="консолидация кредитов"/>
    <s v="в ипотеке"/>
    <s v="краткосрочный"/>
    <x v="1"/>
    <b v="0"/>
    <n v="0.3223706847115495"/>
    <n v="0.77575757575757576"/>
    <n v="0.14400036213296316"/>
  </r>
  <r>
    <n v="218"/>
    <n v="0"/>
    <n v="149116"/>
    <n v="700"/>
    <n v="1380160"/>
    <n v="0"/>
    <n v="18171.98"/>
    <n v="10.8"/>
    <n v="5"/>
    <n v="95171"/>
    <n v="112574"/>
    <x v="8"/>
    <s v="3ee8dea0-7560-4a54-8cf2-18a196f68618"/>
    <s v="ремонт жилья"/>
    <s v="в ипотеке"/>
    <s v="краткосрочный"/>
    <x v="0"/>
    <b v="0"/>
    <n v="0.16590205298772795"/>
    <n v="0.69090909090909092"/>
    <n v="0.1579988986784141"/>
  </r>
  <r>
    <n v="219"/>
    <n v="0"/>
    <n v="396792"/>
    <n v="731"/>
    <n v="745997"/>
    <n v="0"/>
    <n v="7522.29"/>
    <n v="18.7"/>
    <n v="11"/>
    <n v="295944"/>
    <n v="835802"/>
    <x v="1"/>
    <s v="e74223bc-f0d9-4ae5-8616-229c49df7902"/>
    <s v="консолидация кредитов"/>
    <s v="в собственности"/>
    <s v="долгосрочный"/>
    <x v="0"/>
    <b v="0"/>
    <n v="0.48870283289368049"/>
    <n v="0.87878787878787878"/>
    <n v="0.12100247051931845"/>
  </r>
  <r>
    <n v="220"/>
    <n v="0"/>
    <n v="128832"/>
    <n v="719"/>
    <n v="1483520"/>
    <n v="38"/>
    <n v="8381.85"/>
    <n v="30.9"/>
    <n v="4"/>
    <n v="36708"/>
    <n v="64372"/>
    <x v="1"/>
    <s v="7fa3a146-1ab1-48bf-8917-41022a07383a"/>
    <s v="консолидация кредитов"/>
    <s v="в аренде"/>
    <s v="краткосрочный"/>
    <x v="0"/>
    <b v="0"/>
    <n v="0.13946553503842185"/>
    <n v="0.80606060606060603"/>
    <n v="6.7799692622950825E-2"/>
  </r>
  <r>
    <n v="221"/>
    <n v="1"/>
    <n v="152790"/>
    <n v="743"/>
    <n v="678661"/>
    <n v="8"/>
    <n v="4450.9399999999996"/>
    <n v="14"/>
    <n v="5"/>
    <n v="119510"/>
    <n v="229086"/>
    <x v="1"/>
    <s v="0ce26174-19c8-48b5-8a4d-226aca78367e"/>
    <s v="консолидация кредитов"/>
    <s v="в аренде"/>
    <s v="краткосрочный"/>
    <x v="0"/>
    <b v="0"/>
    <n v="0.17069044615208165"/>
    <n v="0.95151515151515154"/>
    <n v="7.8700971471765718E-2"/>
  </r>
  <r>
    <n v="222"/>
    <n v="0"/>
    <n v="152966"/>
    <n v="708"/>
    <n v="1334902"/>
    <n v="41"/>
    <n v="10845.96"/>
    <n v="17.100000000000001"/>
    <n v="13"/>
    <n v="82593"/>
    <n v="302654"/>
    <x v="6"/>
    <s v="9f9bb0ba-9afd-4b10-b489-28cd65bbf75c"/>
    <s v="консолидация кредитов"/>
    <s v="в ипотеке"/>
    <s v="краткосрочный"/>
    <x v="1"/>
    <b v="0"/>
    <n v="0.17091983025576327"/>
    <n v="0.73939393939393938"/>
    <n v="9.7498932505906799E-2"/>
  </r>
  <r>
    <n v="223"/>
    <n v="0"/>
    <n v="292292"/>
    <n v="741"/>
    <n v="666805"/>
    <n v="0"/>
    <n v="6223.45"/>
    <n v="15"/>
    <n v="7"/>
    <n v="81016"/>
    <n v="198352"/>
    <x v="5"/>
    <s v="529f45cf-801d-4844-994d-8b3b2db40bd9"/>
    <s v="бизнес"/>
    <s v="в аренде"/>
    <s v="краткосрочный"/>
    <x v="1"/>
    <b v="0"/>
    <n v="0.35250602133272163"/>
    <n v="0.93939393939393945"/>
    <n v="0.11199886023650092"/>
  </r>
  <r>
    <n v="224"/>
    <n v="0"/>
    <n v="449460"/>
    <n v="658"/>
    <n v="1057768"/>
    <n v="0"/>
    <n v="19039.71"/>
    <n v="16.3"/>
    <n v="8"/>
    <n v="367992"/>
    <n v="510290"/>
    <x v="2"/>
    <s v="4c328ed4-c746-4ae6-92cc-8c648dd8c366"/>
    <s v="консолидация кредитов"/>
    <s v="в аренде"/>
    <s v="долгосрочный"/>
    <x v="0"/>
    <b v="0"/>
    <n v="0.55734602592040372"/>
    <n v="0.43636363636363634"/>
    <n v="0.21599870671073429"/>
  </r>
  <r>
    <n v="225"/>
    <n v="0"/>
    <n v="86724"/>
    <n v="716"/>
    <n v="580469"/>
    <n v="0"/>
    <n v="7352.62"/>
    <n v="4.9000000000000004"/>
    <n v="6"/>
    <n v="109687"/>
    <n v="182226"/>
    <x v="6"/>
    <s v="248d929d-28d2-437b-a3ab-912346b03513"/>
    <s v="консолидация кредитов"/>
    <s v="в ипотеке"/>
    <s v="краткосрочный"/>
    <x v="0"/>
    <b v="0"/>
    <n v="8.4585388232595482E-2"/>
    <n v="0.78787878787878785"/>
    <n v="0.15200026185722235"/>
  </r>
  <r>
    <n v="226"/>
    <n v="0"/>
    <n v="67166"/>
    <n v="723"/>
    <n v="1168044"/>
    <n v="0"/>
    <n v="42060.68"/>
    <n v="27.4"/>
    <n v="11"/>
    <n v="679725"/>
    <n v="927014"/>
    <x v="10"/>
    <s v="9bf42874-90b7-44b2-8567-0b26b2ce7f77"/>
    <s v="консолидация кредитов"/>
    <s v="в аренде"/>
    <s v="долгосрочный"/>
    <x v="0"/>
    <b v="0"/>
    <n v="5.909507971097603E-2"/>
    <n v="0.83030303030303032"/>
    <n v="0.43211399570564124"/>
  </r>
  <r>
    <n v="227"/>
    <n v="0"/>
    <n v="223850"/>
    <n v="723"/>
    <n v="1168044"/>
    <n v="0"/>
    <n v="7684.74"/>
    <n v="17.3"/>
    <n v="8"/>
    <n v="87609"/>
    <n v="301928"/>
    <x v="9"/>
    <s v="48cdef94-bd16-4df1-98fc-50fc3efae88e"/>
    <s v="консолидация кредитов"/>
    <s v="в аренде"/>
    <s v="краткосрочный"/>
    <x v="1"/>
    <b v="0"/>
    <n v="0.26330427801353368"/>
    <n v="0.83030303030303032"/>
    <n v="7.8949834081592812E-2"/>
  </r>
  <r>
    <n v="228"/>
    <n v="0"/>
    <n v="763840"/>
    <n v="742"/>
    <n v="1639776"/>
    <n v="0"/>
    <n v="23640.18"/>
    <n v="21.4"/>
    <n v="9"/>
    <n v="606461"/>
    <n v="1141800"/>
    <x v="1"/>
    <s v="bdc8384b-c937-4c0b-b2a5-8e3d755c8d7b"/>
    <s v="консолидация кредитов"/>
    <s v="в ипотеке"/>
    <s v="краткосрочный"/>
    <x v="0"/>
    <b v="0"/>
    <n v="0.96708338112168823"/>
    <n v="0.94545454545454544"/>
    <n v="0.17300055617352614"/>
  </r>
  <r>
    <n v="229"/>
    <n v="0"/>
    <n v="83864"/>
    <n v="699"/>
    <n v="564414"/>
    <n v="53"/>
    <n v="11711.6"/>
    <n v="11.9"/>
    <n v="12"/>
    <n v="18639"/>
    <n v="107932"/>
    <x v="4"/>
    <s v="c746e142-7048-4f4d-b3ff-294bc3673b3c"/>
    <s v="консолидация кредитов"/>
    <s v="в аренде"/>
    <s v="краткосрочный"/>
    <x v="1"/>
    <b v="0"/>
    <n v="8.0857896547769245E-2"/>
    <n v="0.68484848484848482"/>
    <n v="0.24900020197939812"/>
  </r>
  <r>
    <n v="230"/>
    <n v="0"/>
    <m/>
    <n v="724"/>
    <n v="687420"/>
    <n v="49"/>
    <n v="6530.49"/>
    <n v="11.1"/>
    <n v="4"/>
    <n v="18715"/>
    <n v="37620"/>
    <x v="6"/>
    <s v="9f11cce9-12a9-48ff-a776-62aa7f6beebf"/>
    <s v="иное"/>
    <s v="в аренде"/>
    <s v="краткосрочный"/>
    <x v="0"/>
    <b v="0"/>
    <m/>
    <n v="0.83636363636363631"/>
    <n v="0.11399999999999999"/>
  </r>
  <r>
    <n v="231"/>
    <n v="0"/>
    <n v="142846"/>
    <n v="750"/>
    <n v="654227"/>
    <n v="16"/>
    <n v="16246.71"/>
    <n v="17.2"/>
    <n v="9"/>
    <n v="53694"/>
    <n v="112662"/>
    <x v="1"/>
    <s v="2f026faa-1ea6-47b1-8be0-c69631b988f6"/>
    <s v="консолидация кредитов"/>
    <s v="в ипотеке"/>
    <s v="краткосрочный"/>
    <x v="1"/>
    <b v="0"/>
    <n v="0.15773024429407043"/>
    <n v="0.9939393939393939"/>
    <n v="0.29800133592774375"/>
  </r>
  <r>
    <n v="232"/>
    <n v="0"/>
    <n v="551980"/>
    <n v="720"/>
    <n v="1906840"/>
    <n v="0"/>
    <n v="33528.54"/>
    <n v="22.6"/>
    <n v="6"/>
    <n v="334780"/>
    <n v="441518"/>
    <x v="2"/>
    <s v="7b2a256c-be3f-4f98-b797-f9f38f075a66"/>
    <s v="малый бизнес"/>
    <s v="в собственности"/>
    <s v="долгосрочный"/>
    <x v="1"/>
    <b v="0"/>
    <n v="0.6909622663149444"/>
    <n v="0.81212121212121213"/>
    <n v="0.21099960143483459"/>
  </r>
  <r>
    <n v="233"/>
    <n v="0"/>
    <n v="504658"/>
    <n v="685"/>
    <n v="3874100"/>
    <n v="1"/>
    <n v="4100.2"/>
    <n v="16"/>
    <n v="7"/>
    <n v="167827"/>
    <n v="397408"/>
    <x v="1"/>
    <s v="a02537d3-16b1-4a7a-a8a0-e7cf0ff98e6c"/>
    <s v="консолидация кредитов"/>
    <s v="в аренде"/>
    <s v="краткосрочный"/>
    <x v="0"/>
    <b v="0"/>
    <n v="0.62928661543755016"/>
    <n v="0.6"/>
    <n v="1.2700343305541931E-2"/>
  </r>
  <r>
    <n v="234"/>
    <n v="0"/>
    <m/>
    <n v="699"/>
    <n v="656849"/>
    <n v="60"/>
    <n v="3848.07"/>
    <n v="11.7"/>
    <n v="10"/>
    <n v="30552"/>
    <n v="198682"/>
    <x v="2"/>
    <s v="3e28b8e1-eec6-4c4a-8b1b-d718535bc995"/>
    <s v="консолидация кредитов"/>
    <s v="в аренде"/>
    <s v="краткосрочный"/>
    <x v="0"/>
    <b v="0"/>
    <m/>
    <n v="0.68484848484848482"/>
    <n v="7.0300540915796489E-2"/>
  </r>
  <r>
    <n v="235"/>
    <n v="0"/>
    <n v="177628"/>
    <n v="709"/>
    <n v="843771"/>
    <n v="0"/>
    <n v="5027.59"/>
    <n v="10.3"/>
    <n v="8"/>
    <n v="94221"/>
    <n v="172062"/>
    <x v="3"/>
    <s v="c8d35d40-d82a-4eed-9768-c09e61f8fe68"/>
    <s v="консолидация кредитов"/>
    <s v="в аренде"/>
    <s v="долгосрочный"/>
    <x v="1"/>
    <b v="0"/>
    <n v="0.20306227778414956"/>
    <n v="0.74545454545454548"/>
    <n v="7.150172262379248E-2"/>
  </r>
  <r>
    <n v="236"/>
    <n v="0"/>
    <m/>
    <n v="739"/>
    <n v="1004321"/>
    <n v="0"/>
    <n v="30547.82"/>
    <n v="13.8"/>
    <n v="13"/>
    <n v="137997"/>
    <n v="504086"/>
    <x v="5"/>
    <s v="eef2c01f-7676-48e3-96d2-5d965f7efbd7"/>
    <s v="иное"/>
    <s v="в аренде"/>
    <s v="краткосрочный"/>
    <x v="0"/>
    <b v="0"/>
    <m/>
    <n v="0.92727272727272725"/>
    <n v="0.36499668930551088"/>
  </r>
  <r>
    <n v="237"/>
    <n v="0"/>
    <n v="398464"/>
    <n v="715"/>
    <n v="975004"/>
    <n v="0"/>
    <n v="15356.37"/>
    <n v="20.5"/>
    <n v="13"/>
    <n v="326857"/>
    <n v="650276"/>
    <x v="1"/>
    <s v="7a4ecabe-6d54-4609-a0f0-17b20b1622a9"/>
    <s v="консолидация кредитов"/>
    <s v="в ипотеке"/>
    <s v="долгосрочный"/>
    <x v="0"/>
    <b v="0"/>
    <n v="0.49088198187865578"/>
    <n v="0.78181818181818186"/>
    <n v="0.18900070153558346"/>
  </r>
  <r>
    <n v="238"/>
    <n v="0"/>
    <n v="732028"/>
    <n v="737"/>
    <n v="1724193"/>
    <n v="21"/>
    <n v="32041.22"/>
    <n v="18.5"/>
    <n v="14"/>
    <n v="628425"/>
    <n v="1017698"/>
    <x v="1"/>
    <s v="4a38f197-1e4a-49f9-bc02-7563c7663f69"/>
    <s v="консолидация кредитов"/>
    <s v="в ипотеке"/>
    <s v="краткосрочный"/>
    <x v="0"/>
    <b v="0"/>
    <n v="0.92562220438123644"/>
    <n v="0.91515151515151516"/>
    <n v="0.22299976858739132"/>
  </r>
  <r>
    <n v="239"/>
    <n v="1"/>
    <n v="660132"/>
    <n v="722"/>
    <n v="1634323"/>
    <n v="0"/>
    <n v="18931.03"/>
    <n v="16.7"/>
    <n v="17"/>
    <n v="452713"/>
    <n v="927762"/>
    <x v="1"/>
    <s v="ee5f9ebe-0bc7-4be2-ba09-07329fb9f0f9"/>
    <s v="консолидация кредитов"/>
    <s v="в ипотеке"/>
    <s v="долгосрочный"/>
    <x v="0"/>
    <b v="0"/>
    <n v="0.83191879802729674"/>
    <n v="0.82424242424242422"/>
    <n v="0.1390008951718846"/>
  </r>
  <r>
    <n v="240"/>
    <n v="0"/>
    <n v="25894"/>
    <n v="748"/>
    <n v="1024727"/>
    <n v="0"/>
    <n v="12723.73"/>
    <n v="10.199999999999999"/>
    <n v="12"/>
    <n v="30590"/>
    <n v="492008"/>
    <x v="0"/>
    <s v="70e8b7c3-5c89-43d9-91b2-54c5f82e6aeb"/>
    <s v="консолидация кредитов"/>
    <s v="в аренде"/>
    <s v="краткосрочный"/>
    <x v="0"/>
    <b v="0"/>
    <n v="5.304507397637344E-3"/>
    <n v="0.98181818181818181"/>
    <n v="0.14900042645504608"/>
  </r>
  <r>
    <n v="241"/>
    <n v="0"/>
    <n v="553366"/>
    <n v="723"/>
    <n v="1168044"/>
    <n v="47"/>
    <n v="35698.910000000003"/>
    <n v="21.5"/>
    <n v="17"/>
    <n v="305349"/>
    <n v="657184"/>
    <x v="4"/>
    <s v="b2e263f2-7ca6-4def-ae66-425aca9a44ce"/>
    <s v="ремонт жилья"/>
    <s v="в ипотеке"/>
    <s v="краткосрочный"/>
    <x v="0"/>
    <b v="0"/>
    <n v="0.69276866613143706"/>
    <n v="0.83030303030303032"/>
    <n v="0.36675580714425143"/>
  </r>
  <r>
    <n v="242"/>
    <n v="0"/>
    <n v="77132"/>
    <n v="657"/>
    <n v="2093762"/>
    <n v="81"/>
    <n v="47284.160000000003"/>
    <n v="15.9"/>
    <n v="13"/>
    <n v="588449"/>
    <n v="703142"/>
    <x v="3"/>
    <s v="1c9b370f-8dce-4135-af08-8fdea9fcc3fa"/>
    <s v="медицинские препараты"/>
    <s v="в аренде"/>
    <s v="краткосрочный"/>
    <x v="0"/>
    <b v="1"/>
    <n v="7.2083954581947468E-2"/>
    <n v="0.4303030303030303"/>
    <n v="0.27100019964064687"/>
  </r>
  <r>
    <n v="243"/>
    <n v="0"/>
    <n v="128634"/>
    <n v="695"/>
    <n v="463657"/>
    <n v="16"/>
    <n v="9891.4"/>
    <n v="8.6999999999999993"/>
    <n v="9"/>
    <n v="76133"/>
    <n v="134178"/>
    <x v="6"/>
    <s v="fe12ac96-f1c9-4ee1-8564-7b9c407be684"/>
    <s v="иное"/>
    <s v="в ипотеке"/>
    <s v="краткосрочный"/>
    <x v="0"/>
    <b v="0"/>
    <n v="0.13920747792178001"/>
    <n v="0.66060606060606064"/>
    <n v="0.25600131131418263"/>
  </r>
  <r>
    <n v="244"/>
    <n v="0"/>
    <n v="429264"/>
    <n v="735"/>
    <n v="1816571"/>
    <n v="37"/>
    <n v="34060.730000000003"/>
    <n v="11.1"/>
    <n v="20"/>
    <n v="387353"/>
    <n v="1520398"/>
    <x v="0"/>
    <s v="016cec7a-d077-4efa-8ce1-01cb0c3f14ce"/>
    <s v="консолидация кредитов"/>
    <s v="в собственности"/>
    <s v="краткосрочный"/>
    <x v="0"/>
    <b v="0"/>
    <n v="0.53102420002293838"/>
    <n v="0.90303030303030307"/>
    <n v="0.22500015688899583"/>
  </r>
  <r>
    <n v="245"/>
    <n v="0"/>
    <n v="131032"/>
    <n v="723"/>
    <n v="1168044"/>
    <n v="31"/>
    <n v="2696.86"/>
    <n v="9.9"/>
    <n v="8"/>
    <n v="77520"/>
    <n v="255684"/>
    <x v="0"/>
    <s v="6d3ed03d-9b0f-4730-857f-2c31484bcb0c"/>
    <s v="консолидация кредитов"/>
    <s v="в ипотеке"/>
    <s v="краткосрочный"/>
    <x v="0"/>
    <b v="0"/>
    <n v="0.14233283633444202"/>
    <n v="0.83030303030303032"/>
    <n v="2.7706422018348626E-2"/>
  </r>
  <r>
    <n v="246"/>
    <n v="0"/>
    <n v="427988"/>
    <n v="729"/>
    <n v="1624082"/>
    <n v="0"/>
    <n v="3640.78"/>
    <n v="19.2"/>
    <n v="5"/>
    <n v="132088"/>
    <n v="378576"/>
    <x v="1"/>
    <s v="d05982f1-bfcd-418f-add8-afcdd79c1e02"/>
    <s v="консолидация кредитов"/>
    <s v="в аренде"/>
    <s v="долгосрочный"/>
    <x v="1"/>
    <b v="0"/>
    <n v="0.52936116527124666"/>
    <n v="0.8666666666666667"/>
    <n v="2.6900956971384452E-2"/>
  </r>
  <r>
    <n v="247"/>
    <n v="0"/>
    <n v="204248"/>
    <n v="737"/>
    <n v="779893"/>
    <n v="0"/>
    <n v="10788.39"/>
    <n v="23"/>
    <n v="10"/>
    <n v="225663"/>
    <n v="588522"/>
    <x v="3"/>
    <s v="597d860d-c890-4f31-b476-f8996bb8fdc4"/>
    <s v="консолидация кредитов"/>
    <s v="в ипотеке"/>
    <s v="краткосрочный"/>
    <x v="0"/>
    <b v="0"/>
    <n v="0.2377566234659938"/>
    <n v="0.91515151515151516"/>
    <n v="0.16599800229005773"/>
  </r>
  <r>
    <n v="248"/>
    <n v="0"/>
    <n v="653334"/>
    <n v="722"/>
    <n v="2068891"/>
    <n v="53"/>
    <n v="29309.21"/>
    <n v="21.3"/>
    <n v="9"/>
    <n v="294291"/>
    <n v="548724"/>
    <x v="1"/>
    <s v="ce0e117f-d104-4681-82cb-4bbe32ca48dd"/>
    <s v="консолидация кредитов"/>
    <s v="в собственности"/>
    <s v="краткосрочный"/>
    <x v="0"/>
    <b v="0"/>
    <n v="0.8230588370225943"/>
    <n v="0.82424242424242422"/>
    <n v="0.16999954081679508"/>
  </r>
  <r>
    <n v="249"/>
    <n v="4"/>
    <n v="226336"/>
    <n v="724"/>
    <n v="1409610"/>
    <n v="0"/>
    <n v="6331.56"/>
    <n v="17"/>
    <n v="5"/>
    <n v="79192"/>
    <n v="230428"/>
    <x v="10"/>
    <s v="19542fc0-6f7e-4e88-8d98-bb678d68ea30"/>
    <s v="консолидация кредитов"/>
    <s v="в аренде"/>
    <s v="краткосрочный"/>
    <x v="0"/>
    <b v="0"/>
    <n v="0.2665443284780365"/>
    <n v="0.83636363636363631"/>
    <n v="5.3900525677315007E-2"/>
  </r>
  <r>
    <n v="250"/>
    <n v="0"/>
    <m/>
    <n v="735"/>
    <n v="1520608"/>
    <n v="0"/>
    <n v="20376.169999999998"/>
    <n v="17.8"/>
    <n v="4"/>
    <n v="12084"/>
    <n v="19800"/>
    <x v="0"/>
    <s v="fedd8518-ead5-4392-ba6a-78707a75a5c6"/>
    <s v="консолидация кредитов"/>
    <s v="в ипотеке"/>
    <s v="краткосрочный"/>
    <x v="0"/>
    <b v="0"/>
    <m/>
    <n v="0.90303030303030307"/>
    <n v="0.16080017992802878"/>
  </r>
  <r>
    <n v="251"/>
    <n v="0"/>
    <n v="216612"/>
    <n v="722"/>
    <n v="897959"/>
    <n v="0"/>
    <n v="19006.650000000001"/>
    <n v="10.7"/>
    <n v="14"/>
    <n v="321670"/>
    <n v="955042"/>
    <x v="8"/>
    <s v="6841d292-bf4d-4f08-bdef-b851643cee7f"/>
    <s v="консолидация кредитов"/>
    <s v="в собственности"/>
    <s v="краткосрочный"/>
    <x v="1"/>
    <b v="0"/>
    <n v="0.25387085674962723"/>
    <n v="0.82424242424242422"/>
    <n v="0.25399801104504771"/>
  </r>
  <r>
    <n v="252"/>
    <n v="0"/>
    <n v="218130"/>
    <n v="728"/>
    <n v="602832"/>
    <n v="26"/>
    <n v="9142.7999999999993"/>
    <n v="17.600000000000001"/>
    <n v="10"/>
    <n v="202616"/>
    <n v="239888"/>
    <x v="3"/>
    <s v="f4a4857d-fdac-4f25-8886-607574527864"/>
    <s v="консолидация кредитов"/>
    <s v="в ипотеке"/>
    <s v="краткосрочный"/>
    <x v="1"/>
    <b v="0"/>
    <n v="0.25584929464388118"/>
    <n v="0.8606060606060606"/>
    <n v="0.1819969742813918"/>
  </r>
  <r>
    <n v="253"/>
    <n v="0"/>
    <n v="449768"/>
    <n v="723"/>
    <n v="1168044"/>
    <n v="0"/>
    <n v="31269.06"/>
    <n v="22.2"/>
    <n v="10"/>
    <n v="403028"/>
    <n v="1515118"/>
    <x v="5"/>
    <s v="ffe02306-8102-4c69-a514-72ef531ce7e1"/>
    <s v="консолидация кредитов"/>
    <s v="в ипотеке"/>
    <s v="долгосрочный"/>
    <x v="0"/>
    <b v="0"/>
    <n v="0.55774744810184651"/>
    <n v="0.83030303030303032"/>
    <n v="0.32124536404450521"/>
  </r>
  <r>
    <n v="254"/>
    <n v="1"/>
    <n v="431288"/>
    <n v="738"/>
    <n v="1378165"/>
    <n v="0"/>
    <n v="33879.85"/>
    <n v="28.8"/>
    <n v="15"/>
    <n v="280687"/>
    <n v="409838"/>
    <x v="1"/>
    <s v="07838ed8-d984-456f-bd10-308126ab9774"/>
    <s v="консолидация кредитов"/>
    <s v="в ипотеке"/>
    <s v="краткосрочный"/>
    <x v="0"/>
    <b v="0"/>
    <n v="0.53366211721527701"/>
    <n v="0.92121212121212126"/>
    <n v="0.29499965533880196"/>
  </r>
  <r>
    <n v="255"/>
    <n v="0"/>
    <n v="541794"/>
    <n v="674"/>
    <n v="1538145"/>
    <n v="64"/>
    <n v="12766.67"/>
    <n v="33.700000000000003"/>
    <n v="9"/>
    <n v="300029"/>
    <n v="557634"/>
    <x v="0"/>
    <s v="ee5e2ea2-6641-428d-9770-455672dfdd17"/>
    <s v="иное"/>
    <s v="в ипотеке"/>
    <s v="долгосрочный"/>
    <x v="0"/>
    <b v="0"/>
    <n v="0.67768666131437094"/>
    <n v="0.53333333333333333"/>
    <n v="9.960051880674449E-2"/>
  </r>
  <r>
    <n v="256"/>
    <n v="0"/>
    <n v="448404"/>
    <n v="746"/>
    <n v="1166220"/>
    <n v="20"/>
    <n v="19339.72"/>
    <n v="14.9"/>
    <n v="17"/>
    <n v="306907"/>
    <n v="504064"/>
    <x v="1"/>
    <s v="2d1f095e-2db8-4c97-a8aa-557615b67804"/>
    <s v="консолидация кредитов"/>
    <s v="в ипотеке"/>
    <s v="краткосрочный"/>
    <x v="1"/>
    <b v="0"/>
    <n v="0.55596972129831401"/>
    <n v="0.96969696969696972"/>
    <n v="0.19899902248289347"/>
  </r>
  <r>
    <n v="257"/>
    <n v="0"/>
    <n v="117854"/>
    <n v="709"/>
    <n v="848958"/>
    <n v="0"/>
    <n v="15069.09"/>
    <n v="15.4"/>
    <n v="10"/>
    <n v="404073"/>
    <n v="609994"/>
    <x v="1"/>
    <s v="70f10338-c42a-442b-8d27-fd47fe3f6d39"/>
    <s v="консолидация кредитов"/>
    <s v="в ипотеке"/>
    <s v="краткосрочный"/>
    <x v="0"/>
    <b v="0"/>
    <n v="0.12515770157128112"/>
    <n v="0.74545454545454548"/>
    <n v="0.21300120854035182"/>
  </r>
  <r>
    <n v="258"/>
    <n v="0"/>
    <n v="537196"/>
    <n v="654"/>
    <n v="2551643"/>
    <n v="0"/>
    <n v="55072.83"/>
    <n v="27"/>
    <n v="16"/>
    <n v="734597"/>
    <n v="1466542"/>
    <x v="1"/>
    <s v="e460bc99-b5fc-4b3b-979e-1e7c5be6c81d"/>
    <s v="консолидация кредитов"/>
    <s v="в ипотеке"/>
    <s v="долгосрочный"/>
    <x v="0"/>
    <b v="1"/>
    <n v="0.67169400160568871"/>
    <n v="0.41212121212121211"/>
    <n v="0.2589993819668347"/>
  </r>
  <r>
    <n v="259"/>
    <n v="1"/>
    <n v="196108"/>
    <n v="715"/>
    <n v="865602"/>
    <n v="29"/>
    <n v="11397.34"/>
    <n v="18.8"/>
    <n v="11"/>
    <n v="185478"/>
    <n v="259402"/>
    <x v="1"/>
    <s v="63796095-b7b6-4f04-b17c-e77f3c799fa5"/>
    <s v="консолидация кредитов"/>
    <s v="в ипотеке"/>
    <s v="краткосрочный"/>
    <x v="0"/>
    <b v="0"/>
    <n v="0.22714760867071912"/>
    <n v="0.78181818181818186"/>
    <n v="0.15800342420650598"/>
  </r>
  <r>
    <n v="260"/>
    <n v="0"/>
    <n v="337656"/>
    <n v="744"/>
    <n v="1205322"/>
    <n v="0"/>
    <n v="12254.05"/>
    <n v="11.4"/>
    <n v="6"/>
    <n v="41876"/>
    <n v="119416"/>
    <x v="1"/>
    <s v="6883114b-f6c5-4eec-8048-91be2a5068a7"/>
    <s v="консолидация кредитов"/>
    <s v="в ипотеке"/>
    <s v="краткосрочный"/>
    <x v="0"/>
    <b v="0"/>
    <n v="0.41162977405665785"/>
    <n v="0.95757575757575752"/>
    <n v="0.12199943251678803"/>
  </r>
  <r>
    <n v="261"/>
    <n v="0"/>
    <n v="441628"/>
    <n v="723"/>
    <n v="1168044"/>
    <n v="46"/>
    <n v="34469.61"/>
    <n v="16"/>
    <n v="5"/>
    <n v="58482"/>
    <n v="90530"/>
    <x v="4"/>
    <s v="5ddd0f20-e1b7-490a-a3dd-dd36d0380664"/>
    <s v="консолидация кредитов"/>
    <s v="в аренде"/>
    <s v="краткосрочный"/>
    <x v="1"/>
    <b v="0"/>
    <n v="0.54713843330657186"/>
    <n v="0.83030303030303032"/>
    <n v="0.35412648838571148"/>
  </r>
  <r>
    <n v="262"/>
    <n v="0"/>
    <n v="448272"/>
    <n v="716"/>
    <n v="1045285"/>
    <n v="24"/>
    <n v="16289.08"/>
    <n v="23"/>
    <n v="7"/>
    <n v="115558"/>
    <n v="157432"/>
    <x v="1"/>
    <s v="f7f8e132-37ed-4cc7-a5f9-5d5dea766cdb"/>
    <s v="консолидация кредитов"/>
    <s v="в ипотеке"/>
    <s v="долгосрочный"/>
    <x v="0"/>
    <b v="0"/>
    <n v="0.55579768322055279"/>
    <n v="0.78787878787878785"/>
    <n v="0.18700063619012997"/>
  </r>
  <r>
    <n v="263"/>
    <n v="0"/>
    <n v="581592"/>
    <n v="723"/>
    <n v="1168044"/>
    <n v="0"/>
    <n v="20455.02"/>
    <n v="17.5"/>
    <n v="13"/>
    <n v="363983"/>
    <n v="629970"/>
    <x v="1"/>
    <s v="01af6fa9-b03b-4271-ad41-68144af5174c"/>
    <s v="консолидация кредитов"/>
    <s v="в ипотеке"/>
    <s v="долгосрочный"/>
    <x v="1"/>
    <b v="0"/>
    <n v="0.72955614175937611"/>
    <n v="0.83030303030303032"/>
    <n v="0.21014639859457349"/>
  </r>
  <r>
    <n v="264"/>
    <n v="0"/>
    <n v="63140"/>
    <n v="733"/>
    <n v="233681"/>
    <n v="0"/>
    <n v="2122.4899999999998"/>
    <n v="14.9"/>
    <n v="3"/>
    <n v="58463"/>
    <n v="119592"/>
    <x v="4"/>
    <s v="f36aa067-20f8-4fc1-a4b3-ee8583e1771e"/>
    <s v="консолидация кредитов"/>
    <s v="в аренде"/>
    <s v="краткосрочный"/>
    <x v="1"/>
    <b v="0"/>
    <n v="5.3847918339259088E-2"/>
    <n v="0.89090909090909087"/>
    <n v="0.10899422717294087"/>
  </r>
  <r>
    <n v="265"/>
    <n v="0"/>
    <n v="223344"/>
    <n v="719"/>
    <n v="1157328"/>
    <n v="0"/>
    <n v="24111"/>
    <n v="17.399999999999999"/>
    <n v="8"/>
    <n v="100624"/>
    <n v="236830"/>
    <x v="8"/>
    <s v="a8cd0882-f4ae-44ed-bdba-b0fa88032f8d"/>
    <s v="консолидация кредитов"/>
    <s v="в аренде"/>
    <s v="краткосрочный"/>
    <x v="0"/>
    <b v="0"/>
    <n v="0.26264479871544905"/>
    <n v="0.80606060606060603"/>
    <n v="0.25"/>
  </r>
  <r>
    <n v="266"/>
    <n v="0"/>
    <n v="436172"/>
    <n v="744"/>
    <n v="1054747"/>
    <n v="0"/>
    <n v="13623.76"/>
    <n v="22.2"/>
    <n v="19"/>
    <n v="387315"/>
    <n v="2156110"/>
    <x v="6"/>
    <s v="f5b57b23-e214-427a-8d8f-79e3120cc3f5"/>
    <s v="ремонт жилья"/>
    <s v="в ипотеке"/>
    <s v="долгосрочный"/>
    <x v="0"/>
    <b v="0"/>
    <n v="0.54002752609244176"/>
    <n v="0.95757575757575752"/>
    <n v="0.15499936951705007"/>
  </r>
  <r>
    <n v="267"/>
    <n v="0"/>
    <n v="157146"/>
    <n v="735"/>
    <n v="678566"/>
    <n v="0"/>
    <n v="12610.11"/>
    <n v="16.5"/>
    <n v="7"/>
    <n v="116793"/>
    <n v="426602"/>
    <x v="10"/>
    <s v="1b7eb5be-f3f3-4fbd-9ea9-f5375ded5692"/>
    <s v="консолидация кредитов"/>
    <s v="в собственности"/>
    <s v="краткосрочный"/>
    <x v="0"/>
    <b v="0"/>
    <n v="0.17636770271820162"/>
    <n v="0.90303030303030307"/>
    <n v="0.22300162401299212"/>
  </r>
  <r>
    <n v="268"/>
    <n v="0"/>
    <n v="178046"/>
    <n v="716"/>
    <n v="2815781"/>
    <n v="0"/>
    <n v="18537.349999999999"/>
    <n v="22.5"/>
    <n v="9"/>
    <n v="486248"/>
    <n v="578666"/>
    <x v="1"/>
    <s v="2ea0bc45-2e41-4932-af65-e4ed6e8554cf"/>
    <s v="консолидация кредитов"/>
    <s v="в ипотеке"/>
    <s v="краткосрочный"/>
    <x v="0"/>
    <b v="0"/>
    <n v="0.20360706503039339"/>
    <n v="0.78787878787878785"/>
    <n v="7.9000533067024745E-2"/>
  </r>
  <r>
    <n v="269"/>
    <n v="0"/>
    <m/>
    <n v="721"/>
    <n v="805733"/>
    <n v="45"/>
    <n v="12757.55"/>
    <n v="15.9"/>
    <n v="9"/>
    <n v="93347"/>
    <n v="195448"/>
    <x v="1"/>
    <s v="e25e2a25-19db-4100-97fc-18282b8c98a0"/>
    <s v="консолидация кредитов"/>
    <s v="в ипотеке"/>
    <s v="краткосрочный"/>
    <x v="0"/>
    <b v="0"/>
    <m/>
    <n v="0.81818181818181823"/>
    <n v="0.19000165067087979"/>
  </r>
  <r>
    <n v="270"/>
    <n v="0"/>
    <m/>
    <n v="746"/>
    <n v="456646"/>
    <n v="56"/>
    <n v="2481.02"/>
    <n v="18.8"/>
    <n v="5"/>
    <n v="0"/>
    <n v="0"/>
    <x v="1"/>
    <s v="6c23d05e-c604-4b43-a6cb-7a0e44bad670"/>
    <s v="свадьба"/>
    <s v="в ипотеке"/>
    <s v="краткосрочный"/>
    <x v="0"/>
    <b v="0"/>
    <m/>
    <n v="0.96969696969696972"/>
    <n v="6.5197636681368062E-2"/>
  </r>
  <r>
    <n v="271"/>
    <n v="1"/>
    <n v="216194"/>
    <n v="720"/>
    <n v="1077528"/>
    <n v="14"/>
    <n v="8081.46"/>
    <n v="13.7"/>
    <n v="5"/>
    <n v="96463"/>
    <n v="174240"/>
    <x v="1"/>
    <s v="8cd8a9f1-ee07-4ba2-a0f8-87aa31435c90"/>
    <s v="консолидация кредитов"/>
    <s v="в ипотеке"/>
    <s v="краткосрочный"/>
    <x v="0"/>
    <b v="0"/>
    <n v="0.25332606950338343"/>
    <n v="0.81212121212121213"/>
    <n v="0.09"/>
  </r>
  <r>
    <n v="272"/>
    <n v="0"/>
    <n v="430100"/>
    <n v="739"/>
    <n v="1448655"/>
    <n v="0"/>
    <n v="23782.11"/>
    <n v="15.4"/>
    <n v="13"/>
    <n v="400178"/>
    <n v="716188"/>
    <x v="1"/>
    <s v="baba73db-8398-4d46-be16-3344448fc21f"/>
    <s v="консолидация кредитов"/>
    <s v="в ипотеке"/>
    <s v="краткосрочный"/>
    <x v="0"/>
    <b v="0"/>
    <n v="0.53211377451542607"/>
    <n v="0.92727272727272725"/>
    <n v="0.1970001967342121"/>
  </r>
  <r>
    <n v="273"/>
    <n v="0"/>
    <n v="562760"/>
    <n v="738"/>
    <n v="1263652"/>
    <n v="0"/>
    <n v="12426"/>
    <n v="13.1"/>
    <n v="8"/>
    <n v="478021"/>
    <n v="684178"/>
    <x v="2"/>
    <s v="22702252-ce3f-49f3-b62b-92022bf4c7fb"/>
    <s v="консолидация кредитов"/>
    <s v="в аренде"/>
    <s v="краткосрочный"/>
    <x v="0"/>
    <b v="0"/>
    <n v="0.70501204266544326"/>
    <n v="0.92121212121212126"/>
    <n v="0.11800084200396946"/>
  </r>
  <r>
    <n v="274"/>
    <n v="0"/>
    <n v="215006"/>
    <n v="723"/>
    <n v="1168044"/>
    <n v="0"/>
    <n v="22042.47"/>
    <n v="29.1"/>
    <n v="10"/>
    <n v="387714"/>
    <n v="464266"/>
    <x v="1"/>
    <s v="dabfeeab-b80c-41ab-90ae-8d3549d3c72b"/>
    <s v="консолидация кредитов"/>
    <s v="в ипотеке"/>
    <s v="краткосрочный"/>
    <x v="0"/>
    <b v="0"/>
    <n v="0.2517777268035325"/>
    <n v="0.83030303030303032"/>
    <n v="0.22645520203006053"/>
  </r>
  <r>
    <n v="275"/>
    <n v="0"/>
    <n v="325622"/>
    <n v="723"/>
    <n v="1168044"/>
    <n v="48"/>
    <n v="8831.01"/>
    <n v="15.2"/>
    <n v="25"/>
    <n v="144172"/>
    <n v="415250"/>
    <x v="2"/>
    <s v="df9f570e-c620-4065-a045-1fdb1441d8ca"/>
    <s v="консолидация кредитов"/>
    <s v="в аренде"/>
    <s v="краткосрочный"/>
    <x v="0"/>
    <b v="0"/>
    <n v="0.39594563596742743"/>
    <n v="0.83030303030303032"/>
    <n v="9.0726137029084525E-2"/>
  </r>
  <r>
    <n v="276"/>
    <n v="0"/>
    <n v="118998"/>
    <n v="686"/>
    <n v="576327"/>
    <n v="0"/>
    <n v="10037.700000000001"/>
    <n v="11.1"/>
    <n v="11"/>
    <n v="320834"/>
    <n v="518144"/>
    <x v="1"/>
    <s v="efb8142e-318b-4c95-ab8a-0debf34bea04"/>
    <s v="консолидация кредитов"/>
    <s v="в ипотеке"/>
    <s v="краткосрочный"/>
    <x v="0"/>
    <b v="0"/>
    <n v="0.12664869824521161"/>
    <n v="0.60606060606060608"/>
    <n v="0.20900009890218577"/>
  </r>
  <r>
    <n v="277"/>
    <n v="0"/>
    <n v="334356"/>
    <n v="749"/>
    <n v="1636318"/>
    <n v="0"/>
    <n v="25635.75"/>
    <n v="11.7"/>
    <n v="15"/>
    <n v="271928"/>
    <n v="1363098"/>
    <x v="5"/>
    <s v="7d58405b-a575-43df-882d-3053fef20637"/>
    <s v="ремонт жилья"/>
    <s v="в собственности"/>
    <s v="краткосрочный"/>
    <x v="1"/>
    <b v="0"/>
    <n v="0.40732882211262761"/>
    <n v="0.98787878787878791"/>
    <n v="0.18800074313183621"/>
  </r>
  <r>
    <n v="278"/>
    <n v="1"/>
    <n v="266926"/>
    <n v="725"/>
    <n v="1632936"/>
    <n v="0"/>
    <n v="20139.43"/>
    <n v="16"/>
    <n v="10"/>
    <n v="119586"/>
    <n v="422180"/>
    <x v="1"/>
    <s v="db57077a-6e13-425c-8e82-211c0e2f79c0"/>
    <s v="консолидация кредитов"/>
    <s v="в ипотеке"/>
    <s v="долгосрочный"/>
    <x v="0"/>
    <b v="0"/>
    <n v="0.31944603738960892"/>
    <n v="0.84242424242424241"/>
    <n v="0.14799916224518292"/>
  </r>
  <r>
    <n v="279"/>
    <n v="0"/>
    <n v="224796"/>
    <n v="681"/>
    <n v="573819"/>
    <n v="20"/>
    <n v="4925.37"/>
    <n v="11.4"/>
    <n v="6"/>
    <n v="115862"/>
    <n v="296780"/>
    <x v="9"/>
    <s v="191d6883-713d-4380-96d6-417a9cc0830d"/>
    <s v="бизнес"/>
    <s v="в собственности"/>
    <s v="краткосрочный"/>
    <x v="1"/>
    <b v="0"/>
    <n v="0.26453721757082233"/>
    <n v="0.5757575757575758"/>
    <n v="0.10300188735472335"/>
  </r>
  <r>
    <n v="280"/>
    <n v="1"/>
    <n v="401852"/>
    <n v="725"/>
    <n v="1263785"/>
    <n v="39"/>
    <n v="15059.97"/>
    <n v="15.3"/>
    <n v="6"/>
    <n v="58482"/>
    <n v="101376"/>
    <x v="1"/>
    <s v="26fa597c-e2b9-4873-8894-f3574e95503b"/>
    <s v="консолидация кредитов"/>
    <s v="в ипотеке"/>
    <s v="долгосрочный"/>
    <x v="0"/>
    <b v="0"/>
    <n v="0.49529762587452691"/>
    <n v="0.84242424242424241"/>
    <n v="0.14299872209276102"/>
  </r>
  <r>
    <n v="281"/>
    <n v="0"/>
    <n v="309540"/>
    <n v="723"/>
    <n v="1168044"/>
    <n v="0"/>
    <n v="26895.83"/>
    <n v="16.5"/>
    <n v="12"/>
    <n v="79686"/>
    <n v="262108"/>
    <x v="7"/>
    <s v="d75c5d50-9703-4571-85e9-37c19de411c5"/>
    <s v="консолидация кредитов"/>
    <s v="в ипотеке"/>
    <s v="краткосрочный"/>
    <x v="0"/>
    <b v="0"/>
    <n v="0.37498566349351992"/>
    <n v="0.83030303030303032"/>
    <n v="0.27631661136053098"/>
  </r>
  <r>
    <n v="282"/>
    <n v="0"/>
    <n v="273482"/>
    <n v="693"/>
    <n v="1115699"/>
    <n v="51"/>
    <n v="13667.27"/>
    <n v="15.9"/>
    <n v="6"/>
    <n v="65683"/>
    <n v="109758"/>
    <x v="1"/>
    <s v="87630839-daf3-4eab-9d2a-f53837fbb87a"/>
    <s v="консолидация кредитов"/>
    <s v="в ипотеке"/>
    <s v="долгосрочный"/>
    <x v="0"/>
    <b v="0"/>
    <n v="0.32799059525174906"/>
    <n v="0.64848484848484844"/>
    <n v="0.14699954019856609"/>
  </r>
  <r>
    <n v="283"/>
    <n v="0"/>
    <n v="323708"/>
    <n v="723"/>
    <n v="1640061"/>
    <n v="31"/>
    <n v="21047.439999999999"/>
    <n v="21.2"/>
    <n v="14"/>
    <n v="546782"/>
    <n v="924242"/>
    <x v="2"/>
    <s v="9d6258bf-f326-4fa5-8d51-c61c4e09ea84"/>
    <s v="консолидация кредитов"/>
    <s v="в аренде"/>
    <s v="краткосрочный"/>
    <x v="0"/>
    <b v="0"/>
    <n v="0.39345108383988991"/>
    <n v="0.83030303030303032"/>
    <n v="0.15399993049039029"/>
  </r>
  <r>
    <n v="284"/>
    <n v="0"/>
    <n v="88528"/>
    <n v="696"/>
    <n v="993833"/>
    <n v="35"/>
    <n v="2550.94"/>
    <n v="20.8"/>
    <n v="11"/>
    <n v="38532"/>
    <n v="241142"/>
    <x v="5"/>
    <s v="ceb55b24-7481-4290-a522-f9455d6f051c"/>
    <s v="консолидация кредитов"/>
    <s v="в аренде"/>
    <s v="краткосрочный"/>
    <x v="1"/>
    <b v="0"/>
    <n v="8.6936575295332039E-2"/>
    <n v="0.66666666666666663"/>
    <n v="3.0801231192765784E-2"/>
  </r>
  <r>
    <n v="285"/>
    <n v="0"/>
    <n v="249568"/>
    <n v="723"/>
    <n v="1168044"/>
    <n v="0"/>
    <n v="12209.21"/>
    <n v="14.1"/>
    <n v="17"/>
    <n v="300048"/>
    <n v="569536"/>
    <x v="2"/>
    <s v="30e80eb8-22e8-43b1-a927-6c98e5d1ff3c"/>
    <s v="консолидация кредитов"/>
    <s v="в ипотеке"/>
    <s v="краткосрочный"/>
    <x v="0"/>
    <b v="0"/>
    <n v="0.29682303016400963"/>
    <n v="0.83030303030303032"/>
    <n v="0.12543236384930703"/>
  </r>
  <r>
    <n v="286"/>
    <n v="1"/>
    <m/>
    <n v="713"/>
    <n v="606290"/>
    <n v="0"/>
    <n v="9145.08"/>
    <n v="14.7"/>
    <n v="11"/>
    <n v="39026"/>
    <n v="122144"/>
    <x v="8"/>
    <s v="561f4e5e-1c14-48f6-a973-f88429fdc265"/>
    <s v="консолидация кредитов"/>
    <s v="в аренде"/>
    <s v="краткосрочный"/>
    <x v="0"/>
    <b v="0"/>
    <m/>
    <n v="0.76969696969696966"/>
    <n v="0.18100407395800691"/>
  </r>
  <r>
    <n v="287"/>
    <n v="0"/>
    <n v="416834"/>
    <n v="723"/>
    <n v="1168044"/>
    <n v="0"/>
    <n v="17525.79"/>
    <n v="9.6999999999999993"/>
    <n v="13"/>
    <n v="219849"/>
    <n v="587884"/>
    <x v="0"/>
    <s v="e18f7cf9-0093-4946-a878-e239f14f2db7"/>
    <s v="консолидация кредитов"/>
    <s v="в собственности"/>
    <s v="краткосрочный"/>
    <x v="0"/>
    <b v="0"/>
    <n v="0.51482394770042439"/>
    <n v="0.83030303030303032"/>
    <n v="0.18005270349404648"/>
  </r>
  <r>
    <n v="288"/>
    <n v="0"/>
    <n v="110902"/>
    <n v="697"/>
    <n v="2202917"/>
    <n v="0"/>
    <n v="30290.18"/>
    <n v="11.5"/>
    <n v="20"/>
    <n v="104291"/>
    <n v="377366"/>
    <x v="3"/>
    <s v="735ddd4f-0c4a-41b8-ba3b-f52b98fa8e2e"/>
    <s v="консолидация кредитов"/>
    <s v="в аренде"/>
    <s v="краткосрочный"/>
    <x v="0"/>
    <b v="0"/>
    <n v="0.11609702947585732"/>
    <n v="0.67272727272727273"/>
    <n v="0.1650003881217495"/>
  </r>
  <r>
    <n v="289"/>
    <n v="0"/>
    <n v="132022"/>
    <n v="727"/>
    <n v="855095"/>
    <n v="55"/>
    <n v="14180.08"/>
    <n v="17.600000000000001"/>
    <n v="10"/>
    <n v="130131"/>
    <n v="251108"/>
    <x v="8"/>
    <s v="0abf8e06-2433-4009-8ad5-adf64ddc80c8"/>
    <s v="консолидация кредитов"/>
    <s v="в аренде"/>
    <s v="краткосрочный"/>
    <x v="0"/>
    <b v="0"/>
    <n v="0.14362312191765111"/>
    <n v="0.8545454545454545"/>
    <n v="0.19899655593822907"/>
  </r>
  <r>
    <n v="290"/>
    <n v="1"/>
    <n v="277948"/>
    <n v="707"/>
    <n v="1118948"/>
    <n v="63"/>
    <n v="29465.58"/>
    <n v="15.7"/>
    <n v="11"/>
    <n v="66994"/>
    <n v="129294"/>
    <x v="1"/>
    <s v="1dc24b5e-f322-469b-a154-a15fea750baf"/>
    <s v="консолидация кредитов"/>
    <s v="в аренде"/>
    <s v="краткосрочный"/>
    <x v="0"/>
    <b v="0"/>
    <n v="0.33381121688267001"/>
    <n v="0.73333333333333328"/>
    <n v="0.3159994566324798"/>
  </r>
  <r>
    <n v="291"/>
    <n v="0"/>
    <n v="219186"/>
    <n v="748"/>
    <n v="2233697"/>
    <n v="37"/>
    <n v="14779.72"/>
    <n v="20.6"/>
    <n v="11"/>
    <n v="281618"/>
    <n v="939708"/>
    <x v="2"/>
    <s v="33bf0df2-a905-4963-9d22-7375ee815b3d"/>
    <s v="консолидация кредитов"/>
    <s v="в ипотеке"/>
    <s v="краткосрочный"/>
    <x v="0"/>
    <b v="0"/>
    <n v="0.25722559926597088"/>
    <n v="0.98181818181818181"/>
    <n v="7.9400491651284849E-2"/>
  </r>
  <r>
    <n v="292"/>
    <n v="0"/>
    <n v="178684"/>
    <n v="739"/>
    <n v="1176727"/>
    <n v="45"/>
    <n v="19514.14"/>
    <n v="20.7"/>
    <n v="11"/>
    <n v="192337"/>
    <n v="281534"/>
    <x v="5"/>
    <s v="662a169b-55a7-49ff-be87-861f0fdbb357"/>
    <s v="консолидация кредитов"/>
    <s v="в аренде"/>
    <s v="краткосрочный"/>
    <x v="0"/>
    <b v="0"/>
    <n v="0.20443858240623924"/>
    <n v="0.92727272727272725"/>
    <n v="0.19900085576348636"/>
  </r>
  <r>
    <n v="293"/>
    <n v="1"/>
    <n v="108526"/>
    <n v="743"/>
    <n v="1312045"/>
    <n v="56"/>
    <n v="7380.17"/>
    <n v="19"/>
    <n v="10"/>
    <n v="71953"/>
    <n v="108504"/>
    <x v="8"/>
    <s v="9a9e3ed2-d6b2-47e3-b87a-312a5da73343"/>
    <s v="иное"/>
    <s v="в ипотеке"/>
    <s v="краткосрочный"/>
    <x v="0"/>
    <b v="0"/>
    <n v="0.11300034407615553"/>
    <n v="0.95151515151515154"/>
    <n v="6.7499239736441966E-2"/>
  </r>
  <r>
    <n v="294"/>
    <n v="0"/>
    <n v="222156"/>
    <n v="723"/>
    <n v="1168044"/>
    <n v="0"/>
    <n v="16960.54"/>
    <n v="15.9"/>
    <n v="7"/>
    <n v="170563"/>
    <n v="339922"/>
    <x v="1"/>
    <s v="bcd9849c-6b3a-4967-a7d2-fd071e621e77"/>
    <s v="ремонт жилья"/>
    <s v="в ипотеке"/>
    <s v="краткосрочный"/>
    <x v="0"/>
    <b v="0"/>
    <n v="0.26109645601559811"/>
    <n v="0.83030303030303032"/>
    <n v="0.17424555924263127"/>
  </r>
  <r>
    <n v="295"/>
    <n v="0"/>
    <n v="205524"/>
    <n v="676"/>
    <n v="1167132"/>
    <n v="41"/>
    <n v="18479.59"/>
    <n v="22.5"/>
    <n v="19"/>
    <n v="592249"/>
    <n v="864754"/>
    <x v="1"/>
    <s v="e50769c7-d01a-43af-b66d-9a13dc014f36"/>
    <s v="консолидация кредитов"/>
    <s v="в ипотеке"/>
    <s v="краткосрочный"/>
    <x v="0"/>
    <b v="0"/>
    <n v="0.23941965821768552"/>
    <n v="0.54545454545454541"/>
    <n v="0.19"/>
  </r>
  <r>
    <n v="296"/>
    <n v="0"/>
    <n v="134618"/>
    <n v="746"/>
    <n v="968905"/>
    <n v="0"/>
    <n v="16196.74"/>
    <n v="17"/>
    <n v="17"/>
    <n v="202540"/>
    <n v="1061170"/>
    <x v="4"/>
    <s v="a3e68c54-ec6c-4f27-861b-d60025f36cde"/>
    <s v="консолидация кредитов"/>
    <s v="в аренде"/>
    <s v="краткосрочный"/>
    <x v="1"/>
    <b v="0"/>
    <n v="0.14700653744695494"/>
    <n v="0.96969696969696972"/>
    <n v="0.20059849004804395"/>
  </r>
  <r>
    <n v="297"/>
    <n v="0"/>
    <n v="94974"/>
    <n v="694"/>
    <n v="301093"/>
    <n v="0"/>
    <n v="4842.53"/>
    <n v="9.3000000000000007"/>
    <n v="7"/>
    <n v="162564"/>
    <n v="341000"/>
    <x v="9"/>
    <s v="f83594ba-4d1d-45e2-ba80-5cf51e8c35f1"/>
    <s v="консолидация кредитов"/>
    <s v="в аренде"/>
    <s v="краткосрочный"/>
    <x v="0"/>
    <b v="0"/>
    <n v="9.533776809267118E-2"/>
    <n v="0.65454545454545454"/>
    <n v="0.192998043793778"/>
  </r>
  <r>
    <n v="298"/>
    <n v="0"/>
    <n v="523248"/>
    <n v="668"/>
    <n v="1468662"/>
    <n v="0"/>
    <n v="39286.68"/>
    <n v="14.8"/>
    <n v="9"/>
    <n v="621585"/>
    <n v="906466"/>
    <x v="0"/>
    <s v="9281ecfc-e6e4-42cf-97d9-bd7911ed4dae"/>
    <s v="консолидация кредитов"/>
    <s v="в собственности"/>
    <s v="долгосрочный"/>
    <x v="0"/>
    <b v="0"/>
    <n v="0.65351531138892072"/>
    <n v="0.49696969696969695"/>
    <n v="0.32099976713498407"/>
  </r>
  <r>
    <n v="299"/>
    <n v="0"/>
    <n v="588544"/>
    <n v="687"/>
    <n v="1491158"/>
    <n v="71"/>
    <n v="15284.36"/>
    <n v="16.3"/>
    <n v="17"/>
    <n v="428963"/>
    <n v="1118722"/>
    <x v="3"/>
    <s v="847a26f1-a423-49df-ae24-9b604609ad92"/>
    <s v="консолидация кредитов"/>
    <s v="в ипотеке"/>
    <s v="долгосрочный"/>
    <x v="0"/>
    <b v="0"/>
    <n v="0.73861681385479983"/>
    <n v="0.61212121212121207"/>
    <n v="0.1229999235493489"/>
  </r>
  <r>
    <n v="300"/>
    <n v="0"/>
    <m/>
    <n v="725"/>
    <n v="2229137"/>
    <n v="8"/>
    <n v="14656.6"/>
    <n v="19.899999999999999"/>
    <n v="6"/>
    <n v="125742"/>
    <n v="224334"/>
    <x v="4"/>
    <s v="09c6f224-cf1f-4c50-b3ac-30c93dc5ff28"/>
    <s v="консолидация кредитов"/>
    <s v="в аренде"/>
    <s v="краткосрочный"/>
    <x v="0"/>
    <b v="0"/>
    <m/>
    <n v="0.84242424242424241"/>
    <n v="7.8900130409212177E-2"/>
  </r>
  <r>
    <n v="301"/>
    <n v="2"/>
    <n v="319330"/>
    <n v="723"/>
    <n v="1168044"/>
    <n v="69"/>
    <n v="35750.400000000001"/>
    <n v="42.4"/>
    <n v="17"/>
    <n v="381995"/>
    <n v="785598"/>
    <x v="1"/>
    <s v="ca4f90bc-7222-4792-9061-6b30772818bf"/>
    <s v="консолидация кредитов"/>
    <s v="в ипотеке"/>
    <s v="краткосрочный"/>
    <x v="0"/>
    <b v="0"/>
    <n v="0.38774515426080974"/>
    <n v="0.83030303030303032"/>
    <n v="0.36728479406597697"/>
  </r>
  <r>
    <n v="302"/>
    <n v="0"/>
    <n v="391468"/>
    <n v="742"/>
    <n v="629850"/>
    <n v="14"/>
    <n v="10025.16"/>
    <n v="17.8"/>
    <n v="8"/>
    <n v="57570"/>
    <n v="169620"/>
    <x v="4"/>
    <s v="073e047d-fe1a-4d74-87e8-27fc569a9052"/>
    <s v="консолидация кредитов"/>
    <s v="в аренде"/>
    <s v="краткосрочный"/>
    <x v="0"/>
    <b v="0"/>
    <n v="0.48176396375731162"/>
    <n v="0.94545454545454544"/>
    <n v="0.19100090497737557"/>
  </r>
  <r>
    <n v="303"/>
    <n v="0"/>
    <m/>
    <n v="737"/>
    <n v="1054937"/>
    <n v="53"/>
    <n v="15472.27"/>
    <n v="22.8"/>
    <n v="11"/>
    <n v="480434"/>
    <n v="881606"/>
    <x v="1"/>
    <s v="f2c78905-f5de-4b37-97db-2b169ffb76a7"/>
    <s v="консолидация кредитов"/>
    <s v="в собственности"/>
    <s v="краткосрочный"/>
    <x v="0"/>
    <b v="0"/>
    <m/>
    <n v="0.91515151515151516"/>
    <n v="0.17599841507123173"/>
  </r>
  <r>
    <n v="304"/>
    <n v="0"/>
    <n v="432168"/>
    <n v="736"/>
    <n v="1343642"/>
    <n v="0"/>
    <n v="21386.400000000001"/>
    <n v="35"/>
    <n v="16"/>
    <n v="351329"/>
    <n v="799216"/>
    <x v="1"/>
    <s v="c793367c-0942-4d2b-b453-df38f94d345d"/>
    <s v="консолидация кредитов"/>
    <s v="в аренде"/>
    <s v="краткосрочный"/>
    <x v="1"/>
    <b v="0"/>
    <n v="0.53480903773368504"/>
    <n v="0.90909090909090906"/>
    <n v="0.19100087672162674"/>
  </r>
  <r>
    <n v="305"/>
    <n v="0"/>
    <n v="628474"/>
    <n v="676"/>
    <n v="1235741"/>
    <n v="7"/>
    <n v="26568.46"/>
    <n v="26.5"/>
    <n v="12"/>
    <n v="252871"/>
    <n v="603702"/>
    <x v="1"/>
    <s v="d959a0ee-3b70-4344-a4ec-faecafd20145"/>
    <s v="консолидация кредитов"/>
    <s v="в ипотеке"/>
    <s v="долгосрочный"/>
    <x v="0"/>
    <b v="0"/>
    <n v="0.79065833237756622"/>
    <n v="0.54545454545454541"/>
    <n v="0.2580002767570227"/>
  </r>
  <r>
    <n v="306"/>
    <n v="0"/>
    <n v="513524"/>
    <n v="659"/>
    <n v="1115718"/>
    <n v="0"/>
    <n v="28543.7"/>
    <n v="12.5"/>
    <n v="11"/>
    <n v="469604"/>
    <n v="849618"/>
    <x v="6"/>
    <s v="a54d79f2-4314-4964-9c88-d1b2f0450a41"/>
    <s v="консолидация кредитов"/>
    <s v="в аренде"/>
    <s v="долгосрочный"/>
    <x v="1"/>
    <b v="0"/>
    <n v="0.64084183966051156"/>
    <n v="0.44242424242424244"/>
    <n v="0.3069990804127925"/>
  </r>
  <r>
    <n v="307"/>
    <n v="0"/>
    <n v="765006"/>
    <n v="736"/>
    <n v="6606775"/>
    <n v="43"/>
    <n v="5780.94"/>
    <n v="24.1"/>
    <n v="11"/>
    <n v="369170"/>
    <n v="1978966"/>
    <x v="8"/>
    <s v="a2a44277-fd9b-45ff-a28c-9a4c3678c41a"/>
    <s v="консолидация кредитов"/>
    <s v="в собственности"/>
    <s v="долгосрочный"/>
    <x v="1"/>
    <b v="0"/>
    <n v="0.968603050808579"/>
    <n v="0.90909090909090906"/>
    <n v="1.0500021568768421E-2"/>
  </r>
  <r>
    <n v="308"/>
    <n v="0"/>
    <n v="141636"/>
    <n v="716"/>
    <n v="1051175"/>
    <n v="18"/>
    <n v="13227.04"/>
    <n v="12.5"/>
    <n v="12"/>
    <n v="151791"/>
    <n v="201322"/>
    <x v="9"/>
    <s v="597b6a21-89f4-4c78-83a4-ab24a7725c52"/>
    <s v="консолидация кредитов"/>
    <s v="в ипотеке"/>
    <s v="краткосрочный"/>
    <x v="1"/>
    <b v="0"/>
    <n v="0.15615322858125932"/>
    <n v="0.78787878787878785"/>
    <n v="0.15099719837324899"/>
  </r>
  <r>
    <n v="309"/>
    <n v="0"/>
    <m/>
    <n v="750"/>
    <n v="931095"/>
    <n v="0"/>
    <n v="2498.5"/>
    <n v="15.5"/>
    <n v="5"/>
    <n v="71459"/>
    <n v="220044"/>
    <x v="6"/>
    <s v="df888b2a-d3e8-4351-93b6-acf3ab7e17c6"/>
    <s v="иное"/>
    <s v="в аренде"/>
    <s v="краткосрочный"/>
    <x v="0"/>
    <b v="0"/>
    <m/>
    <n v="0.9939393939393939"/>
    <n v="3.2200795837159471E-2"/>
  </r>
  <r>
    <n v="310"/>
    <n v="0"/>
    <n v="130328"/>
    <n v="740"/>
    <n v="1707207"/>
    <n v="0"/>
    <n v="12647.73"/>
    <n v="23"/>
    <n v="12"/>
    <n v="445721"/>
    <n v="757834"/>
    <x v="5"/>
    <s v="1ccd46bb-adc7-4676-a406-f3eeb3dbb284"/>
    <s v="приобретение автомобиля"/>
    <s v="в аренде"/>
    <s v="краткосрочный"/>
    <x v="0"/>
    <b v="0"/>
    <n v="0.14141529991971558"/>
    <n v="0.93333333333333335"/>
    <n v="8.8901205301993247E-2"/>
  </r>
  <r>
    <n v="311"/>
    <n v="0"/>
    <n v="268664"/>
    <n v="718"/>
    <n v="1160178"/>
    <n v="0"/>
    <n v="16049.11"/>
    <n v="13.3"/>
    <n v="9"/>
    <n v="318839"/>
    <n v="818576"/>
    <x v="4"/>
    <s v="9f4ebd2a-621d-44c3-b4cc-02952d3227e6"/>
    <s v="консолидация кредитов"/>
    <s v="в аренде"/>
    <s v="долгосрочный"/>
    <x v="0"/>
    <b v="0"/>
    <n v="0.32171120541346487"/>
    <n v="0.8"/>
    <n v="0.16599980347843177"/>
  </r>
  <r>
    <n v="312"/>
    <n v="0"/>
    <n v="753368"/>
    <n v="723"/>
    <n v="1168044"/>
    <n v="0"/>
    <n v="75878.02"/>
    <n v="43.3"/>
    <n v="19"/>
    <n v="834784"/>
    <n v="1378872"/>
    <x v="8"/>
    <s v="642ec47d-8e65-4bbe-908b-a440ad279979"/>
    <s v="иное"/>
    <s v="в ипотеке"/>
    <s v="краткосрочный"/>
    <x v="0"/>
    <b v="1"/>
    <n v="0.95343502695263216"/>
    <n v="0.83030303030303032"/>
    <n v="0.7795393324224088"/>
  </r>
  <r>
    <n v="313"/>
    <n v="2"/>
    <n v="448712"/>
    <n v="696"/>
    <n v="1264602"/>
    <n v="22"/>
    <n v="33722.910000000003"/>
    <n v="16.7"/>
    <n v="28"/>
    <n v="328054"/>
    <n v="895906"/>
    <x v="1"/>
    <s v="a239a831-642f-4cf8-926c-beac6ee5f36d"/>
    <s v="консолидация кредитов"/>
    <s v="в ипотеке"/>
    <s v="долгосрочный"/>
    <x v="0"/>
    <b v="0"/>
    <n v="0.5563711434797568"/>
    <n v="0.66666666666666663"/>
    <n v="0.32000180293879027"/>
  </r>
  <r>
    <n v="314"/>
    <n v="0"/>
    <n v="334686"/>
    <n v="742"/>
    <n v="963490"/>
    <n v="58"/>
    <n v="12284.45"/>
    <n v="20.5"/>
    <n v="15"/>
    <n v="406220"/>
    <n v="863060"/>
    <x v="1"/>
    <s v="a5590971-4224-4f70-bfc1-a561c65e01ec"/>
    <s v="консолидация кредитов"/>
    <s v="в ипотеке"/>
    <s v="краткосрочный"/>
    <x v="0"/>
    <b v="0"/>
    <n v="0.40775891730703062"/>
    <n v="0.94545454545454544"/>
    <n v="0.15299940840070994"/>
  </r>
  <r>
    <n v="315"/>
    <n v="1"/>
    <n v="125004"/>
    <n v="723"/>
    <n v="1168044"/>
    <n v="31"/>
    <n v="27041.75"/>
    <n v="19.5"/>
    <n v="18"/>
    <n v="247342"/>
    <n v="667568"/>
    <x v="3"/>
    <s v="b80882aa-56b6-4e07-9897-c33e506ec24e"/>
    <s v="иное"/>
    <s v="в аренде"/>
    <s v="краткосрочный"/>
    <x v="0"/>
    <b v="0"/>
    <n v="0.1344764307833467"/>
    <n v="0.83030303030303032"/>
    <n v="0.2778157329689635"/>
  </r>
  <r>
    <n v="316"/>
    <n v="0"/>
    <m/>
    <n v="728"/>
    <n v="311372"/>
    <n v="0"/>
    <n v="1873.4"/>
    <n v="10.5"/>
    <n v="3"/>
    <n v="92378"/>
    <n v="122958"/>
    <x v="4"/>
    <s v="7e53c8ce-62b4-4587-89f0-76b039b0ea1a"/>
    <s v="консолидация кредитов"/>
    <s v="в аренде"/>
    <s v="краткосрочный"/>
    <x v="0"/>
    <b v="0"/>
    <m/>
    <n v="0.8606060606060606"/>
    <n v="7.2199170124481321E-2"/>
  </r>
  <r>
    <n v="317"/>
    <n v="0"/>
    <n v="242616"/>
    <n v="723"/>
    <n v="1168044"/>
    <n v="0"/>
    <n v="41396.25"/>
    <n v="18"/>
    <n v="9"/>
    <n v="522690"/>
    <n v="745338"/>
    <x v="6"/>
    <s v="58fe46dc-0b80-43db-8df9-80b7fb75924d"/>
    <s v="консолидация кредитов"/>
    <s v="в ипотеке"/>
    <s v="краткосрочный"/>
    <x v="1"/>
    <b v="0"/>
    <n v="0.28776235806858586"/>
    <n v="0.83030303030303032"/>
    <n v="0.42528791723599452"/>
  </r>
  <r>
    <n v="318"/>
    <n v="0"/>
    <n v="175076"/>
    <n v="742"/>
    <n v="748486"/>
    <n v="0"/>
    <n v="7983.8"/>
    <n v="36.4"/>
    <n v="7"/>
    <n v="184490"/>
    <n v="240856"/>
    <x v="0"/>
    <s v="aed4c830-c921-4cd4-8fc8-f2622828d3e9"/>
    <s v="иное"/>
    <s v="в аренде"/>
    <s v="краткосрочный"/>
    <x v="0"/>
    <b v="0"/>
    <n v="0.19973620828076613"/>
    <n v="0.94545454545454544"/>
    <n v="0.12799918769355739"/>
  </r>
  <r>
    <n v="319"/>
    <n v="0"/>
    <n v="107712"/>
    <n v="744"/>
    <n v="576688"/>
    <n v="0"/>
    <n v="7256.67"/>
    <n v="13.5"/>
    <n v="15"/>
    <n v="263321"/>
    <n v="671572"/>
    <x v="1"/>
    <s v="2b0b8447-335c-408d-9226-919788601a79"/>
    <s v="консолидация кредитов"/>
    <s v="в аренде"/>
    <s v="краткосрочный"/>
    <x v="1"/>
    <b v="0"/>
    <n v="0.11193944259662805"/>
    <n v="0.95757575757575752"/>
    <n v="0.15100026357406432"/>
  </r>
  <r>
    <n v="320"/>
    <n v="0"/>
    <n v="155210"/>
    <n v="744"/>
    <n v="1053265"/>
    <n v="0"/>
    <n v="17466.509999999998"/>
    <n v="13.3"/>
    <n v="8"/>
    <n v="492841"/>
    <n v="640464"/>
    <x v="10"/>
    <s v="78d34582-bfa9-4905-87f6-e2388392350e"/>
    <s v="консолидация кредитов"/>
    <s v="в ипотеке"/>
    <s v="краткосрочный"/>
    <x v="0"/>
    <b v="0"/>
    <n v="0.17384447757770385"/>
    <n v="0.95757575757575752"/>
    <n v="0.1989984666726797"/>
  </r>
  <r>
    <n v="321"/>
    <n v="0"/>
    <m/>
    <n v="747"/>
    <n v="914432"/>
    <n v="0"/>
    <n v="15088.09"/>
    <n v="16.600000000000001"/>
    <n v="8"/>
    <n v="202084"/>
    <n v="403458"/>
    <x v="0"/>
    <s v="8980f73f-9444-476b-9f9d-a03b7cbca798"/>
    <s v="консолидация кредитов"/>
    <s v="в ипотеке"/>
    <s v="краткосрочный"/>
    <x v="0"/>
    <b v="0"/>
    <m/>
    <n v="0.97575757575757571"/>
    <n v="0.19799950132978722"/>
  </r>
  <r>
    <n v="322"/>
    <n v="1"/>
    <n v="712404"/>
    <n v="618"/>
    <n v="6283072"/>
    <n v="45"/>
    <n v="20262.93"/>
    <n v="14.7"/>
    <n v="10"/>
    <n v="135641"/>
    <n v="358556"/>
    <x v="5"/>
    <s v="a4daa4ec-bafe-4c1b-960e-905b5b2644f0"/>
    <s v="иное"/>
    <s v="в аренде"/>
    <s v="долгосрочный"/>
    <x v="0"/>
    <b v="0"/>
    <n v="0.90004587682073633"/>
    <n v="0.19393939393939394"/>
    <n v="3.8700043545577704E-2"/>
  </r>
  <r>
    <n v="323"/>
    <n v="0"/>
    <n v="753610"/>
    <n v="676"/>
    <n v="2212835"/>
    <n v="0"/>
    <n v="35221.06"/>
    <n v="17.2"/>
    <n v="17"/>
    <n v="579158"/>
    <n v="1086866"/>
    <x v="1"/>
    <s v="b183e74e-c2f5-44ca-82bb-edfb87dca58c"/>
    <s v="консолидация кредитов"/>
    <s v="в ипотеке"/>
    <s v="долгосрочный"/>
    <x v="0"/>
    <b v="0"/>
    <n v="0.95375043009519445"/>
    <n v="0.54545454545454541"/>
    <n v="0.19100055810758595"/>
  </r>
  <r>
    <n v="324"/>
    <n v="0"/>
    <n v="154748"/>
    <n v="748"/>
    <n v="1603657"/>
    <n v="0"/>
    <n v="8539.5499999999993"/>
    <n v="29.2"/>
    <n v="11"/>
    <n v="9842"/>
    <n v="1425820"/>
    <x v="0"/>
    <s v="cc8b7adc-f294-45d6-9348-240f1899f6cf"/>
    <s v="иное"/>
    <s v="в ипотеке"/>
    <s v="краткосрочный"/>
    <x v="0"/>
    <b v="0"/>
    <n v="0.17324234430553961"/>
    <n v="0.98181818181818181"/>
    <n v="6.3900572254540711E-2"/>
  </r>
  <r>
    <n v="325"/>
    <n v="0"/>
    <n v="251416"/>
    <n v="720"/>
    <n v="1057293"/>
    <n v="0"/>
    <n v="13480.5"/>
    <n v="9"/>
    <n v="12"/>
    <n v="138377"/>
    <n v="222838"/>
    <x v="10"/>
    <s v="dcc6ab9d-f70d-4b50-975e-4c165c09b9af"/>
    <s v="приобретение автомобиля"/>
    <s v="в ипотеке"/>
    <s v="краткосрочный"/>
    <x v="1"/>
    <b v="0"/>
    <n v="0.29923156325266659"/>
    <n v="0.81212121212121213"/>
    <n v="0.15300016173378619"/>
  </r>
  <r>
    <n v="326"/>
    <n v="0"/>
    <n v="764390"/>
    <n v="705"/>
    <n v="1603220"/>
    <n v="50"/>
    <n v="34869.75"/>
    <n v="30.6"/>
    <n v="15"/>
    <n v="425448"/>
    <n v="1089902"/>
    <x v="5"/>
    <s v="445a6146-6b1f-47c1-8550-cf396f30d24b"/>
    <s v="консолидация кредитов"/>
    <s v="в ипотеке"/>
    <s v="долгосрочный"/>
    <x v="0"/>
    <b v="0"/>
    <n v="0.96780020644569331"/>
    <n v="0.72121212121212119"/>
    <n v="0.26099786679307896"/>
  </r>
  <r>
    <n v="327"/>
    <n v="0"/>
    <n v="215006"/>
    <n v="723"/>
    <n v="1168044"/>
    <n v="74"/>
    <n v="20639.13"/>
    <n v="11.9"/>
    <n v="9"/>
    <n v="76551"/>
    <n v="284130"/>
    <x v="5"/>
    <s v="d1eeca26-b38a-4b30-8687-9572e214c88f"/>
    <s v="консолидация кредитов"/>
    <s v="в аренде"/>
    <s v="краткосрочный"/>
    <x v="1"/>
    <b v="0"/>
    <n v="0.2517777268035325"/>
    <n v="0.83030303030303032"/>
    <n v="0.21203786843646302"/>
  </r>
  <r>
    <n v="328"/>
    <n v="0"/>
    <n v="616902"/>
    <n v="647"/>
    <n v="1405772"/>
    <n v="64"/>
    <n v="18626.27"/>
    <n v="17.899999999999999"/>
    <n v="4"/>
    <n v="317338"/>
    <n v="433818"/>
    <x v="4"/>
    <s v="a516d48a-155e-4cbb-8710-43bddd55b655"/>
    <s v="консолидация кредитов"/>
    <s v="в собственности"/>
    <s v="долгосрочный"/>
    <x v="0"/>
    <b v="0"/>
    <n v="0.7755763275605001"/>
    <n v="0.36969696969696969"/>
    <n v="0.15899821592690705"/>
  </r>
  <r>
    <n v="329"/>
    <n v="0"/>
    <m/>
    <n v="716"/>
    <n v="2848575"/>
    <n v="10"/>
    <n v="23263.41"/>
    <n v="31.5"/>
    <n v="14"/>
    <n v="371051"/>
    <n v="1053052"/>
    <x v="4"/>
    <s v="6e74edf5-0498-4171-9123-f7f637520240"/>
    <s v="ремонт жилья"/>
    <s v="в ипотеке"/>
    <s v="краткосрочный"/>
    <x v="0"/>
    <b v="0"/>
    <m/>
    <n v="0.78787878787878785"/>
    <n v="9.8000200100050019E-2"/>
  </r>
  <r>
    <n v="330"/>
    <n v="0"/>
    <m/>
    <n v="743"/>
    <n v="773300"/>
    <n v="0"/>
    <n v="16174.89"/>
    <n v="14.1"/>
    <n v="19"/>
    <n v="450908"/>
    <n v="1549284"/>
    <x v="1"/>
    <s v="f4e50dd6-fd48-4d7d-8f4c-c4da73af8194"/>
    <s v="консолидация кредитов"/>
    <s v="в собственности"/>
    <s v="краткосрочный"/>
    <x v="0"/>
    <b v="0"/>
    <m/>
    <n v="0.95151515151515154"/>
    <n v="0.25100049140049141"/>
  </r>
  <r>
    <n v="331"/>
    <n v="0"/>
    <n v="447788"/>
    <n v="723"/>
    <n v="1168044"/>
    <n v="8"/>
    <n v="6497.05"/>
    <n v="21.2"/>
    <n v="5"/>
    <n v="806379"/>
    <n v="2074886"/>
    <x v="5"/>
    <s v="87c44b01-2054-49f0-872d-cd0f4e503385"/>
    <s v="консолидация кредитов"/>
    <s v="в ипотеке"/>
    <s v="краткосрочный"/>
    <x v="0"/>
    <b v="0"/>
    <n v="0.55516687693542832"/>
    <n v="0.83030303030303032"/>
    <n v="6.6747999219207502E-2"/>
  </r>
  <r>
    <n v="332"/>
    <n v="0"/>
    <n v="170962"/>
    <n v="710"/>
    <n v="598082"/>
    <n v="5"/>
    <n v="7426.15"/>
    <n v="12.8"/>
    <n v="14"/>
    <n v="117211"/>
    <n v="622534"/>
    <x v="10"/>
    <s v="58e605ce-de2a-4851-9126-022c7591fc2f"/>
    <s v="консолидация кредитов"/>
    <s v="в аренде"/>
    <s v="краткосрочный"/>
    <x v="0"/>
    <b v="0"/>
    <n v="0.19437435485720839"/>
    <n v="0.75151515151515147"/>
    <n v="0.14899930109918039"/>
  </r>
  <r>
    <n v="333"/>
    <n v="0"/>
    <m/>
    <n v="704"/>
    <n v="1160862"/>
    <n v="13"/>
    <n v="25442.14"/>
    <n v="14.8"/>
    <n v="9"/>
    <n v="607202"/>
    <n v="730092"/>
    <x v="10"/>
    <s v="ffbd01e5-5886-47fa-82e7-0c29cb14f30f"/>
    <s v="консолидация кредитов"/>
    <s v="в ипотеке"/>
    <s v="краткосрочный"/>
    <x v="0"/>
    <b v="0"/>
    <m/>
    <n v="0.7151515151515152"/>
    <n v="0.2629991161740155"/>
  </r>
  <r>
    <n v="334"/>
    <n v="0"/>
    <n v="340362"/>
    <n v="723"/>
    <n v="1168044"/>
    <n v="35"/>
    <n v="22936.799999999999"/>
    <n v="23.3"/>
    <n v="19"/>
    <n v="427025"/>
    <n v="1242340"/>
    <x v="1"/>
    <s v="5f88aa1b-7526-47b4-99cf-51671f27817c"/>
    <s v="консолидация кредитов"/>
    <s v="в аренде"/>
    <s v="краткосрочный"/>
    <x v="1"/>
    <b v="0"/>
    <n v="0.41515655465076268"/>
    <n v="0.83030303030303032"/>
    <n v="0.23564317782549288"/>
  </r>
  <r>
    <n v="335"/>
    <n v="0"/>
    <n v="332222"/>
    <n v="746"/>
    <n v="891119"/>
    <n v="42"/>
    <n v="11733.07"/>
    <n v="23.8"/>
    <n v="9"/>
    <n v="293683"/>
    <n v="717420"/>
    <x v="2"/>
    <s v="7d0315cd-ebd7-4580-b1fd-5396d5719556"/>
    <s v="консолидация кредитов"/>
    <s v="в аренде"/>
    <s v="краткосрочный"/>
    <x v="0"/>
    <b v="0"/>
    <n v="0.40454753985548803"/>
    <n v="0.96969696969696972"/>
    <n v="0.15800004264301398"/>
  </r>
  <r>
    <n v="336"/>
    <n v="0"/>
    <m/>
    <n v="733"/>
    <n v="1803936"/>
    <n v="0"/>
    <n v="10988.84"/>
    <n v="24.5"/>
    <n v="13"/>
    <n v="418133"/>
    <n v="1315666"/>
    <x v="5"/>
    <s v="6885de95-8a49-4ddb-a8da-b4d3bbb88190"/>
    <s v="консолидация кредитов"/>
    <s v="в ипотеке"/>
    <s v="краткосрочный"/>
    <x v="0"/>
    <b v="0"/>
    <m/>
    <n v="0.89090909090909087"/>
    <n v="7.3099089989888774E-2"/>
  </r>
  <r>
    <n v="337"/>
    <n v="0"/>
    <m/>
    <n v="743"/>
    <n v="1496193"/>
    <n v="33"/>
    <n v="17081.57"/>
    <n v="20.7"/>
    <n v="11"/>
    <n v="176567"/>
    <n v="276298"/>
    <x v="5"/>
    <s v="f17b80fe-d2b7-4015-944a-b61b9ec5f13a"/>
    <s v="консолидация кредитов"/>
    <s v="в ипотеке"/>
    <s v="краткосрочный"/>
    <x v="0"/>
    <b v="0"/>
    <m/>
    <n v="0.95151515151515154"/>
    <n v="0.13700026667682577"/>
  </r>
  <r>
    <n v="338"/>
    <n v="0"/>
    <n v="440132"/>
    <n v="676"/>
    <n v="1292380"/>
    <n v="69"/>
    <n v="4157.2"/>
    <n v="15.6"/>
    <n v="3"/>
    <n v="150822"/>
    <n v="219956"/>
    <x v="10"/>
    <s v="6f0fb886-cacf-4e15-82cb-d125472a0c7b"/>
    <s v="консолидация кредитов"/>
    <s v="в ипотеке"/>
    <s v="долгосрочный"/>
    <x v="0"/>
    <b v="0"/>
    <n v="0.54518866842527813"/>
    <n v="0.54545454545454541"/>
    <n v="3.8600411643634223E-2"/>
  </r>
  <r>
    <n v="339"/>
    <n v="0"/>
    <n v="403414"/>
    <n v="723"/>
    <n v="1168044"/>
    <n v="51"/>
    <n v="14597.13"/>
    <n v="20.7"/>
    <n v="11"/>
    <n v="71212"/>
    <n v="91916"/>
    <x v="10"/>
    <s v="2ee68db3-8790-494b-b328-c308a1234cd1"/>
    <s v="консолидация кредитов"/>
    <s v="в ипотеке"/>
    <s v="долгосрочный"/>
    <x v="1"/>
    <b v="0"/>
    <n v="0.49733340979470125"/>
    <n v="0.83030303030303032"/>
    <n v="0.14996486433730236"/>
  </r>
  <r>
    <n v="340"/>
    <n v="0"/>
    <n v="112574"/>
    <n v="729"/>
    <n v="1555416"/>
    <n v="40"/>
    <n v="10706.5"/>
    <n v="13.7"/>
    <n v="13"/>
    <n v="86507"/>
    <n v="770440"/>
    <x v="1"/>
    <s v="0c4d94c3-2e19-4e78-a4f2-bc6e3b40d5cb"/>
    <s v="путешествие"/>
    <s v="в ипотеке"/>
    <s v="краткосрочный"/>
    <x v="0"/>
    <b v="0"/>
    <n v="0.11827617846083266"/>
    <n v="0.8666666666666667"/>
    <n v="8.260041043682205E-2"/>
  </r>
  <r>
    <n v="341"/>
    <n v="0"/>
    <n v="88198"/>
    <n v="741"/>
    <n v="825968"/>
    <n v="0"/>
    <n v="3407.08"/>
    <n v="14.2"/>
    <n v="9"/>
    <n v="112727"/>
    <n v="725098"/>
    <x v="4"/>
    <s v="b594bff7-3030-4318-933e-427e57129cb7"/>
    <s v="консолидация кредитов"/>
    <s v="в ипотеке"/>
    <s v="краткосрочный"/>
    <x v="0"/>
    <b v="0"/>
    <n v="8.6506480100929012E-2"/>
    <n v="0.93939393939393945"/>
    <n v="4.9499447920500546E-2"/>
  </r>
  <r>
    <n v="342"/>
    <n v="1"/>
    <n v="764544"/>
    <n v="703"/>
    <n v="1697859"/>
    <n v="31"/>
    <n v="17685.96"/>
    <n v="25.5"/>
    <n v="10"/>
    <n v="300789"/>
    <n v="657118"/>
    <x v="10"/>
    <s v="865bd443-5b86-4b07-9218-8dffe43209fc"/>
    <s v="ремонт жилья"/>
    <s v="в ипотеке"/>
    <s v="долгосрочный"/>
    <x v="0"/>
    <b v="0"/>
    <n v="0.96800091753641471"/>
    <n v="0.70909090909090911"/>
    <n v="0.12499949642461476"/>
  </r>
  <r>
    <n v="343"/>
    <n v="0"/>
    <n v="224642"/>
    <n v="741"/>
    <n v="1056039"/>
    <n v="0"/>
    <n v="14080.33"/>
    <n v="38.5"/>
    <n v="7"/>
    <n v="252320"/>
    <n v="1047200"/>
    <x v="5"/>
    <s v="3ba73ec7-aa01-49b2-beb0-53eaab294c0a"/>
    <s v="консолидация кредитов"/>
    <s v="в аренде"/>
    <s v="краткосрочный"/>
    <x v="0"/>
    <b v="0"/>
    <n v="0.26433650648010093"/>
    <n v="0.93939393939393945"/>
    <n v="0.15999784098882711"/>
  </r>
  <r>
    <n v="344"/>
    <n v="1"/>
    <n v="446336"/>
    <n v="683"/>
    <n v="1117865"/>
    <n v="36"/>
    <n v="7573.59"/>
    <n v="15.9"/>
    <n v="4"/>
    <n v="148960"/>
    <n v="238898"/>
    <x v="8"/>
    <s v="f06b759a-06f2-4061-b10a-b09e05b04d82"/>
    <s v="консолидация кредитов"/>
    <s v="в ипотеке"/>
    <s v="долгосрочный"/>
    <x v="0"/>
    <b v="0"/>
    <n v="0.55327445808005504"/>
    <n v="0.58787878787878789"/>
    <n v="8.1300586385654794E-2"/>
  </r>
  <r>
    <n v="345"/>
    <n v="0"/>
    <n v="447656"/>
    <n v="732"/>
    <n v="1585113"/>
    <n v="0"/>
    <n v="20342.16"/>
    <n v="17.399999999999999"/>
    <n v="8"/>
    <n v="309054"/>
    <n v="503316"/>
    <x v="1"/>
    <s v="ef3ea28c-01b1-478a-aa98-4ea0b3398a15"/>
    <s v="консолидация кредитов"/>
    <s v="в ипотеке"/>
    <s v="краткосрочный"/>
    <x v="1"/>
    <b v="0"/>
    <n v="0.55499483885766721"/>
    <n v="0.88484848484848488"/>
    <n v="0.15399906505088282"/>
  </r>
  <r>
    <n v="346"/>
    <n v="1"/>
    <n v="261910"/>
    <n v="675"/>
    <n v="1438509"/>
    <n v="0"/>
    <n v="24334.82"/>
    <n v="15.6"/>
    <n v="9"/>
    <n v="74214"/>
    <n v="767272"/>
    <x v="10"/>
    <s v="271886d9-a9f9-4d48-b335-c6386e852408"/>
    <s v="иное"/>
    <s v="в собственности"/>
    <s v="краткосрочный"/>
    <x v="1"/>
    <b v="0"/>
    <n v="0.31290859043468289"/>
    <n v="0.53939393939393943"/>
    <n v="0.20300035661924951"/>
  </r>
  <r>
    <n v="347"/>
    <n v="0"/>
    <n v="746372"/>
    <n v="715"/>
    <n v="2302116"/>
    <n v="0"/>
    <n v="40670.639999999999"/>
    <n v="24.4"/>
    <n v="14"/>
    <n v="620996"/>
    <n v="1461482"/>
    <x v="1"/>
    <s v="4eab7a13-91ce-450a-8d34-e85e2c11570a"/>
    <s v="консолидация кредитов"/>
    <s v="в ипотеке"/>
    <s v="долгосрочный"/>
    <x v="0"/>
    <b v="0"/>
    <n v="0.944317008831288"/>
    <n v="0.78181818181818186"/>
    <n v="0.21199960384272556"/>
  </r>
  <r>
    <n v="348"/>
    <n v="0"/>
    <n v="146982"/>
    <n v="670"/>
    <n v="981578"/>
    <n v="76"/>
    <n v="25030.22"/>
    <n v="22.5"/>
    <n v="19"/>
    <n v="532589"/>
    <n v="828872"/>
    <x v="1"/>
    <s v="b2f2d7d2-e4c6-4f63-8dc0-e6ef40555d4a"/>
    <s v="консолидация кредитов"/>
    <s v="в аренде"/>
    <s v="краткосрочный"/>
    <x v="0"/>
    <b v="0"/>
    <n v="0.16312077073058837"/>
    <n v="0.50909090909090904"/>
    <n v="0.30599976772095544"/>
  </r>
  <r>
    <n v="349"/>
    <n v="0"/>
    <n v="533698"/>
    <n v="699"/>
    <n v="1853298"/>
    <n v="72"/>
    <n v="30270.61"/>
    <n v="21.6"/>
    <n v="18"/>
    <n v="342209"/>
    <n v="589644"/>
    <x v="9"/>
    <s v="c98e31fb-7471-4a58-9cb7-a04c8104abd8"/>
    <s v="консолидация кредитов"/>
    <s v="в аренде"/>
    <s v="долгосрочный"/>
    <x v="0"/>
    <b v="0"/>
    <n v="0.66713499254501663"/>
    <n v="0.68484848484848482"/>
    <n v="0.19600049209571263"/>
  </r>
  <r>
    <n v="350"/>
    <n v="0"/>
    <n v="316514"/>
    <n v="723"/>
    <n v="1168044"/>
    <n v="0"/>
    <n v="12437.59"/>
    <n v="16.899999999999999"/>
    <n v="13"/>
    <n v="413060"/>
    <n v="582560"/>
    <x v="4"/>
    <s v="78975426-c4c4-4fe8-87d9-2f067a3130cf"/>
    <s v="консолидация кредитов"/>
    <s v="в аренде"/>
    <s v="краткосрочный"/>
    <x v="0"/>
    <b v="0"/>
    <n v="0.38407500860190391"/>
    <n v="0.83030303030303032"/>
    <n v="0.12777864532500488"/>
  </r>
  <r>
    <n v="351"/>
    <n v="0"/>
    <n v="563068"/>
    <n v="623"/>
    <n v="2094807"/>
    <n v="0"/>
    <n v="35960.92"/>
    <n v="12.1"/>
    <n v="17"/>
    <n v="580203"/>
    <n v="917774"/>
    <x v="4"/>
    <s v="535b4968-b8f8-45a0-8840-796cc7ec0098"/>
    <s v="консолидация кредитов"/>
    <s v="в аренде"/>
    <s v="долгосрочный"/>
    <x v="1"/>
    <b v="0"/>
    <n v="0.70541346484688616"/>
    <n v="0.22424242424242424"/>
    <n v="0.20600038094201517"/>
  </r>
  <r>
    <n v="352"/>
    <n v="0"/>
    <n v="163482"/>
    <n v="711"/>
    <n v="564756"/>
    <n v="0"/>
    <n v="6447.65"/>
    <n v="12.4"/>
    <n v="9"/>
    <n v="216809"/>
    <n v="318186"/>
    <x v="1"/>
    <s v="f104bb8f-a70d-4e89-8dae-81db356d8452"/>
    <s v="приобретение автомобиля"/>
    <s v="в аренде"/>
    <s v="краткосрочный"/>
    <x v="0"/>
    <b v="0"/>
    <n v="0.18462553045073976"/>
    <n v="0.75757575757575757"/>
    <n v="0.13700040371417035"/>
  </r>
  <r>
    <n v="353"/>
    <n v="0"/>
    <n v="173316"/>
    <n v="744"/>
    <n v="954275"/>
    <n v="0"/>
    <n v="6457.15"/>
    <n v="13.2"/>
    <n v="5"/>
    <n v="327541"/>
    <n v="780384"/>
    <x v="5"/>
    <s v="8b3823d4-d69f-48cc-b829-a97174e1d5fa"/>
    <s v="консолидация кредитов"/>
    <s v="в ипотеке"/>
    <s v="краткосрочный"/>
    <x v="0"/>
    <b v="0"/>
    <n v="0.19744236724395001"/>
    <n v="0.95757575757575752"/>
    <n v="8.1198606271776996E-2"/>
  </r>
  <r>
    <n v="354"/>
    <n v="0"/>
    <n v="133936"/>
    <n v="639"/>
    <n v="347035"/>
    <n v="22"/>
    <n v="6969.39"/>
    <n v="15.4"/>
    <n v="10"/>
    <n v="68742"/>
    <n v="151910"/>
    <x v="9"/>
    <s v="fc22174a-fbb3-4cc5-bbbe-37846690c20a"/>
    <s v="ремонт жилья"/>
    <s v="в ипотеке"/>
    <s v="краткосрочный"/>
    <x v="1"/>
    <b v="0"/>
    <n v="0.14611767404518866"/>
    <n v="0.32121212121212123"/>
    <n v="0.24099206131946346"/>
  </r>
  <r>
    <n v="355"/>
    <n v="0"/>
    <n v="64526"/>
    <n v="747"/>
    <n v="185782"/>
    <n v="0"/>
    <n v="4799.3999999999996"/>
    <n v="10.1"/>
    <n v="8"/>
    <n v="72257"/>
    <n v="172128"/>
    <x v="4"/>
    <s v="ca3da155-a63a-4d39-b8b4-898b0e6c28f6"/>
    <s v="консолидация кредитов"/>
    <s v="в аренде"/>
    <s v="краткосрочный"/>
    <x v="0"/>
    <b v="0"/>
    <n v="5.5654318155751809E-2"/>
    <n v="0.97575757575757571"/>
    <n v="0.31000204540805887"/>
  </r>
  <r>
    <n v="356"/>
    <n v="0"/>
    <n v="47806"/>
    <n v="671"/>
    <n v="835620"/>
    <n v="12"/>
    <n v="3070.97"/>
    <n v="12.8"/>
    <n v="10"/>
    <n v="48051"/>
    <n v="60764"/>
    <x v="5"/>
    <s v="decba3f3-c30b-4116-821f-b26898388a7e"/>
    <s v="иное"/>
    <s v="в аренде"/>
    <s v="краткосрочный"/>
    <x v="1"/>
    <b v="0"/>
    <n v="3.3862828305998391E-2"/>
    <n v="0.51515151515151514"/>
    <n v="4.4100954979536151E-2"/>
  </r>
  <r>
    <n v="357"/>
    <n v="0"/>
    <n v="131934"/>
    <n v="723"/>
    <n v="1168044"/>
    <n v="47"/>
    <n v="10640.95"/>
    <n v="16.7"/>
    <n v="7"/>
    <n v="136154"/>
    <n v="248270"/>
    <x v="1"/>
    <s v="cf3d93fb-6762-4a14-afa9-05b252698f34"/>
    <s v="консолидация кредитов"/>
    <s v="в аренде"/>
    <s v="краткосрочный"/>
    <x v="0"/>
    <b v="0"/>
    <n v="0.14350842986581031"/>
    <n v="0.83030303030303032"/>
    <n v="0.109320710521179"/>
  </r>
  <r>
    <n v="358"/>
    <n v="0"/>
    <n v="147576"/>
    <n v="748"/>
    <n v="463429"/>
    <n v="36"/>
    <n v="8573.56"/>
    <n v="12.9"/>
    <n v="20"/>
    <n v="88939"/>
    <n v="357588"/>
    <x v="5"/>
    <s v="03709adc-3272-4711-9845-70f4cb09550a"/>
    <s v="консолидация кредитов"/>
    <s v="в аренде"/>
    <s v="краткосрочный"/>
    <x v="1"/>
    <b v="0"/>
    <n v="0.16389494208051383"/>
    <n v="0.98181818181818181"/>
    <n v="0.22200319790086503"/>
  </r>
  <r>
    <n v="359"/>
    <n v="0"/>
    <n v="545160"/>
    <n v="699"/>
    <n v="3954888"/>
    <n v="39"/>
    <n v="27881.93"/>
    <n v="18.100000000000001"/>
    <n v="15"/>
    <n v="163020"/>
    <n v="215974"/>
    <x v="1"/>
    <s v="edfb58ce-4aaa-4ab9-a448-caba8034a937"/>
    <s v="консолидация кредитов"/>
    <s v="в ипотеке"/>
    <s v="долгосрочный"/>
    <x v="0"/>
    <b v="0"/>
    <n v="0.6820736322972818"/>
    <n v="0.68484848484848482"/>
    <n v="8.4599907759714058E-2"/>
  </r>
  <r>
    <n v="360"/>
    <n v="0"/>
    <n v="657294"/>
    <n v="691"/>
    <n v="2270652"/>
    <n v="40"/>
    <n v="24031.01"/>
    <n v="11.3"/>
    <n v="12"/>
    <n v="405327"/>
    <n v="811998"/>
    <x v="6"/>
    <s v="de7e5f8e-bdf9-4eaa-8266-9e16da5be3c2"/>
    <s v="консолидация кредитов"/>
    <s v="в аренде"/>
    <s v="краткосрочный"/>
    <x v="0"/>
    <b v="0"/>
    <n v="0.82821997935543068"/>
    <n v="0.63636363636363635"/>
    <n v="0.12699969876493622"/>
  </r>
  <r>
    <n v="361"/>
    <n v="0"/>
    <n v="780406"/>
    <n v="715"/>
    <n v="3369897"/>
    <n v="0"/>
    <n v="35945.53"/>
    <n v="9.1999999999999993"/>
    <n v="6"/>
    <n v="457710"/>
    <n v="1130008"/>
    <x v="1"/>
    <s v="884afe37-a98f-4454-ac38-512e49de8002"/>
    <s v="консолидация кредитов"/>
    <s v="в ипотеке"/>
    <s v="краткосрочный"/>
    <x v="0"/>
    <b v="0"/>
    <n v="0.98867415988072027"/>
    <n v="0.78181818181818186"/>
    <n v="0.12799986468429153"/>
  </r>
  <r>
    <n v="362"/>
    <n v="0"/>
    <m/>
    <n v="743"/>
    <n v="2688462"/>
    <n v="34"/>
    <n v="32037.42"/>
    <n v="20.5"/>
    <n v="14"/>
    <n v="198094"/>
    <n v="749606"/>
    <x v="9"/>
    <s v="5f8d13d9-fc42-491d-beb7-6872bb2e8b8e"/>
    <s v="консолидация кредитов"/>
    <s v="в аренде"/>
    <s v="краткосрочный"/>
    <x v="0"/>
    <b v="0"/>
    <m/>
    <n v="0.95151515151515154"/>
    <n v="0.14299961836916422"/>
  </r>
  <r>
    <n v="363"/>
    <n v="0"/>
    <n v="43318"/>
    <n v="708"/>
    <n v="897769"/>
    <n v="0"/>
    <n v="7391.57"/>
    <n v="17.899999999999999"/>
    <n v="2"/>
    <n v="3382"/>
    <n v="4334"/>
    <x v="6"/>
    <s v="f48c2e72-a017-483f-8bd2-c260d081cbee"/>
    <s v="иное"/>
    <s v="в аренде"/>
    <s v="краткосрочный"/>
    <x v="0"/>
    <b v="0"/>
    <n v="2.8013533662117215E-2"/>
    <n v="0.73939393939393938"/>
    <n v="9.8799178853357608E-2"/>
  </r>
  <r>
    <n v="364"/>
    <n v="1"/>
    <n v="44792"/>
    <n v="723"/>
    <n v="502892"/>
    <n v="0"/>
    <n v="7794.75"/>
    <n v="7.5"/>
    <n v="9"/>
    <n v="193781"/>
    <n v="358446"/>
    <x v="8"/>
    <s v="42790d99-2adc-4eee-9c18-1937c3b43424"/>
    <s v="иное"/>
    <s v="в аренде"/>
    <s v="краткосрочный"/>
    <x v="0"/>
    <b v="0"/>
    <n v="2.9934625530450738E-2"/>
    <n v="0.83030303030303032"/>
    <n v="0.18599818648934563"/>
  </r>
  <r>
    <n v="365"/>
    <n v="0"/>
    <m/>
    <n v="738"/>
    <n v="992256"/>
    <n v="14"/>
    <n v="15793.37"/>
    <n v="18.2"/>
    <n v="11"/>
    <n v="348878"/>
    <n v="738496"/>
    <x v="8"/>
    <s v="bf7c49ea-940b-4958-8f60-55f45c3d57c8"/>
    <s v="консолидация кредитов"/>
    <s v="в аренде"/>
    <s v="краткосрочный"/>
    <x v="0"/>
    <b v="0"/>
    <m/>
    <n v="0.92121212121212126"/>
    <n v="0.19099954044117648"/>
  </r>
  <r>
    <n v="366"/>
    <n v="0"/>
    <n v="772772"/>
    <n v="699"/>
    <n v="3336970"/>
    <n v="0"/>
    <n v="41434.06"/>
    <n v="14.6"/>
    <n v="8"/>
    <n v="91979"/>
    <n v="132484"/>
    <x v="7"/>
    <s v="b4e257bc-1da0-4273-9272-0f93d9b26e3a"/>
    <s v="консолидация кредитов"/>
    <s v="в ипотеке"/>
    <s v="долгосрочный"/>
    <x v="1"/>
    <b v="0"/>
    <n v="0.97872462438353025"/>
    <n v="0.68484848484848482"/>
    <n v="0.14900005693788076"/>
  </r>
  <r>
    <n v="367"/>
    <n v="0"/>
    <n v="268004"/>
    <n v="750"/>
    <n v="867996"/>
    <n v="75"/>
    <n v="21410.53"/>
    <n v="23"/>
    <n v="15"/>
    <n v="309776"/>
    <n v="1203664"/>
    <x v="1"/>
    <s v="5d39e9c4-d45d-4f24-a767-8e96ee964643"/>
    <s v="консолидация кредитов"/>
    <s v="в аренде"/>
    <s v="краткосрочный"/>
    <x v="0"/>
    <b v="0"/>
    <n v="0.32085101502465879"/>
    <n v="0.9939393939393939"/>
    <n v="0.29599947465195692"/>
  </r>
  <r>
    <n v="368"/>
    <n v="1"/>
    <n v="776864"/>
    <n v="687"/>
    <n v="1629383"/>
    <n v="63"/>
    <n v="34895.78"/>
    <n v="19.600000000000001"/>
    <n v="24"/>
    <n v="481783"/>
    <n v="950334"/>
    <x v="1"/>
    <s v="4ae48a91-7be2-40b1-a66d-6f7d5b6b5e7f"/>
    <s v="консолидация кредитов"/>
    <s v="в ипотеке"/>
    <s v="краткосрочный"/>
    <x v="0"/>
    <b v="0"/>
    <n v="0.98405780479412774"/>
    <n v="0.61212121212121207"/>
    <n v="0.25699872896673159"/>
  </r>
  <r>
    <n v="369"/>
    <n v="0"/>
    <n v="273856"/>
    <n v="614"/>
    <n v="821826"/>
    <n v="0"/>
    <n v="8766.2199999999993"/>
    <n v="16.399999999999999"/>
    <n v="4"/>
    <n v="146262"/>
    <n v="234586"/>
    <x v="1"/>
    <s v="cadc3a31-59f7-4e44-86d5-1244409aa0a3"/>
    <s v="консолидация кредитов"/>
    <s v="в аренде"/>
    <s v="долгосрочный"/>
    <x v="0"/>
    <b v="0"/>
    <n v="0.32847803647207247"/>
    <n v="0.16969696969696971"/>
    <n v="0.12800110972395615"/>
  </r>
  <r>
    <n v="370"/>
    <n v="2"/>
    <n v="33154"/>
    <n v="713"/>
    <n v="572793"/>
    <n v="0"/>
    <n v="13412.86"/>
    <n v="11.8"/>
    <n v="10"/>
    <n v="49153"/>
    <n v="178948"/>
    <x v="1"/>
    <s v="315c2ccc-48c7-4f48-bf39-ab34f49a8c31"/>
    <s v="путешествие"/>
    <s v="в аренде"/>
    <s v="краткосрочный"/>
    <x v="0"/>
    <b v="0"/>
    <n v="1.4766601674503957E-2"/>
    <n v="0.76969696969696966"/>
    <n v="0.2809991043884964"/>
  </r>
  <r>
    <n v="371"/>
    <n v="0"/>
    <n v="450384"/>
    <n v="746"/>
    <n v="1166904"/>
    <n v="0"/>
    <n v="31506.37"/>
    <n v="20.2"/>
    <n v="12"/>
    <n v="332918"/>
    <n v="687126"/>
    <x v="1"/>
    <s v="09c612b9-a6f2-4a03-9901-160dbc03b4a9"/>
    <s v="ремонт жилья"/>
    <s v="в ипотеке"/>
    <s v="краткосрочный"/>
    <x v="0"/>
    <b v="0"/>
    <n v="0.5585502924647322"/>
    <n v="0.96969696969696972"/>
    <n v="0.32399960922235249"/>
  </r>
  <r>
    <n v="372"/>
    <n v="1"/>
    <n v="662310"/>
    <n v="699"/>
    <n v="1258389"/>
    <n v="64"/>
    <n v="13213.17"/>
    <n v="17.5"/>
    <n v="8"/>
    <n v="302309"/>
    <n v="562782"/>
    <x v="1"/>
    <s v="17f9fb19-deb1-4746-a388-491b55556cc3"/>
    <s v="консолидация кредитов"/>
    <s v="в ипотеке"/>
    <s v="краткосрочный"/>
    <x v="0"/>
    <b v="0"/>
    <n v="0.83475742631035665"/>
    <n v="0.68484848484848482"/>
    <n v="0.12600081532816959"/>
  </r>
  <r>
    <n v="373"/>
    <n v="0"/>
    <n v="353232"/>
    <n v="712"/>
    <n v="823707"/>
    <n v="41"/>
    <n v="13659.67"/>
    <n v="9.8000000000000007"/>
    <n v="9"/>
    <n v="117496"/>
    <n v="242968"/>
    <x v="1"/>
    <s v="0cdf50b9-efc7-4577-8bf6-6ff6ffdf86c1"/>
    <s v="консолидация кредитов"/>
    <s v="в ипотеке"/>
    <s v="краткосрочный"/>
    <x v="0"/>
    <b v="0"/>
    <n v="0.43193026723248079"/>
    <n v="0.76363636363636367"/>
    <n v="0.1989979932184624"/>
  </r>
  <r>
    <n v="374"/>
    <n v="0"/>
    <m/>
    <n v="734"/>
    <n v="950399"/>
    <n v="0"/>
    <n v="17344.72"/>
    <n v="14.2"/>
    <n v="11"/>
    <n v="139897"/>
    <n v="217448"/>
    <x v="2"/>
    <s v="55ee39ef-0a44-4b79-8154-a512c22bdb97"/>
    <s v="консолидация кредитов"/>
    <s v="в ипотеке"/>
    <s v="краткосрочный"/>
    <x v="0"/>
    <b v="0"/>
    <m/>
    <n v="0.89696969696969697"/>
    <n v="0.21899922032746247"/>
  </r>
  <r>
    <n v="375"/>
    <n v="0"/>
    <n v="221056"/>
    <n v="741"/>
    <n v="954560"/>
    <n v="13"/>
    <n v="9386.57"/>
    <n v="12"/>
    <n v="19"/>
    <n v="117420"/>
    <n v="229658"/>
    <x v="1"/>
    <s v="bb433d07-83ce-45b4-95aa-88f6da823bbe"/>
    <s v="консолидация кредитов"/>
    <s v="в аренде"/>
    <s v="краткосрочный"/>
    <x v="0"/>
    <b v="0"/>
    <n v="0.25966280536758801"/>
    <n v="0.93939393939393945"/>
    <n v="0.11800079617834394"/>
  </r>
  <r>
    <n v="376"/>
    <n v="1"/>
    <n v="76340"/>
    <n v="723"/>
    <n v="1168044"/>
    <n v="0"/>
    <n v="472.15"/>
    <n v="23.6"/>
    <n v="6"/>
    <n v="15333"/>
    <n v="322806"/>
    <x v="1"/>
    <s v="1a5685b7-450d-44c6-9390-2e16387f7cd8"/>
    <s v="крупная покупка"/>
    <s v="в аренде"/>
    <s v="краткосрочный"/>
    <x v="0"/>
    <b v="0"/>
    <n v="7.1051726115380201E-2"/>
    <n v="0.83030303030303032"/>
    <n v="4.8506734335350375E-3"/>
  </r>
  <r>
    <n v="377"/>
    <n v="0"/>
    <n v="469678"/>
    <n v="667"/>
    <n v="2250246"/>
    <n v="0"/>
    <n v="51380.56"/>
    <n v="14.6"/>
    <n v="43"/>
    <n v="979526"/>
    <n v="1543102"/>
    <x v="10"/>
    <s v="a7a06859-14a2-4e5b-ab74-92fe625a229c"/>
    <s v="консолидация кредитов"/>
    <s v="в ипотеке"/>
    <s v="долгосрочный"/>
    <x v="0"/>
    <b v="1"/>
    <n v="0.58369652483082923"/>
    <n v="0.49090909090909091"/>
    <n v="0.27399969603323371"/>
  </r>
  <r>
    <n v="378"/>
    <n v="0"/>
    <m/>
    <n v="739"/>
    <n v="3095632"/>
    <n v="19"/>
    <n v="41017.199999999997"/>
    <n v="21"/>
    <n v="15"/>
    <n v="288002"/>
    <n v="508354"/>
    <x v="2"/>
    <s v="0363c6d8-3b43-4266-92cf-113e1fca7d5c"/>
    <s v="консолидация кредитов"/>
    <s v="в ипотеке"/>
    <s v="краткосрочный"/>
    <x v="0"/>
    <b v="0"/>
    <m/>
    <n v="0.92727272727272725"/>
    <n v="0.15900029460866147"/>
  </r>
  <r>
    <n v="379"/>
    <n v="0"/>
    <m/>
    <n v="726"/>
    <n v="2311236"/>
    <n v="18"/>
    <n v="35438.99"/>
    <n v="23.9"/>
    <n v="18"/>
    <n v="3528718"/>
    <n v="10189234"/>
    <x v="7"/>
    <s v="4eb7b183-8053-4d35-b012-7ff377223980"/>
    <s v="ремонт жилья"/>
    <s v="в ипотеке"/>
    <s v="краткосрочный"/>
    <x v="0"/>
    <b v="0"/>
    <m/>
    <n v="0.84848484848484851"/>
    <n v="0.18400019729703068"/>
  </r>
  <r>
    <n v="380"/>
    <n v="1"/>
    <m/>
    <n v="734"/>
    <n v="652099"/>
    <n v="0"/>
    <n v="15922"/>
    <n v="13"/>
    <n v="15"/>
    <n v="99788"/>
    <n v="687786"/>
    <x v="1"/>
    <s v="35831535-e42c-4109-b006-4685c874a6b2"/>
    <s v="консолидация кредитов"/>
    <s v="в аренде"/>
    <s v="краткосрочный"/>
    <x v="0"/>
    <b v="0"/>
    <m/>
    <n v="0.89696969696969697"/>
    <n v="0.29299845575595118"/>
  </r>
  <r>
    <n v="381"/>
    <n v="0"/>
    <n v="319726"/>
    <n v="749"/>
    <n v="952185"/>
    <n v="0"/>
    <n v="17059.91"/>
    <n v="21.2"/>
    <n v="8"/>
    <n v="299725"/>
    <n v="778140"/>
    <x v="5"/>
    <s v="0a0ed036-ce6b-41a9-b0ee-8db814a85425"/>
    <s v="консолидация кредитов"/>
    <s v="в ипотеке"/>
    <s v="краткосрочный"/>
    <x v="0"/>
    <b v="0"/>
    <n v="0.38826126849409337"/>
    <n v="0.98787878787878791"/>
    <n v="0.21499910206524991"/>
  </r>
  <r>
    <n v="382"/>
    <n v="0"/>
    <n v="460350"/>
    <n v="736"/>
    <n v="888041"/>
    <n v="0"/>
    <n v="18796.89"/>
    <n v="27.2"/>
    <n v="9"/>
    <n v="547504"/>
    <n v="816948"/>
    <x v="3"/>
    <s v="3c6f7594-ac3f-4a3b-8546-61137ee93213"/>
    <s v="консолидация кредитов"/>
    <s v="в собственности"/>
    <s v="краткосрочный"/>
    <x v="0"/>
    <b v="0"/>
    <n v="0.57153916733570365"/>
    <n v="0.90909090909090906"/>
    <n v="0.25400029953571962"/>
  </r>
  <r>
    <n v="383"/>
    <n v="0"/>
    <n v="133606"/>
    <n v="701"/>
    <n v="2538343"/>
    <n v="12"/>
    <n v="18297.189999999999"/>
    <n v="32.9"/>
    <n v="21"/>
    <n v="198911"/>
    <n v="342738"/>
    <x v="1"/>
    <s v="1818da89-2018-4750-b7e4-70ba4d13e86a"/>
    <s v="приобретение жилья"/>
    <s v="в ипотеке"/>
    <s v="краткосрочный"/>
    <x v="0"/>
    <b v="0"/>
    <n v="0.14568757885078565"/>
    <n v="0.69696969696969702"/>
    <n v="8.6499846553440563E-2"/>
  </r>
  <r>
    <n v="384"/>
    <n v="0"/>
    <n v="79948"/>
    <n v="741"/>
    <n v="230147"/>
    <n v="0"/>
    <n v="4372.66"/>
    <n v="8.9"/>
    <n v="11"/>
    <n v="110086"/>
    <n v="242792"/>
    <x v="1"/>
    <s v="96014749-34d9-4449-9a6d-874b6b762986"/>
    <s v="консолидация кредитов"/>
    <s v="в аренде"/>
    <s v="краткосрочный"/>
    <x v="1"/>
    <b v="0"/>
    <n v="7.5754100240853314E-2"/>
    <n v="0.93939393939393945"/>
    <n v="0.2279930653017419"/>
  </r>
  <r>
    <n v="385"/>
    <n v="1"/>
    <n v="67298"/>
    <n v="723"/>
    <n v="1168044"/>
    <n v="34"/>
    <n v="20289.53"/>
    <n v="22.5"/>
    <n v="9"/>
    <n v="170601"/>
    <n v="302962"/>
    <x v="1"/>
    <s v="8d3fe0d8-97d9-4e39-9d69-a030e72ba161"/>
    <s v="консолидация кредитов"/>
    <s v="в ипотеке"/>
    <s v="краткосрочный"/>
    <x v="0"/>
    <b v="0"/>
    <n v="5.9267117788737243E-2"/>
    <n v="0.83030303030303032"/>
    <n v="0.20844622291626"/>
  </r>
  <r>
    <n v="386"/>
    <n v="0"/>
    <n v="767690"/>
    <n v="731"/>
    <n v="1629098"/>
    <n v="0"/>
    <n v="14118.71"/>
    <n v="16.8"/>
    <n v="6"/>
    <n v="167371"/>
    <n v="250074"/>
    <x v="1"/>
    <s v="160993af-7836-4e58-9f0c-1c894dc1b764"/>
    <s v="консолидация кредитов"/>
    <s v="в ипотеке"/>
    <s v="краткосрочный"/>
    <x v="1"/>
    <b v="0"/>
    <n v="0.97210115838972355"/>
    <n v="0.87878787878787878"/>
    <n v="0.1039989736651816"/>
  </r>
  <r>
    <n v="387"/>
    <n v="0"/>
    <n v="328350"/>
    <n v="745"/>
    <n v="1343243"/>
    <n v="0"/>
    <n v="11529.39"/>
    <n v="19.399999999999999"/>
    <n v="7"/>
    <n v="373958"/>
    <n v="600578"/>
    <x v="1"/>
    <s v="faa524e8-2e89-414e-9a18-3042d1ef9166"/>
    <s v="консолидация кредитов"/>
    <s v="в ипотеке"/>
    <s v="краткосрочный"/>
    <x v="0"/>
    <b v="0"/>
    <n v="0.39950108957449249"/>
    <n v="0.96363636363636362"/>
    <n v="0.10299899571410384"/>
  </r>
  <r>
    <n v="388"/>
    <n v="0"/>
    <n v="380622"/>
    <n v="657"/>
    <n v="969665"/>
    <n v="0"/>
    <n v="26665.74"/>
    <n v="10.6"/>
    <n v="5"/>
    <n v="305482"/>
    <n v="377102"/>
    <x v="2"/>
    <s v="77cc7b59-b2db-4c65-bfb6-d878b1a228fa"/>
    <s v="консолидация кредитов"/>
    <s v="в аренде"/>
    <s v="долгосрочный"/>
    <x v="0"/>
    <b v="0"/>
    <n v="0.46762816836793208"/>
    <n v="0.4303030303030303"/>
    <n v="0.3299994121681199"/>
  </r>
  <r>
    <n v="389"/>
    <n v="0"/>
    <n v="281710"/>
    <n v="728"/>
    <n v="831953"/>
    <n v="52"/>
    <n v="12964.46"/>
    <n v="18"/>
    <n v="12"/>
    <n v="461415"/>
    <n v="907104"/>
    <x v="5"/>
    <s v="7352605a-a1fc-4f3a-804d-bb7df0dbf646"/>
    <s v="консолидация кредитов"/>
    <s v="в ипотеке"/>
    <s v="краткосрочный"/>
    <x v="0"/>
    <b v="0"/>
    <n v="0.33871430209886455"/>
    <n v="0.8606060606060606"/>
    <n v="0.18699796743325642"/>
  </r>
  <r>
    <n v="390"/>
    <n v="1"/>
    <n v="418572"/>
    <n v="704"/>
    <n v="1201788"/>
    <n v="0"/>
    <n v="23935.63"/>
    <n v="16.600000000000001"/>
    <n v="18"/>
    <n v="232522"/>
    <n v="333608"/>
    <x v="6"/>
    <s v="6e1f347c-42e6-46e5-9af0-e982346990c1"/>
    <s v="консолидация кредитов"/>
    <s v="в ипотеке"/>
    <s v="долгосрочный"/>
    <x v="1"/>
    <b v="0"/>
    <n v="0.51708911572428029"/>
    <n v="0.7151515151515152"/>
    <n v="0.2390001897173212"/>
  </r>
  <r>
    <n v="391"/>
    <n v="0"/>
    <n v="332552"/>
    <n v="723"/>
    <n v="1168044"/>
    <n v="0"/>
    <n v="18093.32"/>
    <n v="26.9"/>
    <n v="9"/>
    <n v="324539"/>
    <n v="650122"/>
    <x v="1"/>
    <s v="f4f1de27-a30b-41c6-9357-79a73a23ed12"/>
    <s v="консолидация кредитов"/>
    <s v="в ипотеке"/>
    <s v="долгосрочный"/>
    <x v="0"/>
    <b v="0"/>
    <n v="0.40497763504989104"/>
    <n v="0.83030303030303032"/>
    <n v="0.18588327152059339"/>
  </r>
  <r>
    <n v="392"/>
    <n v="0"/>
    <n v="161656"/>
    <n v="749"/>
    <n v="874874"/>
    <n v="19"/>
    <n v="12226.5"/>
    <n v="16.100000000000001"/>
    <n v="10"/>
    <n v="159676"/>
    <n v="394218"/>
    <x v="7"/>
    <s v="6d385ad8-34ab-4eb7-8364-97a516c00e3a"/>
    <s v="консолидация кредитов"/>
    <s v="в ипотеке"/>
    <s v="краткосрочный"/>
    <x v="0"/>
    <b v="0"/>
    <n v="0.18224567037504302"/>
    <n v="0.98787878787878791"/>
    <n v="0.16770186335403725"/>
  </r>
  <r>
    <n v="393"/>
    <n v="0"/>
    <m/>
    <n v="731"/>
    <n v="1307124"/>
    <n v="0"/>
    <n v="13724.84"/>
    <n v="11.2"/>
    <n v="7"/>
    <n v="273182"/>
    <n v="266024"/>
    <x v="2"/>
    <s v="37e59c53-92cc-4abb-a7d4-918188a8c485"/>
    <s v="консолидация кредитов"/>
    <s v="в аренде"/>
    <s v="краткосрочный"/>
    <x v="0"/>
    <b v="0"/>
    <m/>
    <n v="0.87878787878787878"/>
    <n v="0.12600034885749173"/>
  </r>
  <r>
    <n v="394"/>
    <n v="0"/>
    <n v="87274"/>
    <n v="719"/>
    <n v="753692"/>
    <n v="0"/>
    <n v="4013.37"/>
    <n v="8.1999999999999993"/>
    <n v="8"/>
    <n v="101042"/>
    <n v="259424"/>
    <x v="1"/>
    <s v="d0a8be34-eef9-4005-beb5-cfb5b0468222"/>
    <s v="консолидация кредитов"/>
    <s v="в аренде"/>
    <s v="краткосрочный"/>
    <x v="0"/>
    <b v="0"/>
    <n v="8.5302213556600531E-2"/>
    <n v="0.80606060606060603"/>
    <n v="6.3899364727236063E-2"/>
  </r>
  <r>
    <n v="395"/>
    <n v="0"/>
    <n v="456126"/>
    <n v="723"/>
    <n v="1168044"/>
    <n v="0"/>
    <n v="23213.82"/>
    <n v="18.600000000000001"/>
    <n v="8"/>
    <n v="333640"/>
    <n v="519244"/>
    <x v="1"/>
    <s v="86b76475-e158-42ee-a94b-ac9f7916ebf3"/>
    <s v="консолидация кредитов"/>
    <s v="в аренде"/>
    <s v="краткосрочный"/>
    <x v="1"/>
    <b v="0"/>
    <n v="0.56603394884734493"/>
    <n v="0.83030303030303032"/>
    <n v="0.23848916650400157"/>
  </r>
  <r>
    <n v="396"/>
    <n v="0"/>
    <n v="294580"/>
    <n v="744"/>
    <n v="1734624"/>
    <n v="6"/>
    <n v="8051.63"/>
    <n v="17.8"/>
    <n v="12"/>
    <n v="229007"/>
    <n v="433290"/>
    <x v="1"/>
    <s v="6c301164-4828-4de3-9a2c-767bf95e9c23"/>
    <s v="консолидация кредитов"/>
    <s v="в аренде"/>
    <s v="краткосрочный"/>
    <x v="0"/>
    <b v="0"/>
    <n v="0.35548801468058261"/>
    <n v="0.95757575757575752"/>
    <n v="5.5700578338590954E-2"/>
  </r>
  <r>
    <n v="397"/>
    <n v="0"/>
    <m/>
    <n v="747"/>
    <n v="1025487"/>
    <n v="0"/>
    <n v="16066.02"/>
    <n v="40.299999999999997"/>
    <n v="24"/>
    <n v="536199"/>
    <n v="4166844"/>
    <x v="1"/>
    <s v="a7802168-2b18-49ef-b6a5-a88de894c9b1"/>
    <s v="иное"/>
    <s v="в ипотеке"/>
    <s v="краткосрочный"/>
    <x v="0"/>
    <b v="0"/>
    <m/>
    <n v="0.97575757575757571"/>
    <n v="0.18800066700016677"/>
  </r>
  <r>
    <n v="398"/>
    <n v="0"/>
    <n v="526196"/>
    <n v="723"/>
    <n v="1168044"/>
    <n v="12"/>
    <n v="24808.49"/>
    <n v="20.100000000000001"/>
    <n v="12"/>
    <n v="443840"/>
    <n v="1072918"/>
    <x v="1"/>
    <s v="e8ddad09-0042-42d4-93aa-b45dd89fbddd"/>
    <s v="консолидация кредитов"/>
    <s v="в ипотеке"/>
    <s v="краткосрочный"/>
    <x v="0"/>
    <b v="0"/>
    <n v="0.65735749512558783"/>
    <n v="0.83030303030303032"/>
    <n v="0.25487214522740581"/>
  </r>
  <r>
    <n v="399"/>
    <n v="0"/>
    <n v="39138"/>
    <n v="731"/>
    <n v="751336"/>
    <n v="27"/>
    <n v="10894.41"/>
    <n v="10.6"/>
    <n v="11"/>
    <n v="77539"/>
    <n v="302302"/>
    <x v="6"/>
    <s v="a7f14ec6-d7f1-41c1-8a88-69fd6a5d807b"/>
    <s v="ремонт жилья"/>
    <s v="в ипотеке"/>
    <s v="краткосрочный"/>
    <x v="0"/>
    <b v="0"/>
    <n v="2.2565661199678861E-2"/>
    <n v="0.87878787878787878"/>
    <n v="0.17400060691887517"/>
  </r>
  <r>
    <n v="400"/>
    <n v="0"/>
    <n v="516978"/>
    <n v="712"/>
    <n v="1261809"/>
    <n v="0"/>
    <n v="15457.07"/>
    <n v="11"/>
    <n v="15"/>
    <n v="179208"/>
    <n v="256190"/>
    <x v="4"/>
    <s v="efe184e6-8ff3-437b-9990-9cd1870cadf3"/>
    <s v="консолидация кредитов"/>
    <s v="в ипотеке"/>
    <s v="долгосрочный"/>
    <x v="0"/>
    <b v="0"/>
    <n v="0.64534350269526319"/>
    <n v="0.76363636363636367"/>
    <n v="0.14699914170845191"/>
  </r>
  <r>
    <n v="401"/>
    <n v="0"/>
    <n v="178882"/>
    <n v="723"/>
    <n v="1168044"/>
    <n v="0"/>
    <n v="8535.75"/>
    <n v="8"/>
    <n v="20"/>
    <n v="129637"/>
    <n v="498696"/>
    <x v="8"/>
    <s v="c89321f5-ed4f-47b7-a45b-198cf02fedd8"/>
    <s v="консолидация кредитов"/>
    <s v="в аренде"/>
    <s v="краткосрочный"/>
    <x v="0"/>
    <b v="0"/>
    <n v="0.20469663952288106"/>
    <n v="0.83030303030303032"/>
    <n v="8.7692758149521766E-2"/>
  </r>
  <r>
    <n v="402"/>
    <n v="0"/>
    <n v="327404"/>
    <n v="723"/>
    <n v="1168044"/>
    <n v="0"/>
    <n v="26012.9"/>
    <n v="17"/>
    <n v="12"/>
    <n v="246525"/>
    <n v="406032"/>
    <x v="1"/>
    <s v="2a01b536-ed56-49a8-b2b6-b07f131cb7dd"/>
    <s v="консолидация кредитов"/>
    <s v="в собственности"/>
    <s v="краткосрочный"/>
    <x v="1"/>
    <b v="0"/>
    <n v="0.39826815001720378"/>
    <n v="0.83030303030303032"/>
    <n v="0.26724575444075738"/>
  </r>
  <r>
    <n v="403"/>
    <n v="1"/>
    <n v="90112"/>
    <n v="723"/>
    <n v="1168044"/>
    <n v="11"/>
    <n v="13879.88"/>
    <n v="13.1"/>
    <n v="3"/>
    <n v="304"/>
    <n v="32780"/>
    <x v="10"/>
    <s v="3d31b81f-ea84-4e18-8b0d-2027e26a4ca4"/>
    <s v="иное"/>
    <s v="в аренде"/>
    <s v="краткосрочный"/>
    <x v="0"/>
    <b v="0"/>
    <n v="8.9001032228466573E-2"/>
    <n v="0.83030303030303032"/>
    <n v="0.14259613507710325"/>
  </r>
  <r>
    <n v="404"/>
    <n v="2"/>
    <n v="449724"/>
    <n v="720"/>
    <n v="925946"/>
    <n v="0"/>
    <n v="6643.54"/>
    <n v="9.1999999999999993"/>
    <n v="10"/>
    <n v="170069"/>
    <n v="449570"/>
    <x v="6"/>
    <s v="d532715b-a0ea-4ceb-8b35-71f5a626815e"/>
    <s v="ремонт жилья"/>
    <s v="в ипотеке"/>
    <s v="краткосрочный"/>
    <x v="0"/>
    <b v="0"/>
    <n v="0.55769010207592618"/>
    <n v="0.81212121212121213"/>
    <n v="8.6098411786432461E-2"/>
  </r>
  <r>
    <n v="405"/>
    <n v="0"/>
    <n v="260436"/>
    <n v="734"/>
    <n v="1244272"/>
    <n v="26"/>
    <n v="11924.21"/>
    <n v="28.4"/>
    <n v="12"/>
    <n v="189696"/>
    <n v="625812"/>
    <x v="1"/>
    <s v="023fa202-c60a-4d28-9961-3fe45d280800"/>
    <s v="консолидация кредитов"/>
    <s v="в ипотеке"/>
    <s v="долгосрочный"/>
    <x v="0"/>
    <b v="0"/>
    <n v="0.31098749856634933"/>
    <n v="0.89696969696969697"/>
    <n v="0.114999389201075"/>
  </r>
  <r>
    <n v="406"/>
    <n v="1"/>
    <n v="260810"/>
    <n v="723"/>
    <n v="1168044"/>
    <n v="0"/>
    <n v="13076.56"/>
    <n v="19"/>
    <n v="11"/>
    <n v="180329"/>
    <n v="258742"/>
    <x v="5"/>
    <s v="121f643b-6e0c-47c6-87b6-b9a924207efa"/>
    <s v="консолидация кредитов"/>
    <s v="в ипотеке"/>
    <s v="краткосрочный"/>
    <x v="0"/>
    <b v="0"/>
    <n v="0.31147493978667279"/>
    <n v="0.83030303030303032"/>
    <n v="0.13434315830568025"/>
  </r>
  <r>
    <n v="407"/>
    <n v="0"/>
    <n v="539176"/>
    <n v="712"/>
    <n v="1154801"/>
    <n v="0"/>
    <n v="14338.54"/>
    <n v="13.9"/>
    <n v="7"/>
    <n v="256025"/>
    <n v="726594"/>
    <x v="1"/>
    <s v="314a1015-c9e0-4fd1-bc2f-f210436d1a62"/>
    <s v="ремонт жилья"/>
    <s v="в ипотеке"/>
    <s v="долгосрочный"/>
    <x v="1"/>
    <b v="0"/>
    <n v="0.67427457277210689"/>
    <n v="0.76363636363636367"/>
    <n v="0.14899751558926602"/>
  </r>
  <r>
    <n v="408"/>
    <n v="0"/>
    <n v="756844"/>
    <n v="723"/>
    <n v="1168044"/>
    <n v="0"/>
    <n v="25198.94"/>
    <n v="26.9"/>
    <n v="10"/>
    <n v="876147"/>
    <n v="1147586"/>
    <x v="6"/>
    <s v="eb62bb6a-89db-4c1e-81ee-219ca7dff471"/>
    <s v="консолидация кредитов"/>
    <s v="в аренде"/>
    <s v="краткосрочный"/>
    <x v="0"/>
    <b v="0"/>
    <n v="0.95796536300034407"/>
    <n v="0.83030303030303032"/>
    <n v="0.25888346671871948"/>
  </r>
  <r>
    <n v="409"/>
    <n v="0"/>
    <n v="264396"/>
    <n v="737"/>
    <n v="1712565"/>
    <n v="49"/>
    <n v="19980.02"/>
    <n v="21.9"/>
    <n v="13"/>
    <n v="380665"/>
    <n v="1075052"/>
    <x v="1"/>
    <s v="f51f824d-fb8a-4ab6-b211-4db6d706b00c"/>
    <s v="консолидация кредитов"/>
    <s v="в аренде"/>
    <s v="краткосрочный"/>
    <x v="0"/>
    <b v="0"/>
    <n v="0.31614864089918571"/>
    <n v="0.91515151515151516"/>
    <n v="0.14000066566816444"/>
  </r>
  <r>
    <n v="410"/>
    <n v="0"/>
    <n v="242264"/>
    <n v="744"/>
    <n v="584345"/>
    <n v="0"/>
    <n v="12417.45"/>
    <n v="21.7"/>
    <n v="10"/>
    <n v="212306"/>
    <n v="836154"/>
    <x v="3"/>
    <s v="847a95e9-1543-4b45-8b42-3b93b5acc8c0"/>
    <s v="консолидация кредитов"/>
    <s v="в ипотеке"/>
    <s v="краткосрочный"/>
    <x v="1"/>
    <b v="0"/>
    <n v="0.28730358986122262"/>
    <n v="0.95757575757575752"/>
    <n v="0.25500243862786542"/>
  </r>
  <r>
    <n v="411"/>
    <n v="0"/>
    <n v="444752"/>
    <n v="706"/>
    <n v="1920520"/>
    <n v="72"/>
    <n v="43371.68"/>
    <n v="16.100000000000001"/>
    <n v="22"/>
    <n v="353362"/>
    <n v="611578"/>
    <x v="3"/>
    <s v="1a7fbc55-d351-48ef-b7eb-d1680fb416cd"/>
    <s v="консолидация кредитов"/>
    <s v="в аренде"/>
    <s v="долгосрочный"/>
    <x v="1"/>
    <b v="0"/>
    <n v="0.55121000114692054"/>
    <n v="0.72727272727272729"/>
    <n v="0.27099960427384251"/>
  </r>
  <r>
    <n v="412"/>
    <n v="0"/>
    <n v="251196"/>
    <n v="740"/>
    <n v="1051536"/>
    <n v="20"/>
    <n v="23133.83"/>
    <n v="48.7"/>
    <n v="16"/>
    <n v="300295"/>
    <n v="452716"/>
    <x v="1"/>
    <s v="cb675274-6c28-4bf7-a075-5cc990cf5c51"/>
    <s v="консолидация кредитов"/>
    <s v="в ипотеке"/>
    <s v="краткосрочный"/>
    <x v="0"/>
    <b v="0"/>
    <n v="0.29894483312306458"/>
    <n v="0.93333333333333335"/>
    <n v="0.26400043365134435"/>
  </r>
  <r>
    <n v="413"/>
    <n v="0"/>
    <n v="224312"/>
    <n v="700"/>
    <n v="678034"/>
    <n v="64"/>
    <n v="13052.24"/>
    <n v="12.8"/>
    <n v="13"/>
    <n v="240863"/>
    <n v="639650"/>
    <x v="2"/>
    <s v="0ec4572c-0882-4245-b2a1-7015771148b7"/>
    <s v="консолидация кредитов"/>
    <s v="в аренде"/>
    <s v="краткосрочный"/>
    <x v="1"/>
    <b v="0"/>
    <n v="0.26390641128569792"/>
    <n v="0.69090909090909092"/>
    <n v="0.23100151319845316"/>
  </r>
  <r>
    <n v="414"/>
    <n v="0"/>
    <n v="222728"/>
    <n v="615"/>
    <n v="905160"/>
    <n v="49"/>
    <n v="18706.64"/>
    <n v="16.2"/>
    <n v="9"/>
    <n v="64676"/>
    <n v="135432"/>
    <x v="9"/>
    <s v="ba68a268-8b71-4107-950a-8c5f17a76950"/>
    <s v="малый бизнес"/>
    <s v="в аренде"/>
    <s v="долгосрочный"/>
    <x v="0"/>
    <b v="0"/>
    <n v="0.26184195435256336"/>
    <n v="0.17575757575757575"/>
    <n v="0.248"/>
  </r>
  <r>
    <n v="415"/>
    <n v="0"/>
    <n v="266882"/>
    <n v="723"/>
    <n v="1168044"/>
    <n v="49"/>
    <n v="20287.439999999999"/>
    <n v="23.4"/>
    <n v="12"/>
    <n v="255018"/>
    <n v="853402"/>
    <x v="1"/>
    <s v="a7f73a96-01e2-457e-846e-5c8d18d4221a"/>
    <s v="консолидация кредитов"/>
    <s v="в ипотеке"/>
    <s v="краткосрочный"/>
    <x v="0"/>
    <b v="0"/>
    <n v="0.31938869136368847"/>
    <n v="0.83030303030303032"/>
    <n v="0.2084247511223892"/>
  </r>
  <r>
    <n v="416"/>
    <n v="1"/>
    <n v="450648"/>
    <n v="737"/>
    <n v="1634627"/>
    <n v="20"/>
    <n v="10570.65"/>
    <n v="32.5"/>
    <n v="6"/>
    <n v="93252"/>
    <n v="151008"/>
    <x v="1"/>
    <s v="8e3e3601-6f19-4818-8915-4c3e3f58c2fd"/>
    <s v="консолидация кредитов"/>
    <s v="в аренде"/>
    <s v="краткосрочный"/>
    <x v="0"/>
    <b v="0"/>
    <n v="0.55889436862025466"/>
    <n v="0.91515151515151516"/>
    <n v="7.7600455639115232E-2"/>
  </r>
  <r>
    <n v="417"/>
    <n v="0"/>
    <n v="500302"/>
    <n v="723"/>
    <n v="1168044"/>
    <n v="0"/>
    <n v="13520.59"/>
    <n v="15"/>
    <n v="8"/>
    <n v="232142"/>
    <n v="732424"/>
    <x v="8"/>
    <s v="ceeff234-9aa8-494f-9935-e1a963b27960"/>
    <s v="консолидация кредитов"/>
    <s v="в аренде"/>
    <s v="краткосрочный"/>
    <x v="0"/>
    <b v="0"/>
    <n v="0.62360935887143021"/>
    <n v="0.83030303030303032"/>
    <n v="0.13890493851259028"/>
  </r>
  <r>
    <n v="418"/>
    <n v="0"/>
    <n v="407528"/>
    <n v="711"/>
    <n v="928226"/>
    <n v="0"/>
    <n v="18487.38"/>
    <n v="11.1"/>
    <n v="5"/>
    <n v="263093"/>
    <n v="333652"/>
    <x v="5"/>
    <s v="14caac2b-1ab5-4625-adce-733b26643f70"/>
    <s v="консолидация кредитов"/>
    <s v="в аренде"/>
    <s v="долгосрочный"/>
    <x v="0"/>
    <b v="0"/>
    <n v="0.50269526321825897"/>
    <n v="0.75757575757575757"/>
    <n v="0.2390027428665002"/>
  </r>
  <r>
    <n v="419"/>
    <n v="0"/>
    <n v="152372"/>
    <n v="697"/>
    <n v="845937"/>
    <n v="46"/>
    <n v="2876.22"/>
    <n v="8.8000000000000007"/>
    <n v="10"/>
    <n v="56943"/>
    <n v="215468"/>
    <x v="4"/>
    <s v="ab46b1a7-f937-4ba9-ac98-270344120cf7"/>
    <s v="консолидация кредитов"/>
    <s v="в аренде"/>
    <s v="краткосрочный"/>
    <x v="0"/>
    <b v="0"/>
    <n v="0.17014565890583783"/>
    <n v="0.67272727272727273"/>
    <n v="4.0800485142510612E-2"/>
  </r>
  <r>
    <n v="420"/>
    <n v="0"/>
    <n v="704946"/>
    <n v="717"/>
    <n v="1352914"/>
    <n v="0"/>
    <n v="27960.21"/>
    <n v="30"/>
    <n v="16"/>
    <n v="792623"/>
    <n v="1456752"/>
    <x v="1"/>
    <s v="d3291318-0960-44db-beb2-cae8cf8029d4"/>
    <s v="консолидация кредитов"/>
    <s v="в ипотеке"/>
    <s v="краткосрочный"/>
    <x v="0"/>
    <b v="0"/>
    <n v="0.89032572542722788"/>
    <n v="0.79393939393939394"/>
    <n v="0.24799988764991715"/>
  </r>
  <r>
    <n v="421"/>
    <n v="0"/>
    <n v="152372"/>
    <n v="697"/>
    <n v="845937"/>
    <n v="46"/>
    <n v="2876.22"/>
    <n v="8.8000000000000007"/>
    <n v="10"/>
    <n v="56943"/>
    <n v="215468"/>
    <x v="4"/>
    <s v="ab46b1a7-f937-4ba9-ac98-270344120cf7"/>
    <s v="консолидация кредитов"/>
    <s v="в аренде"/>
    <s v="краткосрочный"/>
    <x v="0"/>
    <b v="0"/>
    <n v="0.17014565890583783"/>
    <n v="0.67272727272727273"/>
    <n v="4.0800485142510612E-2"/>
  </r>
  <r>
    <n v="422"/>
    <n v="0"/>
    <n v="630234"/>
    <n v="723"/>
    <n v="1168044"/>
    <n v="0"/>
    <n v="32910.85"/>
    <n v="15.6"/>
    <n v="13"/>
    <n v="1060846"/>
    <n v="1305370"/>
    <x v="9"/>
    <s v="471802fa-e65d-4247-92d1-9a838d2b2080"/>
    <s v="консолидация кредитов"/>
    <s v="в ипотеке"/>
    <s v="краткосрочный"/>
    <x v="0"/>
    <b v="0"/>
    <n v="0.7929521734143824"/>
    <n v="0.83030303030303032"/>
    <n v="0.33811243412063241"/>
  </r>
  <r>
    <n v="423"/>
    <n v="0"/>
    <n v="87472"/>
    <n v="695"/>
    <n v="679896"/>
    <n v="0"/>
    <n v="6872.68"/>
    <n v="10.199999999999999"/>
    <n v="4"/>
    <n v="19912"/>
    <n v="133210"/>
    <x v="6"/>
    <s v="9a0ed640-48ab-48c4-9948-5bbb27cd1fe5"/>
    <s v="бизнес"/>
    <s v="в ипотеке"/>
    <s v="краткосрочный"/>
    <x v="0"/>
    <b v="0"/>
    <n v="8.5560270673242345E-2"/>
    <n v="0.66060606060606064"/>
    <n v="0.12130114017437961"/>
  </r>
  <r>
    <n v="424"/>
    <n v="0"/>
    <n v="178046"/>
    <n v="723"/>
    <n v="1168044"/>
    <n v="0"/>
    <n v="18759.080000000002"/>
    <n v="23.3"/>
    <n v="11"/>
    <n v="119757"/>
    <n v="360184"/>
    <x v="4"/>
    <s v="2a445931-cd27-44c7-838e-c9dede943278"/>
    <s v="консолидация кредитов"/>
    <s v="в аренде"/>
    <s v="краткосрочный"/>
    <x v="1"/>
    <b v="0"/>
    <n v="0.20360706503039339"/>
    <n v="0.83030303030303032"/>
    <n v="0.19272301385906698"/>
  </r>
  <r>
    <n v="425"/>
    <n v="1"/>
    <n v="155738"/>
    <n v="723"/>
    <n v="1168044"/>
    <n v="10"/>
    <n v="6654.75"/>
    <n v="19.399999999999999"/>
    <n v="7"/>
    <n v="125039"/>
    <n v="275748"/>
    <x v="1"/>
    <s v="4cb4da1d-b371-4208-8e1a-72d68d6a7334"/>
    <s v="консолидация кредитов"/>
    <s v="в аренде"/>
    <s v="краткосрочный"/>
    <x v="0"/>
    <b v="0"/>
    <n v="0.17453262988874871"/>
    <n v="0.83030303030303032"/>
    <n v="6.8368143665820807E-2"/>
  </r>
  <r>
    <n v="426"/>
    <n v="0"/>
    <n v="234036"/>
    <n v="703"/>
    <n v="665798"/>
    <n v="39"/>
    <n v="11263.01"/>
    <n v="17"/>
    <n v="13"/>
    <n v="242098"/>
    <n v="308396"/>
    <x v="1"/>
    <s v="9d65a472-7fdb-4eb8-8fcd-5597554a6082"/>
    <s v="консолидация кредитов"/>
    <s v="в ипотеке"/>
    <s v="краткосрочный"/>
    <x v="1"/>
    <b v="0"/>
    <n v="0.27657988301410713"/>
    <n v="0.70909090909090911"/>
    <n v="0.20299868728953829"/>
  </r>
  <r>
    <n v="427"/>
    <n v="0"/>
    <m/>
    <n v="615"/>
    <n v="1282462"/>
    <n v="0"/>
    <n v="40611.360000000001"/>
    <n v="22.9"/>
    <n v="21"/>
    <n v="1238287"/>
    <n v="1740046"/>
    <x v="1"/>
    <s v="03f8cd85-1ce1-4754-a955-f32e17eaee60"/>
    <s v="консолидация кредитов"/>
    <s v="в ипотеке"/>
    <s v="долгосрочный"/>
    <x v="0"/>
    <b v="0"/>
    <m/>
    <n v="0.17575757575757575"/>
    <n v="0.38000059261015146"/>
  </r>
  <r>
    <n v="428"/>
    <n v="1"/>
    <n v="223146"/>
    <n v="719"/>
    <n v="573819"/>
    <n v="0"/>
    <n v="10902.58"/>
    <n v="22.6"/>
    <n v="9"/>
    <n v="77159"/>
    <n v="192544"/>
    <x v="8"/>
    <s v="4e3eee3d-4f66-4a08-8060-154c1cbc29fc"/>
    <s v="консолидация кредитов"/>
    <s v="в ипотеке"/>
    <s v="краткосрочный"/>
    <x v="0"/>
    <b v="0"/>
    <n v="0.2623867415988072"/>
    <n v="0.80606060606060603"/>
    <n v="0.2280003973378365"/>
  </r>
  <r>
    <n v="429"/>
    <n v="0"/>
    <n v="649902"/>
    <n v="695"/>
    <n v="1309651"/>
    <n v="74"/>
    <n v="6810.17"/>
    <n v="26"/>
    <n v="7"/>
    <n v="300884"/>
    <n v="361768"/>
    <x v="1"/>
    <s v="21a58539-2489-4b5a-8606-b7a64e606fec"/>
    <s v="консолидация кредитов"/>
    <s v="в собственности"/>
    <s v="долгосрочный"/>
    <x v="0"/>
    <b v="0"/>
    <n v="0.81858584700080284"/>
    <n v="0.66060606060606064"/>
    <n v="6.2399860726254558E-2"/>
  </r>
  <r>
    <n v="430"/>
    <n v="0"/>
    <n v="214632"/>
    <n v="722"/>
    <n v="1448237"/>
    <n v="10"/>
    <n v="33188.629999999997"/>
    <n v="15"/>
    <n v="25"/>
    <n v="485982"/>
    <n v="970200"/>
    <x v="7"/>
    <s v="c6abf067-c8b9-44f9-be06-4271cb13e550"/>
    <s v="консолидация кредитов"/>
    <s v="в ипотеке"/>
    <s v="краткосрочный"/>
    <x v="0"/>
    <b v="0"/>
    <n v="0.25129028558320909"/>
    <n v="0.82424242424242422"/>
    <n v="0.27499888485102919"/>
  </r>
  <r>
    <n v="431"/>
    <n v="0"/>
    <m/>
    <n v="710"/>
    <n v="1733788"/>
    <n v="69"/>
    <n v="39443.43"/>
    <n v="35.6"/>
    <n v="23"/>
    <n v="761254"/>
    <n v="1620344"/>
    <x v="9"/>
    <s v="907ae5a2-9fe1-4093-9d47-94af6af76f0e"/>
    <s v="консолидация кредитов"/>
    <s v="в ипотеке"/>
    <s v="долгосрочный"/>
    <x v="0"/>
    <b v="0"/>
    <m/>
    <n v="0.75151515151515147"/>
    <n v="0.27299829044842849"/>
  </r>
  <r>
    <n v="432"/>
    <n v="0"/>
    <n v="207636"/>
    <n v="723"/>
    <n v="1168044"/>
    <n v="8"/>
    <n v="15330.53"/>
    <n v="19.7"/>
    <n v="9"/>
    <n v="184281"/>
    <n v="254936"/>
    <x v="1"/>
    <s v="b36af03c-aabf-4817-a356-cba3f9b80aa0"/>
    <s v="консолидация кредитов"/>
    <s v="в ипотеке"/>
    <s v="краткосрочный"/>
    <x v="1"/>
    <b v="0"/>
    <n v="0.2421722674618649"/>
    <n v="0.83030303030303032"/>
    <n v="0.15749951200468476"/>
  </r>
  <r>
    <n v="433"/>
    <n v="0"/>
    <m/>
    <n v="693"/>
    <n v="1885959"/>
    <n v="35"/>
    <n v="8046.88"/>
    <n v="21.8"/>
    <n v="10"/>
    <n v="315932"/>
    <n v="923758"/>
    <x v="1"/>
    <s v="44836e28-1f4b-428f-aea6-073ab6437c68"/>
    <s v="консолидация кредитов"/>
    <s v="в ипотеке"/>
    <s v="долгосрочный"/>
    <x v="0"/>
    <b v="0"/>
    <m/>
    <n v="0.64848484848484844"/>
    <n v="5.1200773717774352E-2"/>
  </r>
  <r>
    <n v="434"/>
    <n v="0"/>
    <n v="396286"/>
    <n v="741"/>
    <n v="2528767"/>
    <n v="4"/>
    <n v="17111.400000000001"/>
    <n v="28.9"/>
    <n v="11"/>
    <n v="174781"/>
    <n v="535414"/>
    <x v="1"/>
    <s v="7c5ef5d9-ff25-4006-a399-cee0e175e54a"/>
    <s v="консолидация кредитов"/>
    <s v="в ипотеке"/>
    <s v="краткосрочный"/>
    <x v="0"/>
    <b v="0"/>
    <n v="0.48804335359559581"/>
    <n v="0.93939393939393945"/>
    <n v="8.1200363655489022E-2"/>
  </r>
  <r>
    <n v="435"/>
    <n v="0"/>
    <n v="268664"/>
    <n v="727"/>
    <n v="899954"/>
    <n v="0"/>
    <n v="17324.2"/>
    <n v="19.5"/>
    <n v="13"/>
    <n v="223725"/>
    <n v="460130"/>
    <x v="0"/>
    <s v="3d6b26e0-e22a-4b63-8f4f-aecc83b723b9"/>
    <s v="консолидация кредитов"/>
    <s v="в ипотеке"/>
    <s v="краткосрочный"/>
    <x v="1"/>
    <b v="0"/>
    <n v="0.32171120541346487"/>
    <n v="0.8545454545454545"/>
    <n v="0.23100114005826963"/>
  </r>
  <r>
    <n v="436"/>
    <n v="1"/>
    <n v="405746"/>
    <n v="742"/>
    <n v="1168044"/>
    <n v="0"/>
    <n v="21511.42"/>
    <n v="13.8"/>
    <n v="9"/>
    <n v="286748"/>
    <n v="378598"/>
    <x v="3"/>
    <s v="35de5f47-b2b9-4e16-af6a-5455ade15f11"/>
    <s v="консолидация кредитов"/>
    <s v="в ипотеке"/>
    <s v="краткосрочный"/>
    <x v="0"/>
    <b v="0"/>
    <n v="0.50037274916848262"/>
    <n v="0.94545454545454544"/>
    <n v="0.22099941440562168"/>
  </r>
  <r>
    <n v="437"/>
    <n v="1"/>
    <n v="188166"/>
    <n v="747"/>
    <n v="2408554"/>
    <n v="0"/>
    <n v="7587.08"/>
    <n v="16.5"/>
    <n v="7"/>
    <n v="85975"/>
    <n v="143440"/>
    <x v="1"/>
    <s v="23fbae3c-895e-43d9-bae9-077999282de3"/>
    <s v="консолидация кредитов"/>
    <s v="в аренде"/>
    <s v="краткосрочный"/>
    <x v="0"/>
    <b v="0"/>
    <n v="0.21679665099208625"/>
    <n v="0.97575757575757571"/>
    <n v="3.7800672104507514E-2"/>
  </r>
  <r>
    <n v="438"/>
    <n v="0"/>
    <n v="358578"/>
    <n v="711"/>
    <n v="1509721"/>
    <n v="0"/>
    <n v="3157.8"/>
    <n v="13.7"/>
    <n v="3"/>
    <n v="58862"/>
    <n v="91850"/>
    <x v="7"/>
    <s v="3cec97a7-6e88-4d1c-8ce1-b635c7ffd354"/>
    <s v="консолидация кредитов"/>
    <s v="в ипотеке"/>
    <s v="краткосрочный"/>
    <x v="0"/>
    <b v="0"/>
    <n v="0.43889780938180983"/>
    <n v="0.75757575757575757"/>
    <n v="2.5099736971268202E-2"/>
  </r>
  <r>
    <n v="439"/>
    <n v="0"/>
    <n v="94534"/>
    <n v="718"/>
    <n v="777556"/>
    <n v="0"/>
    <n v="12894.35"/>
    <n v="8.6999999999999993"/>
    <n v="8"/>
    <n v="49286"/>
    <n v="72050"/>
    <x v="5"/>
    <s v="6c9bb30e-e5eb-4b42-a5af-936e5f86bf00"/>
    <s v="консолидация кредитов"/>
    <s v="в аренде"/>
    <s v="краткосрочный"/>
    <x v="0"/>
    <b v="0"/>
    <n v="9.4764307833467135E-2"/>
    <n v="0.8"/>
    <n v="0.19899814289903234"/>
  </r>
  <r>
    <n v="440"/>
    <n v="0"/>
    <n v="767624"/>
    <n v="733"/>
    <n v="2083825"/>
    <n v="0"/>
    <n v="22574.85"/>
    <n v="12.6"/>
    <n v="12"/>
    <n v="434910"/>
    <n v="1243396"/>
    <x v="4"/>
    <s v="f8fe1ce7-dd1b-45e4-86d8-1446b353b817"/>
    <s v="консолидация кредитов"/>
    <s v="в ипотеке"/>
    <s v="краткосрочный"/>
    <x v="0"/>
    <b v="0"/>
    <n v="0.97201513935084294"/>
    <n v="0.89090909090909087"/>
    <n v="0.13000045589240938"/>
  </r>
  <r>
    <n v="441"/>
    <n v="0"/>
    <n v="403964"/>
    <n v="744"/>
    <n v="1763561"/>
    <n v="0"/>
    <n v="17929.349999999999"/>
    <n v="18.399999999999999"/>
    <n v="11"/>
    <n v="389101"/>
    <n v="843678"/>
    <x v="1"/>
    <s v="67df0dd6-0eba-4a63-b3cd-e9333d9e8e79"/>
    <s v="консолидация кредитов"/>
    <s v="в ипотеке"/>
    <s v="краткосрочный"/>
    <x v="0"/>
    <b v="0"/>
    <n v="0.49805023511870627"/>
    <n v="0.95757575757575752"/>
    <n v="0.12199872870856182"/>
  </r>
  <r>
    <n v="442"/>
    <n v="0"/>
    <n v="531168"/>
    <n v="724"/>
    <n v="1834944"/>
    <n v="75"/>
    <n v="23242.7"/>
    <n v="38"/>
    <n v="16"/>
    <n v="534033"/>
    <n v="942612"/>
    <x v="1"/>
    <s v="65fae922-65ac-42d8-910a-d43c187b0c07"/>
    <s v="консолидация кредитов"/>
    <s v="в ипотеке"/>
    <s v="долгосрочный"/>
    <x v="0"/>
    <b v="0"/>
    <n v="0.66383759605459347"/>
    <n v="0.83636363636363631"/>
    <n v="0.15200049701789264"/>
  </r>
  <r>
    <n v="443"/>
    <n v="1"/>
    <n v="390896"/>
    <n v="735"/>
    <n v="804460"/>
    <n v="0"/>
    <n v="11932.95"/>
    <n v="26.3"/>
    <n v="14"/>
    <n v="335027"/>
    <n v="1251360"/>
    <x v="8"/>
    <s v="bd34e363-b56a-4c33-8c77-0a49d20728ac"/>
    <s v="консолидация кредитов"/>
    <s v="в аренде"/>
    <s v="краткосрочный"/>
    <x v="0"/>
    <b v="0"/>
    <n v="0.48101846542034637"/>
    <n v="0.90303030303030307"/>
    <n v="0.1780018894662258"/>
  </r>
  <r>
    <n v="444"/>
    <n v="1"/>
    <n v="134794"/>
    <n v="736"/>
    <n v="927523"/>
    <n v="49"/>
    <n v="11439.33"/>
    <n v="16.8"/>
    <n v="7"/>
    <n v="72371"/>
    <n v="130306"/>
    <x v="1"/>
    <s v="3e6f9a14-595e-4c93-b16a-6b9e0691a39a"/>
    <s v="консолидация кредитов"/>
    <s v="в аренде"/>
    <s v="краткосрочный"/>
    <x v="0"/>
    <b v="0"/>
    <n v="0.14723592155063653"/>
    <n v="0.90909090909090906"/>
    <n v="0.14799844316529079"/>
  </r>
  <r>
    <n v="445"/>
    <n v="3"/>
    <m/>
    <n v="741"/>
    <n v="1157328"/>
    <n v="0"/>
    <n v="9007.9"/>
    <n v="13.7"/>
    <n v="10"/>
    <n v="159714"/>
    <n v="469348"/>
    <x v="9"/>
    <s v="8059ca3a-ca55-4bea-8f6e-d5b353a19d4c"/>
    <s v="консолидация кредитов"/>
    <s v="в аренде"/>
    <s v="краткосрочный"/>
    <x v="0"/>
    <b v="0"/>
    <m/>
    <n v="0.93939393939393945"/>
    <n v="9.3400315208825843E-2"/>
  </r>
  <r>
    <n v="446"/>
    <n v="0"/>
    <n v="134596"/>
    <n v="723"/>
    <n v="1356201"/>
    <n v="10"/>
    <n v="18308.78"/>
    <n v="21.5"/>
    <n v="19"/>
    <n v="286596"/>
    <n v="707586"/>
    <x v="9"/>
    <s v="35ff2d58-59e1-4455-af50-3438a78ed021"/>
    <s v="консолидация кредитов"/>
    <s v="в ипотеке"/>
    <s v="краткосрочный"/>
    <x v="0"/>
    <b v="0"/>
    <n v="0.14697786443399471"/>
    <n v="0.83030303030303032"/>
    <n v="0.16200058840835538"/>
  </r>
  <r>
    <n v="447"/>
    <n v="0"/>
    <n v="311850"/>
    <n v="723"/>
    <n v="694564"/>
    <n v="0"/>
    <n v="12270.77"/>
    <n v="18.8"/>
    <n v="6"/>
    <n v="167238"/>
    <n v="338536"/>
    <x v="1"/>
    <s v="e9402e8e-ca22-4834-a024-d89e674b5afb"/>
    <s v="консолидация кредитов"/>
    <s v="в собственности"/>
    <s v="долгосрочный"/>
    <x v="0"/>
    <b v="0"/>
    <n v="0.37799632985434112"/>
    <n v="0.83030303030303032"/>
    <n v="0.21200240726556516"/>
  </r>
  <r>
    <n v="448"/>
    <n v="0"/>
    <m/>
    <n v="722"/>
    <n v="1450441"/>
    <n v="37"/>
    <n v="15229.64"/>
    <n v="14"/>
    <n v="10"/>
    <n v="439812"/>
    <n v="816134"/>
    <x v="1"/>
    <s v="94c953bf-f551-43bd-9374-d41bc899e362"/>
    <s v="консолидация кредитов"/>
    <s v="в ипотеке"/>
    <s v="краткосрочный"/>
    <x v="0"/>
    <b v="0"/>
    <m/>
    <n v="0.82424242424242422"/>
    <n v="0.12600007859678539"/>
  </r>
  <r>
    <n v="449"/>
    <n v="0"/>
    <n v="429000"/>
    <n v="746"/>
    <n v="926250"/>
    <n v="0"/>
    <n v="27015.53"/>
    <n v="28.5"/>
    <n v="8"/>
    <n v="473708"/>
    <n v="746240"/>
    <x v="1"/>
    <s v="39b4e50e-b907-42c4-9741-322c29dbe476"/>
    <s v="консолидация кредитов"/>
    <s v="в ипотеке"/>
    <s v="краткосрочный"/>
    <x v="0"/>
    <b v="0"/>
    <n v="0.53068012386741603"/>
    <n v="0.96969696969696972"/>
    <n v="0.34999876923076922"/>
  </r>
  <r>
    <n v="450"/>
    <n v="0"/>
    <n v="215446"/>
    <n v="720"/>
    <n v="1308283"/>
    <n v="27"/>
    <n v="11992.61"/>
    <n v="22"/>
    <n v="13"/>
    <n v="139479"/>
    <n v="192940"/>
    <x v="9"/>
    <s v="277f0c8d-3100-4734-acde-eabfda554112"/>
    <s v="консолидация кредитов"/>
    <s v="в аренде"/>
    <s v="краткосрочный"/>
    <x v="1"/>
    <b v="0"/>
    <n v="0.25235118706273657"/>
    <n v="0.81212121212121213"/>
    <n v="0.11000014522851709"/>
  </r>
  <r>
    <n v="451"/>
    <n v="0"/>
    <n v="375650"/>
    <n v="724"/>
    <n v="768398"/>
    <n v="0"/>
    <n v="12857.68"/>
    <n v="19"/>
    <n v="10"/>
    <n v="254391"/>
    <n v="435072"/>
    <x v="1"/>
    <s v="d52fe572-9db8-419c-91c9-33ec04025163"/>
    <s v="консолидация кредитов"/>
    <s v="в аренде"/>
    <s v="краткосрочный"/>
    <x v="0"/>
    <b v="0"/>
    <n v="0.4611480674389265"/>
    <n v="0.83636363636363631"/>
    <n v="0.20079719103901886"/>
  </r>
  <r>
    <n v="452"/>
    <n v="0"/>
    <n v="762696"/>
    <n v="656"/>
    <n v="6906766"/>
    <n v="0"/>
    <n v="86334.48"/>
    <n v="31.2"/>
    <n v="13"/>
    <n v="1376474"/>
    <n v="1728650"/>
    <x v="2"/>
    <s v="ea4d01b3-bfe1-4759-b165-10a3043c7257"/>
    <s v="консолидация кредитов"/>
    <s v="в ипотеке"/>
    <s v="долгосрочный"/>
    <x v="0"/>
    <b v="1"/>
    <n v="0.96559238444775775"/>
    <n v="0.42424242424242425"/>
    <n v="0.14999983494445879"/>
  </r>
  <r>
    <n v="453"/>
    <n v="0"/>
    <n v="267872"/>
    <n v="723"/>
    <n v="1168044"/>
    <n v="0"/>
    <n v="19439.849999999999"/>
    <n v="20.5"/>
    <n v="10"/>
    <n v="673512"/>
    <n v="1687994"/>
    <x v="1"/>
    <s v="b96bd37d-f920-4e89-8707-53349a8a3e6c"/>
    <s v="консолидация кредитов"/>
    <s v="в собственности"/>
    <s v="долгосрочный"/>
    <x v="0"/>
    <b v="0"/>
    <n v="0.32067897694689756"/>
    <n v="0.83030303030303032"/>
    <n v="0.19971696271715789"/>
  </r>
  <r>
    <n v="454"/>
    <n v="0"/>
    <n v="781022"/>
    <n v="653"/>
    <n v="2004253"/>
    <n v="48"/>
    <n v="35993.22"/>
    <n v="26.4"/>
    <n v="17"/>
    <n v="622554"/>
    <n v="1115862"/>
    <x v="1"/>
    <s v="e15c3081-4cec-4988-ae46-073d7ef52a61"/>
    <s v="консолидация кредитов"/>
    <s v="в ипотеке"/>
    <s v="долгосрочный"/>
    <x v="1"/>
    <b v="0"/>
    <n v="0.98947700424360596"/>
    <n v="0.40606060606060607"/>
    <n v="0.21550105700228464"/>
  </r>
  <r>
    <n v="455"/>
    <n v="0"/>
    <m/>
    <n v="700"/>
    <n v="410020"/>
    <n v="0"/>
    <n v="1144.56"/>
    <n v="13.9"/>
    <n v="1"/>
    <n v="94202"/>
    <n v="173976"/>
    <x v="4"/>
    <s v="279c0b13-4338-47e8-8387-5e2abd791216"/>
    <s v="иное"/>
    <s v="в аренде"/>
    <s v="долгосрочный"/>
    <x v="0"/>
    <b v="0"/>
    <m/>
    <n v="0.69090909090909092"/>
    <n v="3.3497683039851713E-2"/>
  </r>
  <r>
    <n v="456"/>
    <n v="1"/>
    <n v="216832"/>
    <n v="723"/>
    <n v="1168044"/>
    <n v="15"/>
    <n v="25920.560000000001"/>
    <n v="14"/>
    <n v="8"/>
    <n v="97052"/>
    <n v="197164"/>
    <x v="5"/>
    <s v="9078506e-5fe4-461c-a420-66321502c708"/>
    <s v="консолидация кредитов"/>
    <s v="в аренде"/>
    <s v="долгосрочный"/>
    <x v="0"/>
    <b v="0"/>
    <n v="0.25415758687922929"/>
    <n v="0.83030303030303032"/>
    <n v="0.26629709154792114"/>
  </r>
  <r>
    <n v="457"/>
    <n v="0"/>
    <m/>
    <n v="707"/>
    <n v="1208324"/>
    <n v="45"/>
    <n v="18527.66"/>
    <n v="12.8"/>
    <n v="17"/>
    <n v="631788"/>
    <n v="1213190"/>
    <x v="2"/>
    <s v="d7887c0c-decc-4fb2-adb2-f6f65c6d4f15"/>
    <s v="консолидация кредитов"/>
    <s v="в ипотеке"/>
    <s v="долгосрочный"/>
    <x v="0"/>
    <b v="0"/>
    <m/>
    <n v="0.73333333333333328"/>
    <n v="0.1840002515881502"/>
  </r>
  <r>
    <n v="458"/>
    <n v="0"/>
    <n v="131934"/>
    <n v="717"/>
    <n v="531734"/>
    <n v="0"/>
    <n v="16395.099999999999"/>
    <n v="8.4"/>
    <n v="9"/>
    <n v="120612"/>
    <n v="160512"/>
    <x v="9"/>
    <s v="e7bbc5c3-bd7a-4803-a170-7eaa2d8de78a"/>
    <s v="консолидация кредитов"/>
    <s v="в аренде"/>
    <s v="краткосрочный"/>
    <x v="1"/>
    <b v="0"/>
    <n v="0.14350842986581031"/>
    <n v="0.79393939393939394"/>
    <n v="0.36999928535696419"/>
  </r>
  <r>
    <n v="459"/>
    <n v="0"/>
    <m/>
    <n v="738"/>
    <n v="2081792"/>
    <n v="27"/>
    <n v="21511.99"/>
    <n v="25.6"/>
    <n v="10"/>
    <n v="163153"/>
    <n v="227612"/>
    <x v="1"/>
    <s v="4448c50f-658f-4897-89b0-8da53c60cbb5"/>
    <s v="консолидация кредитов"/>
    <s v="в ипотеке"/>
    <s v="краткосрочный"/>
    <x v="0"/>
    <b v="0"/>
    <m/>
    <n v="0.92121212121212126"/>
    <n v="0.12400080315420563"/>
  </r>
  <r>
    <n v="460"/>
    <n v="0"/>
    <m/>
    <n v="745"/>
    <n v="665608"/>
    <n v="55"/>
    <n v="14754.07"/>
    <n v="15.5"/>
    <n v="5"/>
    <n v="231553"/>
    <n v="376552"/>
    <x v="9"/>
    <s v="78bd8382-79d1-46fb-b73e-13549f184e9a"/>
    <s v="консолидация кредитов"/>
    <s v="в аренде"/>
    <s v="краткосрочный"/>
    <x v="0"/>
    <b v="0"/>
    <m/>
    <n v="0.96363636363636362"/>
    <n v="0.26599566110984241"/>
  </r>
  <r>
    <n v="461"/>
    <n v="0"/>
    <n v="556996"/>
    <n v="733"/>
    <n v="4521715"/>
    <n v="40"/>
    <n v="44086.65"/>
    <n v="27"/>
    <n v="18"/>
    <n v="106001"/>
    <n v="1157904"/>
    <x v="9"/>
    <s v="7b1a2716-7c87-4cb3-9524-214c04ab6312"/>
    <s v="приобретение жилья"/>
    <s v="в аренде"/>
    <s v="краткосрочный"/>
    <x v="0"/>
    <b v="1"/>
    <n v="0.69749971326987037"/>
    <n v="0.89090909090909087"/>
    <n v="0.11699981091245247"/>
  </r>
  <r>
    <n v="462"/>
    <n v="0"/>
    <n v="158026"/>
    <n v="716"/>
    <n v="1091854"/>
    <n v="7"/>
    <n v="11009.55"/>
    <n v="14.3"/>
    <n v="7"/>
    <n v="87438"/>
    <n v="188540"/>
    <x v="1"/>
    <s v="62550808-4d89-4058-9a93-b8dec2606e71"/>
    <s v="ремонт жилья"/>
    <s v="в ипотеке"/>
    <s v="краткосрочный"/>
    <x v="0"/>
    <b v="0"/>
    <n v="0.17751462323660971"/>
    <n v="0.78787878787878785"/>
    <n v="0.1210002436223158"/>
  </r>
  <r>
    <n v="463"/>
    <n v="0"/>
    <n v="773388"/>
    <n v="723"/>
    <n v="1168044"/>
    <n v="0"/>
    <n v="32008.73"/>
    <n v="29.2"/>
    <n v="8"/>
    <n v="1515592"/>
    <n v="2321308"/>
    <x v="1"/>
    <s v="83375a14-3b11-47e3-adcc-aba68b9aa3a4"/>
    <s v="консолидация кредитов"/>
    <s v="в ипотеке"/>
    <s v="краткосрочный"/>
    <x v="0"/>
    <b v="0"/>
    <n v="0.97952746874641583"/>
    <n v="0.83030303030303032"/>
    <n v="0.32884442709349992"/>
  </r>
  <r>
    <n v="464"/>
    <n v="1"/>
    <n v="130746"/>
    <n v="734"/>
    <n v="1018590"/>
    <n v="29"/>
    <n v="16891.57"/>
    <n v="22.8"/>
    <n v="7"/>
    <n v="41230"/>
    <n v="191686"/>
    <x v="1"/>
    <s v="a8cc187e-2d6d-4fda-867a-f4b527a5349f"/>
    <s v="консолидация кредитов"/>
    <s v="в аренде"/>
    <s v="краткосрочный"/>
    <x v="0"/>
    <b v="0"/>
    <n v="0.1419600871659594"/>
    <n v="0.89696969696969697"/>
    <n v="0.1989994404029099"/>
  </r>
  <r>
    <n v="465"/>
    <n v="0"/>
    <n v="208670"/>
    <n v="703"/>
    <n v="566124"/>
    <n v="0"/>
    <n v="3811.97"/>
    <n v="11.7"/>
    <n v="7"/>
    <n v="171779"/>
    <n v="264506"/>
    <x v="6"/>
    <s v="87af014b-f368-4d7c-8f8d-8f59d5efc338"/>
    <s v="консолидация кредитов"/>
    <s v="в ипотеке"/>
    <s v="краткосрочный"/>
    <x v="0"/>
    <b v="0"/>
    <n v="0.24351989907099439"/>
    <n v="0.70909090909090911"/>
    <n v="8.0801449859041474E-2"/>
  </r>
  <r>
    <n v="466"/>
    <n v="1"/>
    <n v="298166"/>
    <n v="717"/>
    <n v="2247396"/>
    <n v="0"/>
    <n v="35583.769999999997"/>
    <n v="19.5"/>
    <n v="22"/>
    <n v="50825"/>
    <n v="159060"/>
    <x v="1"/>
    <s v="fd04a9be-10df-4847-92f5-c647e16d40a5"/>
    <s v="консолидация кредитов"/>
    <s v="в ипотеке"/>
    <s v="краткосрочный"/>
    <x v="0"/>
    <b v="0"/>
    <n v="0.36016171579309553"/>
    <n v="0.79393939393939394"/>
    <n v="0.18999999999999997"/>
  </r>
  <r>
    <n v="467"/>
    <n v="0"/>
    <n v="267784"/>
    <n v="689"/>
    <n v="1638104"/>
    <n v="20"/>
    <n v="48050.62"/>
    <n v="12.2"/>
    <n v="10"/>
    <n v="60325"/>
    <n v="403722"/>
    <x v="9"/>
    <s v="b9254a96-7185-49bb-a1a9-ab93a4adbe24"/>
    <s v="консолидация кредитов"/>
    <s v="в собственности"/>
    <s v="долгосрочный"/>
    <x v="0"/>
    <b v="1"/>
    <n v="0.32056428489505678"/>
    <n v="0.62424242424242427"/>
    <n v="0.35199684513315399"/>
  </r>
  <r>
    <n v="468"/>
    <n v="1"/>
    <n v="430012"/>
    <n v="723"/>
    <n v="1392662"/>
    <n v="0"/>
    <n v="21470"/>
    <n v="16"/>
    <n v="21"/>
    <n v="597360"/>
    <n v="2034340"/>
    <x v="1"/>
    <s v="66db7b31-792a-493f-88fb-b576cd826198"/>
    <s v="консолидация кредитов"/>
    <s v="в ипотеке"/>
    <s v="краткосрочный"/>
    <x v="0"/>
    <b v="0"/>
    <n v="0.53199908246358529"/>
    <n v="0.83030303030303032"/>
    <n v="0.18499822641818331"/>
  </r>
  <r>
    <n v="469"/>
    <n v="0"/>
    <n v="44022"/>
    <n v="666"/>
    <n v="910727"/>
    <n v="24"/>
    <n v="19808.259999999998"/>
    <n v="22.5"/>
    <n v="8"/>
    <n v="419748"/>
    <n v="514866"/>
    <x v="4"/>
    <s v="86c10392-9210-4d48-a02b-49ff0beff2de"/>
    <s v="иное"/>
    <s v="в ипотеке"/>
    <s v="краткосрочный"/>
    <x v="1"/>
    <b v="0"/>
    <n v="2.8931070076843673E-2"/>
    <n v="0.48484848484848486"/>
    <n v="0.26099931153902317"/>
  </r>
  <r>
    <n v="470"/>
    <n v="0"/>
    <n v="140888"/>
    <n v="693"/>
    <n v="1166296"/>
    <n v="0"/>
    <n v="7396.32"/>
    <n v="16.399999999999999"/>
    <n v="6"/>
    <n v="1254"/>
    <n v="145244"/>
    <x v="1"/>
    <s v="9ac101a6-a72e-4ecb-ae9c-091200a88209"/>
    <s v="крупная покупка"/>
    <s v="в аренде"/>
    <s v="краткосрочный"/>
    <x v="1"/>
    <b v="0"/>
    <n v="0.15517834614061246"/>
    <n v="0.64848484848484844"/>
    <n v="7.6100612537469053E-2"/>
  </r>
  <r>
    <n v="471"/>
    <n v="1"/>
    <n v="260216"/>
    <n v="664"/>
    <n v="1685547"/>
    <n v="0"/>
    <n v="17698.310000000001"/>
    <n v="14.8"/>
    <n v="12"/>
    <n v="71041"/>
    <n v="301290"/>
    <x v="1"/>
    <s v="834b3cbc-fdb2-4084-9dfc-9cdcae945acf"/>
    <s v="ремонт жилья"/>
    <s v="в ипотеке"/>
    <s v="долгосрочный"/>
    <x v="0"/>
    <b v="0"/>
    <n v="0.31070076843674732"/>
    <n v="0.47272727272727272"/>
    <n v="0.12600047343681312"/>
  </r>
  <r>
    <n v="472"/>
    <n v="0"/>
    <n v="151602"/>
    <n v="739"/>
    <n v="1084805"/>
    <n v="61"/>
    <n v="7204.99"/>
    <n v="10.7"/>
    <n v="6"/>
    <n v="69331"/>
    <n v="395472"/>
    <x v="2"/>
    <s v="eb069b14-27ec-4f73-ac76-ae19d18cef36"/>
    <s v="консолидация кредитов"/>
    <s v="в аренде"/>
    <s v="краткосрочный"/>
    <x v="0"/>
    <b v="0"/>
    <n v="0.16914210345223077"/>
    <n v="0.92727272727272725"/>
    <n v="7.9700849461423931E-2"/>
  </r>
  <r>
    <n v="473"/>
    <n v="0"/>
    <n v="311608"/>
    <n v="723"/>
    <n v="1168044"/>
    <n v="0"/>
    <n v="19115.14"/>
    <n v="15.9"/>
    <n v="8"/>
    <n v="120460"/>
    <n v="255464"/>
    <x v="6"/>
    <s v="93bfe4f9-4421-4add-8e13-0a84235cee68"/>
    <s v="консолидация кредитов"/>
    <s v="в аренде"/>
    <s v="краткосрочный"/>
    <x v="0"/>
    <b v="0"/>
    <n v="0.37768092671177889"/>
    <n v="0.83030303030303032"/>
    <n v="0.19638102674214328"/>
  </r>
  <r>
    <n v="474"/>
    <n v="0"/>
    <m/>
    <n v="737"/>
    <n v="1324452"/>
    <n v="25"/>
    <n v="23619.47"/>
    <n v="12.8"/>
    <n v="30"/>
    <n v="108908"/>
    <n v="298100"/>
    <x v="9"/>
    <s v="636578ec-e081-49f7-9fec-638d65a36050"/>
    <s v="консолидация кредитов"/>
    <s v="в аренде"/>
    <s v="краткосрочный"/>
    <x v="0"/>
    <b v="0"/>
    <m/>
    <n v="0.91515151515151516"/>
    <n v="0.21400068858667587"/>
  </r>
  <r>
    <n v="475"/>
    <n v="0"/>
    <n v="220770"/>
    <n v="705"/>
    <n v="571995"/>
    <n v="0"/>
    <n v="10915.5"/>
    <n v="21.3"/>
    <n v="6"/>
    <n v="93043"/>
    <n v="139018"/>
    <x v="7"/>
    <s v="7e2225b8-85aa-45ea-a7e5-e36bbdd6b818"/>
    <s v="консолидация кредитов"/>
    <s v="в аренде"/>
    <s v="краткосрочный"/>
    <x v="1"/>
    <b v="0"/>
    <n v="0.25929005619910539"/>
    <n v="0.72121212121212119"/>
    <n v="0.22899850523168908"/>
  </r>
  <r>
    <n v="476"/>
    <n v="1"/>
    <n v="176220"/>
    <n v="717"/>
    <n v="1027235"/>
    <n v="0"/>
    <n v="9330.7099999999991"/>
    <n v="25.5"/>
    <n v="7"/>
    <n v="99294"/>
    <n v="283888"/>
    <x v="1"/>
    <s v="af9daf28-5add-454c-8a37-4ea08e5593dd"/>
    <s v="консолидация кредитов"/>
    <s v="в собственности"/>
    <s v="краткосрочный"/>
    <x v="0"/>
    <b v="0"/>
    <n v="0.20122720495469665"/>
    <n v="0.79393939393939394"/>
    <n v="0.10899990751872744"/>
  </r>
  <r>
    <n v="477"/>
    <n v="0"/>
    <m/>
    <n v="700"/>
    <n v="730588"/>
    <n v="60"/>
    <n v="6149.16"/>
    <n v="9.1999999999999993"/>
    <n v="7"/>
    <n v="38437"/>
    <n v="202268"/>
    <x v="1"/>
    <s v="25f9b079-a3b3-4f09-9611-dc0ea52c8d33"/>
    <s v="иное"/>
    <s v="в аренде"/>
    <s v="краткосрочный"/>
    <x v="0"/>
    <b v="0"/>
    <m/>
    <n v="0.69090909090909092"/>
    <n v="0.10100072818058878"/>
  </r>
  <r>
    <n v="478"/>
    <n v="0"/>
    <n v="130988"/>
    <n v="723"/>
    <n v="1168044"/>
    <n v="0"/>
    <n v="15955.25"/>
    <n v="14.5"/>
    <n v="11"/>
    <n v="231610"/>
    <n v="360448"/>
    <x v="3"/>
    <s v="bde40503-813e-4548-a1fe-ca854c725cf8"/>
    <s v="консолидация кредитов"/>
    <s v="в аренде"/>
    <s v="краткосрочный"/>
    <x v="0"/>
    <b v="0"/>
    <n v="0.14227549030852163"/>
    <n v="0.83030303030303032"/>
    <n v="0.16391762639078664"/>
  </r>
  <r>
    <n v="479"/>
    <n v="1"/>
    <m/>
    <n v="723"/>
    <n v="898092"/>
    <n v="0"/>
    <n v="22976.13"/>
    <n v="18.3"/>
    <n v="13"/>
    <n v="187777"/>
    <n v="396044"/>
    <x v="3"/>
    <s v="6cd3f9d2-fa0c-4cf3-b0ce-de0d07daebc7"/>
    <s v="консолидация кредитов"/>
    <s v="в аренде"/>
    <s v="краткосрочный"/>
    <x v="0"/>
    <b v="0"/>
    <m/>
    <n v="0.83030303030303032"/>
    <n v="0.30699923838537702"/>
  </r>
  <r>
    <n v="480"/>
    <n v="0"/>
    <n v="324346"/>
    <n v="742"/>
    <n v="954370"/>
    <n v="34"/>
    <n v="17019.63"/>
    <n v="10"/>
    <n v="17"/>
    <n v="121448"/>
    <n v="404096"/>
    <x v="6"/>
    <s v="9cfde7db-c5d9-40cb-84e4-210f6b28204d"/>
    <s v="консолидация кредитов"/>
    <s v="в аренде"/>
    <s v="краткосрочный"/>
    <x v="0"/>
    <b v="0"/>
    <n v="0.39428260121573577"/>
    <n v="0.94545454545454544"/>
    <n v="0.21400039816842528"/>
  </r>
  <r>
    <n v="481"/>
    <n v="3"/>
    <m/>
    <n v="729"/>
    <n v="594301"/>
    <n v="20"/>
    <n v="8468.8700000000008"/>
    <n v="35.9"/>
    <n v="12"/>
    <n v="220001"/>
    <n v="434698"/>
    <x v="1"/>
    <s v="21fd514c-1391-4f7e-bdb0-40e42abffa38"/>
    <s v="консолидация кредитов"/>
    <s v="в собственности"/>
    <s v="краткосрочный"/>
    <x v="0"/>
    <b v="0"/>
    <m/>
    <n v="0.8666666666666667"/>
    <n v="0.17100163048690817"/>
  </r>
  <r>
    <n v="482"/>
    <n v="0"/>
    <n v="259138"/>
    <n v="751"/>
    <n v="2517804"/>
    <n v="37"/>
    <n v="14687.19"/>
    <n v="18.8"/>
    <n v="11"/>
    <n v="138491"/>
    <n v="1252878"/>
    <x v="1"/>
    <s v="a6f2c994-d1ca-4230-98de-8e7c0f77daf1"/>
    <s v="консолидация кредитов"/>
    <s v="в ипотеке"/>
    <s v="краткосрочный"/>
    <x v="0"/>
    <b v="0"/>
    <n v="0.30929579080169745"/>
    <n v="1"/>
    <n v="7.0000000000000007E-2"/>
  </r>
  <r>
    <n v="483"/>
    <n v="0"/>
    <n v="32450"/>
    <n v="711"/>
    <n v="653904"/>
    <n v="34"/>
    <n v="11770.12"/>
    <n v="8.1999999999999993"/>
    <n v="11"/>
    <n v="129656"/>
    <n v="231308"/>
    <x v="2"/>
    <s v="86c15f3a-1d5d-497c-8780-0d3935c0a927"/>
    <s v="ремонт жилья"/>
    <s v="в аренде"/>
    <s v="краткосрочный"/>
    <x v="1"/>
    <b v="0"/>
    <n v="1.3849065259777497E-2"/>
    <n v="0.75757575757575757"/>
    <n v="0.21599721059972107"/>
  </r>
  <r>
    <n v="484"/>
    <n v="1"/>
    <n v="455906"/>
    <n v="727"/>
    <n v="3562348"/>
    <n v="0"/>
    <n v="49576.13"/>
    <n v="19.399999999999999"/>
    <n v="14"/>
    <n v="974415"/>
    <n v="1399838"/>
    <x v="3"/>
    <s v="46918079-5f39-4ca0-b881-fe0e13db717d"/>
    <s v="иное"/>
    <s v="в ипотеке"/>
    <s v="долгосрочный"/>
    <x v="0"/>
    <b v="1"/>
    <n v="0.56574721871774281"/>
    <n v="0.8545454545454545"/>
    <n v="0.16700040535062829"/>
  </r>
  <r>
    <n v="485"/>
    <n v="1"/>
    <m/>
    <n v="727"/>
    <n v="2299836"/>
    <n v="60"/>
    <n v="34305.83"/>
    <n v="12.5"/>
    <n v="11"/>
    <n v="30932"/>
    <n v="99770"/>
    <x v="1"/>
    <s v="35d100c3-3fac-42fa-8344-6d1c1e8a7e5c"/>
    <s v="консолидация кредитов"/>
    <s v="в ипотеке"/>
    <s v="краткосрочный"/>
    <x v="0"/>
    <b v="0"/>
    <m/>
    <n v="0.8545454545454545"/>
    <n v="0.17899970258748885"/>
  </r>
  <r>
    <n v="486"/>
    <n v="0"/>
    <n v="388168"/>
    <n v="744"/>
    <n v="2234856"/>
    <n v="18"/>
    <n v="40041.17"/>
    <n v="21"/>
    <n v="9"/>
    <n v="681587"/>
    <n v="896852"/>
    <x v="1"/>
    <s v="8aacac3d-297b-4853-b81d-4d0a86cefa73"/>
    <s v="консолидация кредитов"/>
    <s v="в ипотеке"/>
    <s v="краткосрочный"/>
    <x v="1"/>
    <b v="0"/>
    <n v="0.47746301181328132"/>
    <n v="0.95757575757575752"/>
    <n v="0.215"/>
  </r>
  <r>
    <n v="487"/>
    <n v="0"/>
    <m/>
    <n v="743"/>
    <n v="2278632"/>
    <n v="38"/>
    <n v="32850.239999999998"/>
    <n v="14.5"/>
    <n v="12"/>
    <n v="444315"/>
    <n v="1309066"/>
    <x v="6"/>
    <s v="df91f048-5e68-4921-877c-32f03638953f"/>
    <s v="консолидация кредитов"/>
    <s v="в аренде"/>
    <s v="краткосрочный"/>
    <x v="0"/>
    <b v="0"/>
    <m/>
    <n v="0.95151515151515154"/>
    <n v="0.17299979987992795"/>
  </r>
  <r>
    <n v="488"/>
    <n v="0"/>
    <n v="261492"/>
    <n v="732"/>
    <n v="463258"/>
    <n v="0"/>
    <n v="8724.61"/>
    <n v="9.9"/>
    <n v="9"/>
    <n v="134862"/>
    <n v="281358"/>
    <x v="3"/>
    <s v="67fe8a0d-24d8-4d2c-a212-301c782b0bbb"/>
    <s v="иное"/>
    <s v="в аренде"/>
    <s v="краткосрочный"/>
    <x v="1"/>
    <b v="0"/>
    <n v="0.31236380318843904"/>
    <n v="0.88484848484848488"/>
    <n v="0.22599786727914034"/>
  </r>
  <r>
    <n v="489"/>
    <n v="0"/>
    <n v="171776"/>
    <n v="747"/>
    <n v="1168272"/>
    <n v="0"/>
    <n v="11293.22"/>
    <n v="11.4"/>
    <n v="4"/>
    <n v="82270"/>
    <n v="118030"/>
    <x v="9"/>
    <s v="e758f401-7fae-409a-8a8f-54dc97a29e14"/>
    <s v="консолидация кредитов"/>
    <s v="в аренде"/>
    <s v="краткосрочный"/>
    <x v="0"/>
    <b v="0"/>
    <n v="0.19543525633673586"/>
    <n v="0.97575757575757571"/>
    <n v="0.11599921935987509"/>
  </r>
  <r>
    <n v="490"/>
    <n v="0"/>
    <n v="648516"/>
    <n v="730"/>
    <n v="1400205"/>
    <n v="69"/>
    <n v="21353.15"/>
    <n v="19"/>
    <n v="8"/>
    <n v="265905"/>
    <n v="332156"/>
    <x v="10"/>
    <s v="917fae66-8e65-4cea-8888-c52996f6f7dd"/>
    <s v="консолидация кредитов"/>
    <s v="в ипотеке"/>
    <s v="краткосрочный"/>
    <x v="0"/>
    <b v="0"/>
    <n v="0.81677944718431017"/>
    <n v="0.87272727272727268"/>
    <n v="0.18300020354162427"/>
  </r>
  <r>
    <n v="491"/>
    <n v="0"/>
    <n v="214962"/>
    <n v="745"/>
    <n v="540607"/>
    <n v="0"/>
    <n v="7703.74"/>
    <n v="19.399999999999999"/>
    <n v="7"/>
    <n v="114247"/>
    <n v="399652"/>
    <x v="1"/>
    <s v="e5bac7ba-ee32-48e5-a24c-4ed300c4996a"/>
    <s v="консолидация кредитов"/>
    <s v="в ипотеке"/>
    <s v="краткосрочный"/>
    <x v="0"/>
    <b v="0"/>
    <n v="0.25172038077761211"/>
    <n v="0.96363636363636362"/>
    <n v="0.17100200330369381"/>
  </r>
  <r>
    <n v="492"/>
    <n v="0"/>
    <n v="448932"/>
    <n v="738"/>
    <n v="1473317"/>
    <n v="25"/>
    <n v="17557.14"/>
    <n v="14.7"/>
    <n v="10"/>
    <n v="160569"/>
    <n v="321112"/>
    <x v="0"/>
    <s v="01d4703a-b407-4737-aa0b-21ae1f759cdc"/>
    <s v="консолидация кредитов"/>
    <s v="в собственности"/>
    <s v="краткосрочный"/>
    <x v="0"/>
    <b v="0"/>
    <n v="0.55665787360935892"/>
    <n v="0.92121212121212126"/>
    <n v="0.14300091562101028"/>
  </r>
  <r>
    <n v="493"/>
    <n v="0"/>
    <n v="764918"/>
    <n v="723"/>
    <n v="1168044"/>
    <n v="0"/>
    <n v="17232.43"/>
    <n v="16.5"/>
    <n v="7"/>
    <n v="333735"/>
    <n v="1146706"/>
    <x v="6"/>
    <s v="1d1be6af-4f27-4ff9-b1b1-093cf6c292a0"/>
    <s v="консолидация кредитов"/>
    <s v="в ипотеке"/>
    <s v="долгосрочный"/>
    <x v="0"/>
    <b v="0"/>
    <n v="0.96848835875673811"/>
    <n v="0.83030303030303032"/>
    <n v="0.1770388444270935"/>
  </r>
  <r>
    <n v="494"/>
    <n v="0"/>
    <m/>
    <n v="748"/>
    <n v="902538"/>
    <n v="0"/>
    <n v="14688.71"/>
    <n v="26.5"/>
    <n v="6"/>
    <n v="3173"/>
    <n v="244750"/>
    <x v="3"/>
    <s v="7090815a-263d-4b9d-9e35-06f8df9ddfd2"/>
    <s v="приобретение жилья"/>
    <s v="в аренде"/>
    <s v="краткосрочный"/>
    <x v="0"/>
    <b v="0"/>
    <m/>
    <n v="0.98181818181818181"/>
    <n v="0.1952987242642415"/>
  </r>
  <r>
    <n v="495"/>
    <n v="0"/>
    <n v="447524"/>
    <n v="741"/>
    <n v="2705486"/>
    <n v="0"/>
    <n v="29985.8"/>
    <n v="29"/>
    <n v="9"/>
    <n v="485697"/>
    <n v="962984"/>
    <x v="1"/>
    <s v="994cadf0-0f3e-4ca1-9f65-171ab50b572b"/>
    <s v="консолидация кредитов"/>
    <s v="в аренде"/>
    <s v="краткосрочный"/>
    <x v="0"/>
    <b v="0"/>
    <n v="0.55482280077990598"/>
    <n v="0.93939393939393945"/>
    <n v="0.13299998595446438"/>
  </r>
  <r>
    <n v="496"/>
    <n v="0"/>
    <n v="484968"/>
    <n v="733"/>
    <n v="1523040"/>
    <n v="0"/>
    <n v="30587.72"/>
    <n v="16.8"/>
    <n v="13"/>
    <n v="491359"/>
    <n v="1338656"/>
    <x v="0"/>
    <s v="b99a249c-a1e8-4322-b109-6ad4c085abd8"/>
    <s v="консолидация кредитов"/>
    <s v="в аренде"/>
    <s v="долгосрочный"/>
    <x v="1"/>
    <b v="0"/>
    <n v="0.60362426883816955"/>
    <n v="0.89090909090909087"/>
    <n v="0.24100000000000002"/>
  </r>
  <r>
    <n v="497"/>
    <n v="0"/>
    <n v="129756"/>
    <n v="745"/>
    <n v="1270036"/>
    <n v="0"/>
    <n v="25675.84"/>
    <n v="26.5"/>
    <n v="9"/>
    <n v="684893"/>
    <n v="858242"/>
    <x v="9"/>
    <s v="0ea38510-e4fa-4271-ab0d-cf0a005da8ff"/>
    <s v="ремонт жилья"/>
    <s v="в ипотеке"/>
    <s v="краткосрочный"/>
    <x v="1"/>
    <b v="0"/>
    <n v="0.1406698015827503"/>
    <n v="0.96363636363636362"/>
    <n v="0.24259948536891868"/>
  </r>
  <r>
    <n v="498"/>
    <n v="1"/>
    <n v="221320"/>
    <n v="740"/>
    <n v="860130"/>
    <n v="21"/>
    <n v="5390.11"/>
    <n v="14"/>
    <n v="11"/>
    <n v="117952"/>
    <n v="378334"/>
    <x v="1"/>
    <s v="90ae759f-f8c8-41b7-ba0c-e0d1a334f568"/>
    <s v="консолидация кредитов"/>
    <s v="в ипотеке"/>
    <s v="краткосрочный"/>
    <x v="1"/>
    <b v="0"/>
    <n v="0.26000688152311047"/>
    <n v="0.93333333333333335"/>
    <n v="7.5199469847581177E-2"/>
  </r>
  <r>
    <n v="499"/>
    <n v="0"/>
    <n v="66572"/>
    <n v="747"/>
    <n v="785707"/>
    <n v="0"/>
    <n v="13618.82"/>
    <n v="8.3000000000000007"/>
    <n v="7"/>
    <n v="16302"/>
    <n v="132990"/>
    <x v="5"/>
    <s v="93035ff7-abf6-4594-b4dd-311b27fdc293"/>
    <s v="иное"/>
    <s v="в ипотеке"/>
    <s v="краткосрочный"/>
    <x v="0"/>
    <b v="0"/>
    <n v="5.8320908361050576E-2"/>
    <n v="0.97575757575757571"/>
    <n v="0.20799845234928541"/>
  </r>
  <r>
    <n v="500"/>
    <n v="0"/>
    <n v="462792"/>
    <n v="749"/>
    <n v="2207743"/>
    <n v="0"/>
    <n v="19869.63"/>
    <n v="24.3"/>
    <n v="11"/>
    <n v="710334"/>
    <n v="1815682"/>
    <x v="1"/>
    <s v="bf18ff24-a3f4-43a6-9681-2cc2c4aa383c"/>
    <s v="консолидация кредитов"/>
    <s v="в ипотеке"/>
    <s v="краткосрочный"/>
    <x v="0"/>
    <b v="0"/>
    <n v="0.57472187177428602"/>
    <n v="0.98787878787878791"/>
    <n v="0.10799969018132999"/>
  </r>
  <r>
    <n v="501"/>
    <n v="0"/>
    <n v="222574"/>
    <n v="723"/>
    <n v="1168044"/>
    <n v="0"/>
    <n v="19798.95"/>
    <n v="25.7"/>
    <n v="11"/>
    <n v="81396"/>
    <n v="1847802"/>
    <x v="2"/>
    <s v="30f76659-bfdf-42a3-9468-7deab5c7628c"/>
    <s v="консолидация кредитов"/>
    <s v="в ипотеке"/>
    <s v="краткосрочный"/>
    <x v="0"/>
    <b v="0"/>
    <n v="0.26164124326184196"/>
    <n v="0.83030303030303032"/>
    <n v="0.20340620730040992"/>
  </r>
  <r>
    <n v="502"/>
    <n v="0"/>
    <n v="752004"/>
    <n v="723"/>
    <n v="1168044"/>
    <n v="3"/>
    <n v="21714.15"/>
    <n v="20.100000000000001"/>
    <n v="11"/>
    <n v="572356"/>
    <n v="864028"/>
    <x v="1"/>
    <s v="e912ddc2-7e6b-4bdb-9789-f018e98d545f"/>
    <s v="консолидация кредитов"/>
    <s v="в ипотеке"/>
    <s v="долгосрочный"/>
    <x v="1"/>
    <b v="0"/>
    <n v="0.95165730014909966"/>
    <n v="0.83030303030303032"/>
    <n v="0.22308217841108727"/>
  </r>
  <r>
    <n v="503"/>
    <n v="0"/>
    <n v="445632"/>
    <n v="680"/>
    <n v="877059"/>
    <n v="12"/>
    <n v="12205.6"/>
    <n v="33.5"/>
    <n v="9"/>
    <n v="344584"/>
    <n v="701206"/>
    <x v="1"/>
    <s v="287ed51c-6930-4d09-8110-f2632691d379"/>
    <s v="ремонт жилья"/>
    <s v="в аренде"/>
    <s v="долгосрочный"/>
    <x v="1"/>
    <b v="0"/>
    <n v="0.55235692166532857"/>
    <n v="0.5696969696969697"/>
    <n v="0.16699811529212971"/>
  </r>
  <r>
    <n v="504"/>
    <n v="0"/>
    <n v="219054"/>
    <n v="723"/>
    <n v="1067154"/>
    <n v="29"/>
    <n v="24455.66"/>
    <n v="15.4"/>
    <n v="8"/>
    <n v="100814"/>
    <n v="130284"/>
    <x v="7"/>
    <s v="be7854ab-8631-4c85-ae9d-988847bcc8bb"/>
    <s v="консолидация кредитов"/>
    <s v="в ипотеке"/>
    <s v="краткосрочный"/>
    <x v="1"/>
    <b v="0"/>
    <n v="0.25705356118820966"/>
    <n v="0.83030303030303032"/>
    <n v="0.27500053413096892"/>
  </r>
  <r>
    <n v="505"/>
    <n v="0"/>
    <m/>
    <n v="735"/>
    <n v="799292"/>
    <n v="0"/>
    <n v="15253.01"/>
    <n v="11.2"/>
    <n v="6"/>
    <n v="195149"/>
    <n v="269984"/>
    <x v="10"/>
    <s v="d3957d15-9fc0-40c6-ae93-a81dccb30018"/>
    <s v="консолидация кредитов"/>
    <s v="в аренде"/>
    <s v="краткосрочный"/>
    <x v="0"/>
    <b v="0"/>
    <m/>
    <n v="0.90303030303030307"/>
    <n v="0.22899781306456213"/>
  </r>
  <r>
    <n v="506"/>
    <n v="0"/>
    <n v="132616"/>
    <n v="743"/>
    <n v="1527144"/>
    <n v="25"/>
    <n v="40342.32"/>
    <n v="22.4"/>
    <n v="16"/>
    <n v="159030"/>
    <n v="814770"/>
    <x v="1"/>
    <s v="c0b14676-6848-4f87-b8e1-d18ebf229a98"/>
    <s v="консолидация кредитов"/>
    <s v="в ипотеке"/>
    <s v="краткосрочный"/>
    <x v="0"/>
    <b v="0"/>
    <n v="0.14439729326757655"/>
    <n v="0.95151515151515154"/>
    <n v="0.31700209017617198"/>
  </r>
  <r>
    <n v="507"/>
    <n v="0"/>
    <n v="590986"/>
    <n v="613"/>
    <n v="1156511"/>
    <n v="0"/>
    <n v="22060.52"/>
    <n v="14.1"/>
    <n v="11"/>
    <n v="268926"/>
    <n v="331254"/>
    <x v="2"/>
    <s v="c62a4a9f-659c-44bb-a0a8-ab18d2caa2e7"/>
    <s v="консолидация кредитов"/>
    <s v="в аренде"/>
    <s v="долгосрочный"/>
    <x v="0"/>
    <b v="0"/>
    <n v="0.74179951829338231"/>
    <n v="0.16363636363636364"/>
    <n v="0.22890075407843072"/>
  </r>
  <r>
    <n v="508"/>
    <n v="0"/>
    <n v="96800"/>
    <n v="712"/>
    <n v="371564"/>
    <n v="65"/>
    <n v="6874.01"/>
    <n v="14.1"/>
    <n v="14"/>
    <n v="177688"/>
    <n v="340054"/>
    <x v="2"/>
    <s v="97c74279-0e75-4470-b870-c2549bafe481"/>
    <s v="консолидация кредитов"/>
    <s v="в аренде"/>
    <s v="краткосрочный"/>
    <x v="0"/>
    <b v="0"/>
    <n v="9.7717628168367932E-2"/>
    <n v="0.76363636363636367"/>
    <n v="0.22200245448967068"/>
  </r>
  <r>
    <n v="509"/>
    <n v="0"/>
    <n v="43054"/>
    <n v="747"/>
    <n v="490713"/>
    <n v="81"/>
    <n v="8346.32"/>
    <n v="21.7"/>
    <n v="10"/>
    <n v="75962"/>
    <n v="240988"/>
    <x v="5"/>
    <s v="80ac7202-710e-4b07-a850-dda14db27dd5"/>
    <s v="консолидация кредитов"/>
    <s v="в аренде"/>
    <s v="краткосрочный"/>
    <x v="0"/>
    <b v="0"/>
    <n v="2.7669457506594792E-2"/>
    <n v="0.97575757575757571"/>
    <n v="0.20410268323847136"/>
  </r>
  <r>
    <n v="510"/>
    <n v="0"/>
    <n v="321420"/>
    <n v="745"/>
    <n v="1542192"/>
    <n v="39"/>
    <n v="12106.23"/>
    <n v="21.4"/>
    <n v="4"/>
    <n v="121657"/>
    <n v="145068"/>
    <x v="2"/>
    <s v="b2432894-f244-4e24-a344-651609be1420"/>
    <s v="консолидация кредитов"/>
    <s v="в ипотеке"/>
    <s v="краткосрочный"/>
    <x v="1"/>
    <b v="0"/>
    <n v="0.39046909049202888"/>
    <n v="0.96363636363636362"/>
    <n v="9.4200177409816677E-2"/>
  </r>
  <r>
    <n v="511"/>
    <n v="1"/>
    <n v="88374"/>
    <n v="723"/>
    <n v="1168044"/>
    <n v="4"/>
    <n v="18904.810000000001"/>
    <n v="15.8"/>
    <n v="14"/>
    <n v="50996"/>
    <n v="260128"/>
    <x v="5"/>
    <s v="c5396ed9-5ba7-4839-87e4-ba89d333f9e0"/>
    <s v="консолидация кредитов"/>
    <s v="в аренде"/>
    <s v="краткосрочный"/>
    <x v="0"/>
    <b v="0"/>
    <n v="8.6735864204610616E-2"/>
    <n v="0.83030303030303032"/>
    <n v="0.19422018348623854"/>
  </r>
  <r>
    <n v="512"/>
    <n v="0"/>
    <n v="483098"/>
    <n v="698"/>
    <n v="1467978"/>
    <n v="0"/>
    <n v="33396.300000000003"/>
    <n v="16.3"/>
    <n v="43"/>
    <n v="719283"/>
    <n v="1091552"/>
    <x v="2"/>
    <s v="0bfa5f34-ee9c-4366-b656-08f4540b198f"/>
    <s v="консолидация кредитов"/>
    <s v="в ипотеке"/>
    <s v="долгосрочный"/>
    <x v="0"/>
    <b v="0"/>
    <n v="0.60118706273655231"/>
    <n v="0.67878787878787883"/>
    <n v="0.27299836918536929"/>
  </r>
  <r>
    <n v="513"/>
    <n v="0"/>
    <n v="244398"/>
    <n v="723"/>
    <n v="1168044"/>
    <n v="0"/>
    <n v="4844.24"/>
    <n v="13.3"/>
    <n v="7"/>
    <n v="190456"/>
    <n v="371250"/>
    <x v="6"/>
    <s v="529ae1a0-365c-4f30-96c9-217b8128b4e0"/>
    <s v="иное"/>
    <s v="в ипотеке"/>
    <s v="краткосрочный"/>
    <x v="1"/>
    <b v="0"/>
    <n v="0.2900848721183622"/>
    <n v="0.83030303030303032"/>
    <n v="4.9767714229943388E-2"/>
  </r>
  <r>
    <n v="514"/>
    <n v="0"/>
    <n v="423676"/>
    <n v="723"/>
    <n v="1168044"/>
    <n v="33"/>
    <n v="97671.02"/>
    <n v="19.7"/>
    <n v="22"/>
    <n v="676951"/>
    <n v="917840"/>
    <x v="6"/>
    <s v="0089b9a3-1e98-40dd-9f2e-85aae2a6cb4a"/>
    <s v="консолидация кредитов"/>
    <s v="в ипотеке"/>
    <s v="краткосрочный"/>
    <x v="1"/>
    <b v="1"/>
    <n v="0.52374125473104716"/>
    <n v="0.83030303030303032"/>
    <n v="1.0034315830568028"/>
  </r>
  <r>
    <n v="515"/>
    <n v="0"/>
    <m/>
    <n v="747"/>
    <n v="4995328"/>
    <n v="0"/>
    <n v="30471.439999999999"/>
    <n v="14.3"/>
    <n v="11"/>
    <n v="1046672"/>
    <n v="1702162"/>
    <x v="5"/>
    <s v="c48261ff-f75b-4e0d-acc8-d0b379f82043"/>
    <s v="консолидация кредитов"/>
    <s v="в ипотеке"/>
    <s v="краткосрочный"/>
    <x v="0"/>
    <b v="0"/>
    <m/>
    <n v="0.97575757575757571"/>
    <n v="7.3199853943524823E-2"/>
  </r>
  <r>
    <n v="516"/>
    <n v="1"/>
    <n v="215138"/>
    <n v="723"/>
    <n v="1168044"/>
    <n v="66"/>
    <n v="11380.24"/>
    <n v="18.100000000000001"/>
    <n v="9"/>
    <n v="289199"/>
    <n v="350636"/>
    <x v="1"/>
    <s v="514e1564-cf7a-4b14-993e-f3a92c28975b"/>
    <s v="консолидация кредитов"/>
    <s v="в ипотеке"/>
    <s v="краткосрочный"/>
    <x v="0"/>
    <b v="0"/>
    <n v="0.25194976488129373"/>
    <n v="0.83030303030303032"/>
    <n v="0.11691586960765177"/>
  </r>
  <r>
    <n v="517"/>
    <n v="0"/>
    <n v="782408"/>
    <n v="723"/>
    <n v="1168044"/>
    <n v="0"/>
    <n v="69227.64"/>
    <n v="33.4"/>
    <n v="12"/>
    <n v="246658"/>
    <n v="531828"/>
    <x v="5"/>
    <s v="0c525c1d-15ec-499e-858d-4b32a5fa8a97"/>
    <s v="консолидация кредитов"/>
    <s v="в ипотеке"/>
    <s v="краткосрочный"/>
    <x v="0"/>
    <b v="1"/>
    <n v="0.99128340406009863"/>
    <n v="0.83030303030303032"/>
    <n v="0.71121608432559047"/>
  </r>
  <r>
    <n v="518"/>
    <n v="0"/>
    <n v="257554"/>
    <n v="732"/>
    <n v="885096"/>
    <n v="0"/>
    <n v="11211.14"/>
    <n v="21.6"/>
    <n v="4"/>
    <n v="197239"/>
    <n v="302478"/>
    <x v="0"/>
    <s v="33fe01b7-03a2-4b28-a52a-5614a33e5cd6"/>
    <s v="консолидация кредитов"/>
    <s v="в аренде"/>
    <s v="краткосрочный"/>
    <x v="0"/>
    <b v="0"/>
    <n v="0.30723133386856288"/>
    <n v="0.88484848484848488"/>
    <n v="0.15199896960329726"/>
  </r>
  <r>
    <n v="519"/>
    <n v="0"/>
    <n v="268752"/>
    <n v="747"/>
    <n v="812364"/>
    <n v="0"/>
    <n v="6654.56"/>
    <n v="15.3"/>
    <n v="9"/>
    <n v="278103"/>
    <n v="615692"/>
    <x v="2"/>
    <s v="13e096cd-097c-4b51-8c32-c57776e6d263"/>
    <s v="консолидация кредитов"/>
    <s v="в ипотеке"/>
    <s v="краткосрочный"/>
    <x v="0"/>
    <b v="0"/>
    <n v="0.32182589746530565"/>
    <n v="0.97575757575757571"/>
    <n v="9.8299186079146797E-2"/>
  </r>
  <r>
    <n v="520"/>
    <n v="0"/>
    <n v="147400"/>
    <n v="745"/>
    <n v="2314428"/>
    <n v="0"/>
    <n v="20058.3"/>
    <n v="19.8"/>
    <n v="8"/>
    <n v="40603"/>
    <n v="528198"/>
    <x v="6"/>
    <s v="f07498c8-c9ae-463f-8c8a-2736112aff77"/>
    <s v="консолидация кредитов"/>
    <s v="в аренде"/>
    <s v="краткосрочный"/>
    <x v="0"/>
    <b v="0"/>
    <n v="0.16366555797683222"/>
    <n v="0.96363636363636362"/>
    <n v="0.10399960595015269"/>
  </r>
  <r>
    <n v="521"/>
    <n v="1"/>
    <n v="263428"/>
    <n v="723"/>
    <n v="1168044"/>
    <n v="52"/>
    <n v="12417.64"/>
    <n v="13.6"/>
    <n v="5"/>
    <n v="82023"/>
    <n v="412984"/>
    <x v="8"/>
    <s v="7da65710-9929-40ab-b7f5-d2c2db06adb0"/>
    <s v="консолидация кредитов"/>
    <s v="в ипотеке"/>
    <s v="краткосрочный"/>
    <x v="0"/>
    <b v="0"/>
    <n v="0.31488702832893678"/>
    <n v="0.83030303030303032"/>
    <n v="0.12757368729260199"/>
  </r>
  <r>
    <n v="522"/>
    <n v="0"/>
    <n v="444400"/>
    <n v="723"/>
    <n v="1168044"/>
    <n v="0"/>
    <n v="1367.24"/>
    <n v="9"/>
    <n v="7"/>
    <n v="57494"/>
    <n v="443806"/>
    <x v="9"/>
    <s v="294d2722-9e0f-45ee-a1fd-cb60925fcc3e"/>
    <s v="консолидация кредитов"/>
    <s v="в аренде"/>
    <s v="краткосрочный"/>
    <x v="0"/>
    <b v="0"/>
    <n v="0.5507512329395573"/>
    <n v="0.83030303030303032"/>
    <n v="1.4046457154011321E-2"/>
  </r>
  <r>
    <n v="523"/>
    <n v="0"/>
    <n v="387288"/>
    <n v="740"/>
    <n v="2489988"/>
    <n v="0"/>
    <n v="18571.169999999998"/>
    <n v="11.1"/>
    <n v="12"/>
    <n v="167276"/>
    <n v="430408"/>
    <x v="9"/>
    <s v="80a8c004-596d-42b3-8356-f5ce225b11dc"/>
    <s v="консолидация кредитов"/>
    <s v="в аренде"/>
    <s v="краткосрочный"/>
    <x v="0"/>
    <b v="0"/>
    <n v="0.47631609129487329"/>
    <n v="0.93333333333333335"/>
    <n v="8.950004578335316E-2"/>
  </r>
  <r>
    <n v="524"/>
    <n v="0"/>
    <n v="682858"/>
    <n v="723"/>
    <n v="1168044"/>
    <n v="35"/>
    <n v="33470.400000000001"/>
    <n v="29.5"/>
    <n v="7"/>
    <n v="482771"/>
    <n v="746306"/>
    <x v="1"/>
    <s v="986a9a6c-4577-46b4-8efc-79ea23c2fec5"/>
    <s v="консолидация кредитов"/>
    <s v="в аренде"/>
    <s v="краткосрочный"/>
    <x v="0"/>
    <b v="0"/>
    <n v="0.86153802041518524"/>
    <n v="0.83030303030303032"/>
    <n v="0.34386101893421822"/>
  </r>
  <r>
    <n v="525"/>
    <n v="1"/>
    <n v="234762"/>
    <n v="731"/>
    <n v="784833"/>
    <n v="0"/>
    <n v="5958.21"/>
    <n v="14.1"/>
    <n v="4"/>
    <n v="88122"/>
    <n v="123398"/>
    <x v="5"/>
    <s v="f4786c56-1c62-41e7-9946-d9edf07d8491"/>
    <s v="консолидация кредитов"/>
    <s v="в аренде"/>
    <s v="краткосрочный"/>
    <x v="0"/>
    <b v="0"/>
    <n v="0.27752609244179377"/>
    <n v="0.87878787878787878"/>
    <n v="9.1100297770353694E-2"/>
  </r>
  <r>
    <n v="526"/>
    <n v="0"/>
    <n v="107844"/>
    <n v="723"/>
    <n v="1168044"/>
    <n v="0"/>
    <n v="16912.47"/>
    <n v="31.3"/>
    <n v="12"/>
    <n v="239058"/>
    <n v="423896"/>
    <x v="0"/>
    <s v="a901260f-8913-4d1d-b9ae-6ac4c8ae2fda"/>
    <s v="консолидация кредитов"/>
    <s v="в ипотеке"/>
    <s v="краткосрочный"/>
    <x v="0"/>
    <b v="0"/>
    <n v="0.11211148067438927"/>
    <n v="0.83030303030303032"/>
    <n v="0.17375170798360337"/>
  </r>
  <r>
    <n v="527"/>
    <n v="0"/>
    <n v="259754"/>
    <n v="723"/>
    <n v="1168044"/>
    <n v="11"/>
    <n v="21872.04"/>
    <n v="13.1"/>
    <n v="13"/>
    <n v="209551"/>
    <n v="441144"/>
    <x v="1"/>
    <s v="489b3039-0965-4d77-ada1-93f19f9e5e94"/>
    <s v="консолидация кредитов"/>
    <s v="в аренде"/>
    <s v="долгосрочный"/>
    <x v="1"/>
    <b v="0"/>
    <n v="0.31009863516458308"/>
    <n v="0.83030303030303032"/>
    <n v="0.22470427483896155"/>
  </r>
  <r>
    <n v="528"/>
    <n v="0"/>
    <n v="264836"/>
    <n v="703"/>
    <n v="1277066"/>
    <n v="0"/>
    <n v="14473.44"/>
    <n v="17.2"/>
    <n v="7"/>
    <n v="40280"/>
    <n v="249370"/>
    <x v="7"/>
    <s v="c0144ec8-abb0-447e-8637-063a93f1a6dd"/>
    <s v="медицинские препараты"/>
    <s v="в ипотеке"/>
    <s v="долгосрочный"/>
    <x v="0"/>
    <b v="0"/>
    <n v="0.31672210115838972"/>
    <n v="0.70909090909090911"/>
    <n v="0.13600023804564526"/>
  </r>
  <r>
    <n v="529"/>
    <n v="0"/>
    <n v="223102"/>
    <n v="724"/>
    <n v="1965322"/>
    <n v="0"/>
    <n v="20799.68"/>
    <n v="31"/>
    <n v="4"/>
    <n v="233472"/>
    <n v="299046"/>
    <x v="6"/>
    <s v="488ad40c-c9e3-4c56-8cdc-ebb49305ce25"/>
    <s v="консолидация кредитов"/>
    <s v="в аренде"/>
    <s v="краткосрочный"/>
    <x v="0"/>
    <b v="0"/>
    <n v="0.26232939557288681"/>
    <n v="0.83636363636363631"/>
    <n v="0.12700013534677779"/>
  </r>
  <r>
    <n v="530"/>
    <n v="2"/>
    <n v="748154"/>
    <n v="668"/>
    <n v="7669160"/>
    <n v="0"/>
    <n v="12078.87"/>
    <n v="20.9"/>
    <n v="7"/>
    <n v="46721"/>
    <n v="314556"/>
    <x v="3"/>
    <s v="4f8a034b-1384-48ec-a86d-2c0a2cfe390e"/>
    <s v="иное"/>
    <s v="в аренде"/>
    <s v="краткосрочный"/>
    <x v="0"/>
    <b v="0"/>
    <n v="0.94663952288106434"/>
    <n v="0.49696969696969695"/>
    <n v="1.8899910811614313E-2"/>
  </r>
  <r>
    <n v="531"/>
    <n v="1"/>
    <n v="434896"/>
    <n v="723"/>
    <n v="1032878"/>
    <n v="0"/>
    <n v="20657.560000000001"/>
    <n v="18.600000000000001"/>
    <n v="12"/>
    <n v="313595"/>
    <n v="459052"/>
    <x v="0"/>
    <s v="359270ce-98da-4061-b44d-f0d8badb452e"/>
    <s v="консолидация кредитов"/>
    <s v="в аренде"/>
    <s v="долгосрочный"/>
    <x v="0"/>
    <b v="0"/>
    <n v="0.53836449134075004"/>
    <n v="0.83030303030303032"/>
    <n v="0.24"/>
  </r>
  <r>
    <n v="532"/>
    <n v="0"/>
    <n v="156552"/>
    <n v="720"/>
    <n v="1840397"/>
    <n v="45"/>
    <n v="31440.25"/>
    <n v="19.100000000000001"/>
    <n v="10"/>
    <n v="258400"/>
    <n v="406538"/>
    <x v="1"/>
    <s v="1e8b7f7b-2457-4e41-a98a-81331aa0584f"/>
    <s v="консолидация кредитов"/>
    <s v="в ипотеке"/>
    <s v="краткосрочный"/>
    <x v="0"/>
    <b v="0"/>
    <n v="0.17559353136827618"/>
    <n v="0.81212121212121213"/>
    <n v="0.2050008775280551"/>
  </r>
  <r>
    <n v="533"/>
    <n v="0"/>
    <n v="132000"/>
    <n v="713"/>
    <n v="440895"/>
    <n v="0"/>
    <n v="6797.06"/>
    <n v="11.9"/>
    <n v="11"/>
    <n v="207347"/>
    <n v="301246"/>
    <x v="6"/>
    <s v="9ce42db6-b72e-47f5-a49c-74014a4a7bde"/>
    <s v="консолидация кредитов"/>
    <s v="в ипотеке"/>
    <s v="краткосрочный"/>
    <x v="0"/>
    <b v="0"/>
    <n v="0.14359444890469089"/>
    <n v="0.76969696969696966"/>
    <n v="0.18499806076276665"/>
  </r>
  <r>
    <n v="534"/>
    <n v="0"/>
    <n v="358116"/>
    <n v="721"/>
    <n v="1507783"/>
    <n v="0"/>
    <n v="34679.18"/>
    <n v="19"/>
    <n v="7"/>
    <n v="760399"/>
    <n v="928774"/>
    <x v="2"/>
    <s v="7a0a192b-0424-44e3-bc72-d29cda2084b6"/>
    <s v="путешествие"/>
    <s v="в ипотеке"/>
    <s v="долгосрочный"/>
    <x v="0"/>
    <b v="0"/>
    <n v="0.43829567610964559"/>
    <n v="0.81818181818181823"/>
    <n v="0.27600136093854355"/>
  </r>
  <r>
    <n v="535"/>
    <n v="1"/>
    <n v="224598"/>
    <n v="723"/>
    <n v="1168044"/>
    <n v="7"/>
    <n v="16325.94"/>
    <n v="30.5"/>
    <n v="22"/>
    <n v="107616"/>
    <n v="2009788"/>
    <x v="3"/>
    <s v="45dcf323-b32c-4162-85c3-acaa3f2319c4"/>
    <s v="иное"/>
    <s v="в ипотеке"/>
    <s v="краткосрочный"/>
    <x v="0"/>
    <b v="0"/>
    <n v="0.26427916045418054"/>
    <n v="0.83030303030303032"/>
    <n v="0.16772594183095843"/>
  </r>
  <r>
    <n v="536"/>
    <n v="0"/>
    <n v="108130"/>
    <n v="730"/>
    <n v="672372"/>
    <n v="53"/>
    <n v="7883.48"/>
    <n v="13.4"/>
    <n v="6"/>
    <n v="216068"/>
    <n v="674366"/>
    <x v="5"/>
    <s v="c3c81bcd-a37d-4b94-850b-ea17e0fc173b"/>
    <s v="крупная покупка"/>
    <s v="в аренде"/>
    <s v="долгосрочный"/>
    <x v="1"/>
    <b v="0"/>
    <n v="0.11248422984287189"/>
    <n v="0.87272727272727268"/>
    <n v="0.1406985418786029"/>
  </r>
  <r>
    <n v="537"/>
    <n v="0"/>
    <n v="526460"/>
    <n v="688"/>
    <n v="1041979"/>
    <n v="0"/>
    <n v="28306.959999999999"/>
    <n v="30.8"/>
    <n v="20"/>
    <n v="157434"/>
    <n v="197494"/>
    <x v="2"/>
    <s v="01c3faa5-4779-415f-99a1-2fc4e18b1ef0"/>
    <s v="консолидация кредитов"/>
    <s v="в ипотеке"/>
    <s v="долгосрочный"/>
    <x v="1"/>
    <b v="0"/>
    <n v="0.65770157128111018"/>
    <n v="0.61818181818181817"/>
    <n v="0.32599843183020005"/>
  </r>
  <r>
    <n v="538"/>
    <n v="0"/>
    <n v="608014"/>
    <n v="709"/>
    <n v="1067686"/>
    <n v="13"/>
    <n v="16460.080000000002"/>
    <n v="18.100000000000001"/>
    <n v="7"/>
    <n v="88084"/>
    <n v="352946"/>
    <x v="10"/>
    <s v="8b7a6700-768d-46a2-929e-3b0053404c36"/>
    <s v="бизнес"/>
    <s v="в ипотеке"/>
    <s v="краткосрочный"/>
    <x v="0"/>
    <b v="0"/>
    <n v="0.76399243032457853"/>
    <n v="0.74545454545454548"/>
    <n v="0.18499911022529097"/>
  </r>
  <r>
    <n v="539"/>
    <n v="0"/>
    <n v="435864"/>
    <n v="723"/>
    <n v="1168044"/>
    <n v="34"/>
    <n v="15429.9"/>
    <n v="17.3"/>
    <n v="19"/>
    <n v="338485"/>
    <n v="928730"/>
    <x v="7"/>
    <s v="3ca9889c-d8c7-4e4d-a0d0-943eddeca023"/>
    <s v="консолидация кредитов"/>
    <s v="в аренде"/>
    <s v="долгосрочный"/>
    <x v="1"/>
    <b v="0"/>
    <n v="0.53962610391099897"/>
    <n v="0.83030303030303032"/>
    <n v="0.15852039820417724"/>
  </r>
  <r>
    <n v="540"/>
    <n v="0"/>
    <n v="436524"/>
    <n v="723"/>
    <n v="1168044"/>
    <n v="7"/>
    <n v="11100.18"/>
    <n v="20"/>
    <n v="17"/>
    <n v="364192"/>
    <n v="2652232"/>
    <x v="1"/>
    <s v="3219b489-52ab-4f25-81e7-cbd0fb6b1191"/>
    <s v="консолидация кредитов"/>
    <s v="в ипотеке"/>
    <s v="долгосрочный"/>
    <x v="0"/>
    <b v="0"/>
    <n v="0.54048629429980499"/>
    <n v="0.83030303030303032"/>
    <n v="0.11403864922896741"/>
  </r>
  <r>
    <n v="541"/>
    <n v="0"/>
    <n v="288354"/>
    <n v="618"/>
    <n v="2298696"/>
    <n v="0"/>
    <n v="33331.129999999997"/>
    <n v="15.5"/>
    <n v="18"/>
    <n v="657913"/>
    <n v="1429230"/>
    <x v="1"/>
    <s v="88e65c1a-6017-4b90-b665-cab74ecc5111"/>
    <s v="иное"/>
    <s v="в ипотеке"/>
    <s v="долгосрочный"/>
    <x v="1"/>
    <b v="0"/>
    <n v="0.34737355201284553"/>
    <n v="0.19393939393939394"/>
    <n v="0.1740001983733386"/>
  </r>
  <r>
    <n v="542"/>
    <n v="1"/>
    <n v="132462"/>
    <n v="691"/>
    <n v="781736"/>
    <n v="0"/>
    <n v="4156.0600000000004"/>
    <n v="15.6"/>
    <n v="4"/>
    <n v="82517"/>
    <n v="203302"/>
    <x v="1"/>
    <s v="3c8fc36b-be7a-4ba3-87ed-41bb85d9c82e"/>
    <s v="консолидация кредитов"/>
    <s v="в ипотеке"/>
    <s v="краткосрочный"/>
    <x v="0"/>
    <b v="0"/>
    <n v="0.14419658217685513"/>
    <n v="0.63636363636363635"/>
    <n v="6.3797394516818984E-2"/>
  </r>
  <r>
    <n v="543"/>
    <n v="0"/>
    <m/>
    <n v="747"/>
    <n v="805030"/>
    <n v="53"/>
    <n v="7781.83"/>
    <n v="18.2"/>
    <n v="19"/>
    <n v="152969"/>
    <n v="487938"/>
    <x v="5"/>
    <s v="b5a178d9-ec6d-4135-9350-55627eabd014"/>
    <s v="консолидация кредитов"/>
    <s v="в аренде"/>
    <s v="краткосрочный"/>
    <x v="0"/>
    <b v="0"/>
    <m/>
    <n v="0.97575757575757571"/>
    <n v="0.11599811187160727"/>
  </r>
  <r>
    <n v="544"/>
    <n v="1"/>
    <m/>
    <n v="716"/>
    <n v="2197901"/>
    <n v="0"/>
    <n v="21429.53"/>
    <n v="27.7"/>
    <n v="8"/>
    <n v="40945"/>
    <n v="49390"/>
    <x v="3"/>
    <s v="f39d6f83-07b3-4776-a3b4-5a4534f41ae9"/>
    <s v="ремонт жилья"/>
    <s v="в ипотеке"/>
    <s v="краткосрочный"/>
    <x v="0"/>
    <b v="0"/>
    <m/>
    <n v="0.78787878787878785"/>
    <n v="0.11699997406616586"/>
  </r>
  <r>
    <n v="545"/>
    <n v="0"/>
    <n v="306482"/>
    <n v="740"/>
    <n v="1134414"/>
    <n v="41"/>
    <n v="22688.28"/>
    <n v="19.600000000000001"/>
    <n v="12"/>
    <n v="194389"/>
    <n v="389400"/>
    <x v="1"/>
    <s v="fd1688de-094b-43e1-a37c-94c0f457636d"/>
    <s v="консолидация кредитов"/>
    <s v="в аренде"/>
    <s v="краткосрочный"/>
    <x v="0"/>
    <b v="0"/>
    <n v="0.37100011469205185"/>
    <n v="0.93333333333333335"/>
    <n v="0.24"/>
  </r>
  <r>
    <n v="546"/>
    <n v="0"/>
    <n v="246620"/>
    <n v="723"/>
    <n v="1168044"/>
    <n v="0"/>
    <n v="12994.86"/>
    <n v="32.200000000000003"/>
    <n v="9"/>
    <n v="202559"/>
    <n v="264110"/>
    <x v="1"/>
    <s v="91378b9c-ca3a-4c12-a0dc-1394d30be104"/>
    <s v="консолидация кредитов"/>
    <s v="в аренде"/>
    <s v="долгосрочный"/>
    <x v="0"/>
    <b v="0"/>
    <n v="0.29298084642734257"/>
    <n v="0.83030303030303032"/>
    <n v="0.1335038063634589"/>
  </r>
  <r>
    <n v="547"/>
    <n v="0"/>
    <n v="327866"/>
    <n v="726"/>
    <n v="1359108"/>
    <n v="70"/>
    <n v="5742.18"/>
    <n v="16.2"/>
    <n v="11"/>
    <n v="164958"/>
    <n v="427306"/>
    <x v="0"/>
    <s v="5c206a5b-58d6-45b2-b04c-afc78fd2e626"/>
    <s v="консолидация кредитов"/>
    <s v="в собственности"/>
    <s v="краткосрочный"/>
    <x v="0"/>
    <b v="0"/>
    <n v="0.39887028328936802"/>
    <n v="0.84848484848484851"/>
    <n v="5.069954705586311E-2"/>
  </r>
  <r>
    <n v="548"/>
    <n v="0"/>
    <m/>
    <n v="739"/>
    <n v="1029439"/>
    <n v="20"/>
    <n v="12696.18"/>
    <n v="14.5"/>
    <n v="13"/>
    <n v="76760"/>
    <n v="305426"/>
    <x v="1"/>
    <s v="3b4bdfd5-04df-44b5-b4bc-a18f23d9f543"/>
    <s v="консолидация кредитов"/>
    <s v="в аренде"/>
    <s v="краткосрочный"/>
    <x v="0"/>
    <b v="0"/>
    <m/>
    <n v="0.92727272727272725"/>
    <n v="0.14799726841512709"/>
  </r>
  <r>
    <n v="549"/>
    <n v="0"/>
    <m/>
    <n v="719"/>
    <n v="1090543"/>
    <n v="0"/>
    <n v="26718.18"/>
    <n v="20.9"/>
    <n v="15"/>
    <n v="264461"/>
    <n v="407176"/>
    <x v="1"/>
    <s v="982182e0-0b3e-4129-ad3c-6fc16f4783aa"/>
    <s v="консолидация кредитов"/>
    <s v="в аренде"/>
    <s v="долгосрочный"/>
    <x v="0"/>
    <b v="0"/>
    <m/>
    <n v="0.80606060606060603"/>
    <n v="0.29399864104395701"/>
  </r>
  <r>
    <n v="550"/>
    <n v="0"/>
    <n v="110044"/>
    <n v="729"/>
    <n v="1478637"/>
    <n v="0"/>
    <n v="27601.49"/>
    <n v="17"/>
    <n v="16"/>
    <n v="364933"/>
    <n v="523600"/>
    <x v="3"/>
    <s v="a19d9e8c-59ba-4947-b93c-d8a2fd69aa6e"/>
    <s v="консолидация кредитов"/>
    <s v="в аренде"/>
    <s v="краткосрочный"/>
    <x v="0"/>
    <b v="0"/>
    <n v="0.11497878197040945"/>
    <n v="0.8666666666666667"/>
    <n v="0.22400215874484408"/>
  </r>
  <r>
    <n v="551"/>
    <n v="1"/>
    <m/>
    <n v="748"/>
    <n v="758556"/>
    <n v="0"/>
    <n v="9165.7900000000009"/>
    <n v="15.3"/>
    <n v="7"/>
    <n v="154299"/>
    <n v="271920"/>
    <x v="3"/>
    <s v="81b04d9b-7d6e-40ec-b92a-263e41bd8239"/>
    <s v="консолидация кредитов"/>
    <s v="в ипотеке"/>
    <s v="краткосрочный"/>
    <x v="0"/>
    <b v="0"/>
    <m/>
    <n v="0.98181818181818181"/>
    <n v="0.14499849714457472"/>
  </r>
  <r>
    <n v="552"/>
    <n v="0"/>
    <n v="131560"/>
    <n v="740"/>
    <n v="1488479"/>
    <n v="0"/>
    <n v="36467.65"/>
    <n v="21.9"/>
    <n v="25"/>
    <n v="295317"/>
    <n v="697818"/>
    <x v="6"/>
    <s v="a02041a6-5e86-419c-b310-81dbc197a429"/>
    <s v="приобретение автомобиля"/>
    <s v="в собственности"/>
    <s v="краткосрочный"/>
    <x v="0"/>
    <b v="0"/>
    <n v="0.14302098864548687"/>
    <n v="0.93333333333333335"/>
    <n v="0.29399931070576069"/>
  </r>
  <r>
    <n v="553"/>
    <n v="0"/>
    <n v="757768"/>
    <n v="739"/>
    <n v="4674475"/>
    <n v="3"/>
    <n v="71285.72"/>
    <n v="16"/>
    <n v="12"/>
    <n v="475133"/>
    <n v="883058"/>
    <x v="7"/>
    <s v="05be333d-e498-4135-86bd-71f66f22046e"/>
    <s v="консолидация кредитов"/>
    <s v="в аренде"/>
    <s v="долгосрочный"/>
    <x v="0"/>
    <b v="1"/>
    <n v="0.95916962954467255"/>
    <n v="0.92727272727272725"/>
    <n v="0.18299993903058634"/>
  </r>
  <r>
    <n v="554"/>
    <n v="0"/>
    <n v="109714"/>
    <n v="744"/>
    <n v="1629744"/>
    <n v="0"/>
    <n v="4875.59"/>
    <n v="14.5"/>
    <n v="6"/>
    <n v="188423"/>
    <n v="571142"/>
    <x v="6"/>
    <s v="e2ff8f23-4dfe-4e67-91d6-0576fdf3d3fe"/>
    <s v="консолидация кредитов"/>
    <s v="в собственности"/>
    <s v="краткосрочный"/>
    <x v="0"/>
    <b v="0"/>
    <n v="0.11454868677600642"/>
    <n v="0.95757575757575752"/>
    <n v="3.5899552322327923E-2"/>
  </r>
  <r>
    <n v="555"/>
    <n v="0"/>
    <n v="111980"/>
    <n v="722"/>
    <n v="1160520"/>
    <n v="0"/>
    <n v="28916.29"/>
    <n v="22.5"/>
    <n v="9"/>
    <n v="320131"/>
    <n v="685168"/>
    <x v="1"/>
    <s v="bcfc5daa-1875-4b43-9959-326bf1f020f1"/>
    <s v="иное"/>
    <s v="в ипотеке"/>
    <s v="краткосрочный"/>
    <x v="0"/>
    <b v="0"/>
    <n v="0.11750200711090722"/>
    <n v="0.82424242424242422"/>
    <n v="0.29899999999999999"/>
  </r>
  <r>
    <n v="556"/>
    <n v="0"/>
    <n v="248402"/>
    <n v="723"/>
    <n v="1168044"/>
    <n v="0"/>
    <n v="7943.52"/>
    <n v="9.5"/>
    <n v="11"/>
    <n v="261991"/>
    <n v="369512"/>
    <x v="2"/>
    <s v="42853f5a-caf5-4ddf-aac7-756d76c3455c"/>
    <s v="консолидация кредитов"/>
    <s v="в ипотеке"/>
    <s v="краткосрочный"/>
    <x v="1"/>
    <b v="0"/>
    <n v="0.29530336047711891"/>
    <n v="0.83030303030303032"/>
    <n v="8.1608432559047442E-2"/>
  </r>
  <r>
    <n v="557"/>
    <n v="0"/>
    <n v="774246"/>
    <n v="736"/>
    <n v="2838543"/>
    <n v="0"/>
    <n v="40685.839999999997"/>
    <n v="20.100000000000001"/>
    <n v="15"/>
    <n v="752590"/>
    <n v="1158784"/>
    <x v="8"/>
    <s v="f28fdba7-d8f7-4dfa-ad9b-d0dc72626e0d"/>
    <s v="консолидация кредитов"/>
    <s v="в ипотеке"/>
    <s v="краткосрочный"/>
    <x v="0"/>
    <b v="0"/>
    <n v="0.9806457162518637"/>
    <n v="0.90909090909090906"/>
    <n v="0.17200024096869412"/>
  </r>
  <r>
    <n v="558"/>
    <n v="0"/>
    <n v="130152"/>
    <n v="723"/>
    <n v="1168044"/>
    <n v="0"/>
    <n v="9727.6200000000008"/>
    <n v="21.3"/>
    <n v="6"/>
    <n v="109972"/>
    <n v="436084"/>
    <x v="6"/>
    <s v="95b045a4-d135-42c7-b8f5-c5e681fedfdd"/>
    <s v="ремонт жилья"/>
    <s v="в ипотеке"/>
    <s v="краткосрочный"/>
    <x v="0"/>
    <b v="0"/>
    <n v="0.14118591581603396"/>
    <n v="0.83030303030303032"/>
    <n v="9.9937536599648658E-2"/>
  </r>
  <r>
    <n v="559"/>
    <n v="0"/>
    <n v="337436"/>
    <n v="730"/>
    <n v="687971"/>
    <n v="14"/>
    <n v="12326.06"/>
    <n v="17.899999999999999"/>
    <n v="13"/>
    <n v="385890"/>
    <n v="1008612"/>
    <x v="1"/>
    <s v="5956b460-87f2-466a-8d49-338fdd1c313a"/>
    <s v="консолидация кредитов"/>
    <s v="в собственности"/>
    <s v="краткосрочный"/>
    <x v="1"/>
    <b v="0"/>
    <n v="0.41134304392705584"/>
    <n v="0.87272727272727268"/>
    <n v="0.21499848104062527"/>
  </r>
  <r>
    <n v="560"/>
    <n v="0"/>
    <n v="351714"/>
    <n v="740"/>
    <n v="837235"/>
    <n v="0"/>
    <n v="6551.2"/>
    <n v="9.5"/>
    <n v="6"/>
    <n v="204858"/>
    <n v="422092"/>
    <x v="0"/>
    <s v="86eb3c64-6f2e-4d6d-a60b-38b395d17aaa"/>
    <s v="консолидация кредитов"/>
    <s v="в ипотеке"/>
    <s v="краткосрочный"/>
    <x v="0"/>
    <b v="0"/>
    <n v="0.42995182933822684"/>
    <n v="0.93333333333333335"/>
    <n v="9.38976511970952E-2"/>
  </r>
  <r>
    <n v="561"/>
    <n v="0"/>
    <n v="110462"/>
    <n v="738"/>
    <n v="1526384"/>
    <n v="69"/>
    <n v="5075.28"/>
    <n v="23.4"/>
    <n v="6"/>
    <n v="175864"/>
    <n v="245344"/>
    <x v="3"/>
    <s v="09ee63a5-6cb1-4932-af98-24c383ed9ce5"/>
    <s v="консолидация кредитов"/>
    <s v="в аренде"/>
    <s v="краткосрочный"/>
    <x v="0"/>
    <b v="0"/>
    <n v="0.11552356921665329"/>
    <n v="0.92121212121212126"/>
    <n v="3.9900418243377811E-2"/>
  </r>
  <r>
    <n v="562"/>
    <n v="0"/>
    <n v="266926"/>
    <n v="749"/>
    <n v="922127"/>
    <n v="70"/>
    <n v="10066.58"/>
    <n v="38.299999999999997"/>
    <n v="17"/>
    <n v="234346"/>
    <n v="673332"/>
    <x v="10"/>
    <s v="005c1c39-6a07-45e1-8765-4371ab87ebed"/>
    <s v="консолидация кредитов"/>
    <s v="в ипотеке"/>
    <s v="краткосрочный"/>
    <x v="0"/>
    <b v="0"/>
    <n v="0.31944603738960892"/>
    <n v="0.98787878787878791"/>
    <n v="0.13100035027713103"/>
  </r>
  <r>
    <n v="563"/>
    <n v="0"/>
    <n v="48884"/>
    <n v="723"/>
    <n v="1168044"/>
    <n v="24"/>
    <n v="7996.72"/>
    <n v="13.8"/>
    <n v="11"/>
    <n v="157472"/>
    <n v="224554"/>
    <x v="7"/>
    <s v="9163d180-dd9a-4000-898b-8048b51b9888"/>
    <s v="иное"/>
    <s v="в аренде"/>
    <s v="краткосрочный"/>
    <x v="1"/>
    <b v="0"/>
    <n v="3.5267805941048287E-2"/>
    <n v="0.83030303030303032"/>
    <n v="8.2154987312121799E-2"/>
  </r>
  <r>
    <n v="564"/>
    <n v="0"/>
    <n v="560956"/>
    <n v="664"/>
    <n v="1637059"/>
    <n v="8"/>
    <n v="44746.33"/>
    <n v="17.600000000000001"/>
    <n v="13"/>
    <n v="380779"/>
    <n v="567446"/>
    <x v="3"/>
    <s v="3b667742-8ffe-490d-98c8-36a4a320be23"/>
    <s v="консолидация кредитов"/>
    <s v="в аренде"/>
    <s v="краткосрочный"/>
    <x v="1"/>
    <b v="1"/>
    <n v="0.70266085560270675"/>
    <n v="0.47272727272727272"/>
    <n v="0.32800037139773214"/>
  </r>
  <r>
    <n v="565"/>
    <n v="0"/>
    <m/>
    <n v="700"/>
    <n v="1489771"/>
    <n v="1"/>
    <n v="23141.24"/>
    <n v="14"/>
    <n v="11"/>
    <n v="65626"/>
    <n v="926706"/>
    <x v="10"/>
    <s v="70753e1d-62a0-4b15-af37-0b714db50afe"/>
    <s v="консолидация кредитов"/>
    <s v="в ипотеке"/>
    <s v="краткосрочный"/>
    <x v="0"/>
    <b v="0"/>
    <m/>
    <n v="0.69090909090909092"/>
    <n v="0.18640105089976919"/>
  </r>
  <r>
    <n v="566"/>
    <n v="0"/>
    <n v="337150"/>
    <n v="721"/>
    <n v="1119936"/>
    <n v="15"/>
    <n v="15959.05"/>
    <n v="12.5"/>
    <n v="9"/>
    <n v="166573"/>
    <n v="484594"/>
    <x v="10"/>
    <s v="7c56471d-9264-446c-aea9-bcc97aef3912"/>
    <s v="консолидация кредитов"/>
    <s v="в аренде"/>
    <s v="долгосрочный"/>
    <x v="0"/>
    <b v="0"/>
    <n v="0.41097029475857322"/>
    <n v="0.81818181818181823"/>
    <n v="0.17099959283387622"/>
  </r>
  <r>
    <n v="567"/>
    <n v="0"/>
    <n v="225082"/>
    <n v="723"/>
    <n v="1168044"/>
    <n v="25"/>
    <n v="26566.560000000001"/>
    <n v="32.4"/>
    <n v="18"/>
    <n v="130568"/>
    <n v="1511884"/>
    <x v="0"/>
    <s v="06bf7420-6e3a-46c5-ae3d-0886083db6e6"/>
    <s v="консолидация кредитов"/>
    <s v="в собственности"/>
    <s v="краткосрочный"/>
    <x v="1"/>
    <b v="0"/>
    <n v="0.26490996673930495"/>
    <n v="0.83030303030303032"/>
    <n v="0.27293382783525277"/>
  </r>
  <r>
    <n v="568"/>
    <n v="0"/>
    <n v="447172"/>
    <n v="723"/>
    <n v="1168044"/>
    <n v="0"/>
    <n v="21546.38"/>
    <n v="16.5"/>
    <n v="12"/>
    <n v="673512"/>
    <n v="1830642"/>
    <x v="0"/>
    <s v="e222d43d-f599-4d55-a2b4-b2cd9fd30e69"/>
    <s v="консолидация кредитов"/>
    <s v="в собственности"/>
    <s v="краткосрочный"/>
    <x v="0"/>
    <b v="0"/>
    <n v="0.55436403257254274"/>
    <n v="0.83030303030303032"/>
    <n v="0.22135857895764202"/>
  </r>
  <r>
    <n v="569"/>
    <n v="0"/>
    <n v="156090"/>
    <n v="706"/>
    <n v="1872260"/>
    <n v="12"/>
    <n v="25275.51"/>
    <n v="18.5"/>
    <n v="8"/>
    <n v="541386"/>
    <n v="698060"/>
    <x v="1"/>
    <s v="1fc91e0a-c35a-4042-b5fb-b7e89f60146d"/>
    <s v="консолидация кредитов"/>
    <s v="в аренде"/>
    <s v="краткосрочный"/>
    <x v="0"/>
    <b v="0"/>
    <n v="0.17499139809611194"/>
    <n v="0.72727272727272729"/>
    <n v="0.16200000000000001"/>
  </r>
  <r>
    <n v="570"/>
    <n v="0"/>
    <n v="172040"/>
    <n v="748"/>
    <n v="670985"/>
    <n v="0"/>
    <n v="10847.48"/>
    <n v="14.7"/>
    <n v="6"/>
    <n v="12901"/>
    <n v="164186"/>
    <x v="1"/>
    <s v="7fcad6e2-0549-426b-be7c-ffe7f31bdbc1"/>
    <s v="приобретение жилья"/>
    <s v="в ипотеке"/>
    <s v="краткосрочный"/>
    <x v="0"/>
    <b v="0"/>
    <n v="0.19577933249225829"/>
    <n v="0.98181818181818181"/>
    <n v="0.19399801783944501"/>
  </r>
  <r>
    <n v="571"/>
    <n v="0"/>
    <n v="150788"/>
    <n v="739"/>
    <n v="2009326"/>
    <n v="0"/>
    <n v="11787.98"/>
    <n v="31"/>
    <n v="4"/>
    <n v="51338"/>
    <n v="540320"/>
    <x v="9"/>
    <s v="2ef213c3-9919-4851-be10-8ccacecb9a4f"/>
    <s v="приобретение жилья"/>
    <s v="в аренде"/>
    <s v="краткосрочный"/>
    <x v="0"/>
    <b v="0"/>
    <n v="0.16808120197270329"/>
    <n v="0.92727272727272725"/>
    <n v="7.0399606634264422E-2"/>
  </r>
  <r>
    <n v="572"/>
    <n v="0"/>
    <n v="225192"/>
    <n v="723"/>
    <n v="1168044"/>
    <n v="0"/>
    <n v="24796.71"/>
    <n v="19.7"/>
    <n v="8"/>
    <n v="113487"/>
    <n v="238898"/>
    <x v="5"/>
    <s v="a8b43ee6-0155-4e11-9a00-f19f832930ba"/>
    <s v="бизнес"/>
    <s v="в аренде"/>
    <s v="краткосрочный"/>
    <x v="1"/>
    <b v="0"/>
    <n v="0.26505333180410595"/>
    <n v="0.83030303030303032"/>
    <n v="0.25475112238922504"/>
  </r>
  <r>
    <n v="573"/>
    <n v="0"/>
    <n v="214698"/>
    <n v="723"/>
    <n v="1168044"/>
    <n v="0"/>
    <n v="10241.19"/>
    <n v="29.9"/>
    <n v="9"/>
    <n v="297540"/>
    <n v="648824"/>
    <x v="6"/>
    <s v="a1c84742-4e01-4a1a-ada3-029775d773a7"/>
    <s v="консолидация кредитов"/>
    <s v="в собственности"/>
    <s v="краткосрочный"/>
    <x v="1"/>
    <b v="0"/>
    <n v="0.25137630462208971"/>
    <n v="0.83030303030303032"/>
    <n v="0.10521374194807731"/>
  </r>
  <r>
    <n v="574"/>
    <n v="0"/>
    <n v="263318"/>
    <n v="738"/>
    <n v="707085"/>
    <n v="18"/>
    <n v="12962.94"/>
    <n v="14.8"/>
    <n v="10"/>
    <n v="232940"/>
    <n v="451770"/>
    <x v="9"/>
    <s v="acce851e-641d-4ebb-affc-45346df60602"/>
    <s v="консолидация кредитов"/>
    <s v="в аренде"/>
    <s v="краткосрочный"/>
    <x v="0"/>
    <b v="0"/>
    <n v="0.31474366326413578"/>
    <n v="0.92121212121212126"/>
    <n v="0.21999516324062879"/>
  </r>
  <r>
    <n v="575"/>
    <n v="1"/>
    <n v="177584"/>
    <n v="723"/>
    <n v="1168044"/>
    <n v="0"/>
    <n v="19631.18"/>
    <n v="14.5"/>
    <n v="12"/>
    <n v="270104"/>
    <n v="415316"/>
    <x v="2"/>
    <s v="7b0966e6-231c-4443-a446-cd378b51ddd6"/>
    <s v="консолидация кредитов"/>
    <s v="в ипотеке"/>
    <s v="краткосрочный"/>
    <x v="0"/>
    <b v="0"/>
    <n v="0.20300493175822915"/>
    <n v="0.83030303030303032"/>
    <n v="0.20168260784696468"/>
  </r>
  <r>
    <n v="576"/>
    <n v="1"/>
    <n v="552750"/>
    <n v="723"/>
    <n v="954750"/>
    <n v="0"/>
    <n v="3389.41"/>
    <n v="29.2"/>
    <n v="12"/>
    <n v="169404"/>
    <n v="797390"/>
    <x v="1"/>
    <s v="c0342d1a-fe13-4ccd-85ef-47eecf2d352a"/>
    <s v="консолидация кредитов"/>
    <s v="в ипотеке"/>
    <s v="долгосрочный"/>
    <x v="0"/>
    <b v="0"/>
    <n v="0.69196582176855148"/>
    <n v="0.83030303030303032"/>
    <n v="4.260059701492537E-2"/>
  </r>
  <r>
    <n v="577"/>
    <n v="0"/>
    <m/>
    <n v="727"/>
    <n v="1857060"/>
    <n v="0"/>
    <n v="33427.08"/>
    <n v="15.3"/>
    <n v="13"/>
    <n v="443954"/>
    <n v="580844"/>
    <x v="1"/>
    <s v="97ecbf72-0752-41c3-8b1e-c1502f1df5d4"/>
    <s v="консолидация кредитов"/>
    <s v="в ипотеке"/>
    <s v="долгосрочный"/>
    <x v="0"/>
    <b v="0"/>
    <m/>
    <n v="0.8545454545454545"/>
    <n v="0.216"/>
  </r>
  <r>
    <n v="578"/>
    <n v="0"/>
    <n v="762454"/>
    <n v="695"/>
    <n v="1467484"/>
    <n v="54"/>
    <n v="10199.01"/>
    <n v="17.399999999999999"/>
    <n v="6"/>
    <n v="129884"/>
    <n v="674454"/>
    <x v="1"/>
    <s v="525a4cbf-87dc-4623-ae8e-1641af410590"/>
    <s v="ремонт жилья"/>
    <s v="в ипотеке"/>
    <s v="краткосрочный"/>
    <x v="0"/>
    <b v="0"/>
    <n v="0.96527698130519557"/>
    <n v="0.66060606060606064"/>
    <n v="8.3399968926407386E-2"/>
  </r>
  <r>
    <n v="579"/>
    <n v="0"/>
    <n v="304062"/>
    <n v="636"/>
    <n v="2344600"/>
    <n v="21"/>
    <n v="9163.51"/>
    <n v="14.8"/>
    <n v="15"/>
    <n v="440838"/>
    <n v="743006"/>
    <x v="4"/>
    <s v="3878d3e2-a8d8-400d-8ae2-5b460d609913"/>
    <s v="консолидация кредитов"/>
    <s v="в аренде"/>
    <s v="долгосрочный"/>
    <x v="0"/>
    <b v="0"/>
    <n v="0.36784608326642965"/>
    <n v="0.30303030303030304"/>
    <n v="4.6900162074554295E-2"/>
  </r>
  <r>
    <n v="580"/>
    <n v="0"/>
    <n v="230362"/>
    <n v="731"/>
    <n v="1013479"/>
    <n v="0"/>
    <n v="24306.7"/>
    <n v="22"/>
    <n v="16"/>
    <n v="542735"/>
    <n v="1114234"/>
    <x v="1"/>
    <s v="adb067a4-39d8-418c-a672-837f84201faa"/>
    <s v="консолидация кредитов"/>
    <s v="в ипотеке"/>
    <s v="долгосрочный"/>
    <x v="0"/>
    <b v="0"/>
    <n v="0.27179148984975343"/>
    <n v="0.87878787878787878"/>
    <n v="0.28780112858776552"/>
  </r>
  <r>
    <n v="581"/>
    <n v="0"/>
    <n v="280588"/>
    <n v="723"/>
    <n v="1168044"/>
    <n v="0"/>
    <n v="17005.189999999999"/>
    <n v="15"/>
    <n v="11"/>
    <n v="111226"/>
    <n v="163856"/>
    <x v="1"/>
    <s v="d2ce0e2b-43ae-42af-8967-2351a4d06af2"/>
    <s v="консолидация кредитов"/>
    <s v="в аренде"/>
    <s v="краткосрочный"/>
    <x v="1"/>
    <b v="0"/>
    <n v="0.33725197843789423"/>
    <n v="0.83030303030303032"/>
    <n v="0.17470427483896153"/>
  </r>
  <r>
    <n v="582"/>
    <n v="0"/>
    <n v="87428"/>
    <n v="743"/>
    <n v="692474"/>
    <n v="0"/>
    <n v="7444.2"/>
    <n v="10.7"/>
    <n v="15"/>
    <n v="106799"/>
    <n v="464882"/>
    <x v="4"/>
    <s v="f1edd45a-607c-4712-b661-36435d7a753a"/>
    <s v="иное"/>
    <s v="в аренде"/>
    <s v="краткосрочный"/>
    <x v="0"/>
    <b v="0"/>
    <n v="8.550292464732194E-2"/>
    <n v="0.95151515151515154"/>
    <n v="0.12900181089831531"/>
  </r>
  <r>
    <n v="583"/>
    <n v="0"/>
    <n v="397430"/>
    <n v="723"/>
    <n v="1168044"/>
    <n v="0"/>
    <n v="17517.62"/>
    <n v="11.4"/>
    <n v="9"/>
    <n v="351177"/>
    <n v="1213828"/>
    <x v="6"/>
    <s v="fcb2fe66-fe21-4afc-8c91-d67273563d26"/>
    <s v="консолидация кредитов"/>
    <s v="в аренде"/>
    <s v="долгосрочный"/>
    <x v="0"/>
    <b v="0"/>
    <n v="0.4895343502695263"/>
    <n v="0.83030303030303032"/>
    <n v="0.17996876829982431"/>
  </r>
  <r>
    <n v="584"/>
    <n v="0"/>
    <n v="153868"/>
    <n v="741"/>
    <n v="2183043"/>
    <n v="38"/>
    <n v="49482.080000000002"/>
    <n v="24"/>
    <n v="15"/>
    <n v="688655"/>
    <n v="887986"/>
    <x v="7"/>
    <s v="3272e293-7cea-4e6d-9faf-be025b52f3a6"/>
    <s v="консолидация кредитов"/>
    <s v="в ипотеке"/>
    <s v="краткосрочный"/>
    <x v="0"/>
    <b v="1"/>
    <n v="0.17209542378713155"/>
    <n v="0.93939393939393945"/>
    <n v="0.27199874670356927"/>
  </r>
  <r>
    <n v="585"/>
    <n v="0"/>
    <m/>
    <n v="733"/>
    <n v="1381528"/>
    <n v="0"/>
    <n v="13009.49"/>
    <n v="18.399999999999999"/>
    <n v="8"/>
    <n v="411464"/>
    <n v="622776"/>
    <x v="1"/>
    <s v="f5bfeb48-47d2-49fc-b1b0-753356004cc5"/>
    <s v="консолидация кредитов"/>
    <s v="в ипотеке"/>
    <s v="краткосрочный"/>
    <x v="0"/>
    <b v="0"/>
    <m/>
    <n v="0.89090909090909087"/>
    <n v="0.11300088018483882"/>
  </r>
  <r>
    <n v="586"/>
    <n v="0"/>
    <n v="132704"/>
    <n v="746"/>
    <n v="1375391"/>
    <n v="53"/>
    <n v="12493.07"/>
    <n v="15.5"/>
    <n v="11"/>
    <n v="129808"/>
    <n v="356158"/>
    <x v="4"/>
    <s v="46da16d2-4b4f-4f73-b4ae-e6a778af2ef1"/>
    <s v="консолидация кредитов"/>
    <s v="в аренде"/>
    <s v="краткосрочный"/>
    <x v="0"/>
    <b v="0"/>
    <n v="0.14451198531941736"/>
    <n v="0.96969696969696972"/>
    <n v="0.10899943361560457"/>
  </r>
  <r>
    <n v="587"/>
    <n v="0"/>
    <n v="316998"/>
    <n v="702"/>
    <n v="836494"/>
    <n v="0"/>
    <n v="19936.7"/>
    <n v="25.6"/>
    <n v="17"/>
    <n v="293778"/>
    <n v="499532"/>
    <x v="1"/>
    <s v="6cdb1de1-e420-4734-84a1-e42f9a3af7da"/>
    <s v="консолидация кредитов"/>
    <s v="в аренде"/>
    <s v="долгосрочный"/>
    <x v="0"/>
    <b v="0"/>
    <n v="0.38470581488702832"/>
    <n v="0.70303030303030301"/>
    <n v="0.28600372507154864"/>
  </r>
  <r>
    <n v="588"/>
    <n v="1"/>
    <n v="387904"/>
    <n v="723"/>
    <n v="1168044"/>
    <n v="0"/>
    <n v="3782.52"/>
    <n v="22.1"/>
    <n v="13"/>
    <n v="72238"/>
    <n v="344256"/>
    <x v="2"/>
    <s v="6dc92657-2320-40cd-bbb0-515287fd4033"/>
    <s v="консолидация кредитов"/>
    <s v="в ипотеке"/>
    <s v="долгосрочный"/>
    <x v="0"/>
    <b v="0"/>
    <n v="0.47711893565775892"/>
    <n v="0.83030303030303032"/>
    <n v="3.886004294358774E-2"/>
  </r>
  <r>
    <n v="589"/>
    <n v="0"/>
    <n v="121440"/>
    <n v="731"/>
    <n v="749132"/>
    <n v="22"/>
    <n v="17479.62"/>
    <n v="18.600000000000001"/>
    <n v="15"/>
    <n v="95456"/>
    <n v="504702"/>
    <x v="9"/>
    <s v="55a84bbe-5ec0-47a3-9d29-b9c3b7708e68"/>
    <s v="консолидация кредитов"/>
    <s v="в аренде"/>
    <s v="краткосрочный"/>
    <x v="0"/>
    <b v="0"/>
    <n v="0.12983140268379401"/>
    <n v="0.87878787878787878"/>
    <n v="0.27999797098508672"/>
  </r>
  <r>
    <n v="590"/>
    <n v="2"/>
    <n v="178640"/>
    <n v="705"/>
    <n v="1292095"/>
    <n v="0"/>
    <n v="12274.95"/>
    <n v="20.100000000000001"/>
    <n v="4"/>
    <n v="140885"/>
    <n v="290246"/>
    <x v="1"/>
    <s v="12f7d0e9-66be-4a6a-9d1b-d1e3779da118"/>
    <s v="консолидация кредитов"/>
    <s v="в аренде"/>
    <s v="краткосрочный"/>
    <x v="0"/>
    <b v="0"/>
    <n v="0.20438123638031885"/>
    <n v="0.72121212121212119"/>
    <n v="0.11400044114403354"/>
  </r>
  <r>
    <n v="591"/>
    <n v="0"/>
    <n v="671836"/>
    <n v="707"/>
    <n v="1318695"/>
    <n v="31"/>
    <n v="18022.259999999998"/>
    <n v="21.1"/>
    <n v="9"/>
    <n v="146965"/>
    <n v="348700"/>
    <x v="4"/>
    <s v="9f70483e-90ec-4f3b-a90e-21ae4ef76eb9"/>
    <s v="консолидация кредитов"/>
    <s v="в ипотеке"/>
    <s v="краткосрочный"/>
    <x v="0"/>
    <b v="0"/>
    <n v="0.84717284092212408"/>
    <n v="0.73333333333333328"/>
    <n v="0.16400086449103088"/>
  </r>
  <r>
    <n v="592"/>
    <n v="0"/>
    <n v="588962"/>
    <n v="678"/>
    <n v="1412897"/>
    <n v="0"/>
    <n v="16719.240000000002"/>
    <n v="18.5"/>
    <n v="13"/>
    <n v="424498"/>
    <n v="785202"/>
    <x v="4"/>
    <s v="7a8fcb05-e8d3-449e-8379-a1c6d2500d48"/>
    <s v="консолидация кредитов"/>
    <s v="в ипотеке"/>
    <s v="долгосрочный"/>
    <x v="0"/>
    <b v="0"/>
    <n v="0.73916160110104367"/>
    <n v="0.55757575757575761"/>
    <n v="0.14199965036375617"/>
  </r>
  <r>
    <n v="593"/>
    <n v="0"/>
    <n v="175010"/>
    <n v="703"/>
    <n v="785973"/>
    <n v="0"/>
    <n v="9890.26"/>
    <n v="12.1"/>
    <n v="5"/>
    <n v="182115"/>
    <n v="234036"/>
    <x v="1"/>
    <s v="c0af1fb1-7c34-46ad-bc06-b742f44c7f2e"/>
    <s v="консолидация кредитов"/>
    <s v="в ипотеке"/>
    <s v="краткосрочный"/>
    <x v="0"/>
    <b v="0"/>
    <n v="0.19965018924188555"/>
    <n v="0.70909090909090911"/>
    <n v="0.15100152295307853"/>
  </r>
  <r>
    <n v="594"/>
    <n v="0"/>
    <n v="429440"/>
    <n v="674"/>
    <n v="1383599"/>
    <n v="49"/>
    <n v="11760.62"/>
    <n v="33.5"/>
    <n v="9"/>
    <n v="206853"/>
    <n v="318076"/>
    <x v="1"/>
    <s v="5bc78d33-49c5-4f9a-834b-e726309106b9"/>
    <s v="ремонт жилья"/>
    <s v="в ипотеке"/>
    <s v="долгосрочный"/>
    <x v="0"/>
    <b v="0"/>
    <n v="0.53125358412662005"/>
    <n v="0.53333333333333333"/>
    <n v="0.10200024718144492"/>
  </r>
  <r>
    <n v="595"/>
    <n v="0"/>
    <n v="777084"/>
    <n v="725"/>
    <n v="3355970"/>
    <n v="0"/>
    <n v="26623.94"/>
    <n v="26.7"/>
    <n v="13"/>
    <n v="3276284"/>
    <m/>
    <x v="6"/>
    <s v="4b0ad1aa-c7c6-40fb-ba30-4c19c5fd9508"/>
    <s v="ремонт жилья"/>
    <s v="в ипотеке"/>
    <s v="долгосрочный"/>
    <x v="0"/>
    <b v="0"/>
    <n v="0.98434453492372975"/>
    <n v="0.84242424242424241"/>
    <n v="9.5199682953065717E-2"/>
  </r>
  <r>
    <n v="596"/>
    <n v="0"/>
    <n v="109582"/>
    <n v="744"/>
    <n v="1514224"/>
    <n v="0"/>
    <n v="10637.34"/>
    <n v="10.1"/>
    <n v="7"/>
    <n v="23294"/>
    <n v="85382"/>
    <x v="6"/>
    <s v="a632ac98-65e0-4871-8dcb-c78deb9a1158"/>
    <s v="консолидация кредитов"/>
    <s v="в ипотеке"/>
    <s v="краткосрочный"/>
    <x v="0"/>
    <b v="0"/>
    <n v="0.11437664869824521"/>
    <n v="0.95757575757575752"/>
    <n v="8.4299337482433248E-2"/>
  </r>
  <r>
    <n v="597"/>
    <n v="0"/>
    <n v="483604"/>
    <n v="731"/>
    <n v="1213853"/>
    <n v="49"/>
    <n v="20938.759999999998"/>
    <n v="31.3"/>
    <n v="17"/>
    <n v="310802"/>
    <n v="624800"/>
    <x v="1"/>
    <s v="9ed1cd35-8374-43b8-a683-961004917032"/>
    <s v="консолидация кредитов"/>
    <s v="в ипотеке"/>
    <s v="долгосрочный"/>
    <x v="0"/>
    <b v="0"/>
    <n v="0.60184654203463694"/>
    <n v="0.87878787878787878"/>
    <n v="0.20699798080986739"/>
  </r>
  <r>
    <n v="598"/>
    <n v="0"/>
    <n v="341308"/>
    <n v="741"/>
    <n v="669503"/>
    <n v="0"/>
    <n v="9317.2199999999993"/>
    <n v="11.4"/>
    <n v="6"/>
    <n v="379601"/>
    <n v="646404"/>
    <x v="6"/>
    <s v="e821735e-ec9d-46d7-a8c6-4142629d7045"/>
    <s v="консолидация кредитов"/>
    <s v="в аренде"/>
    <s v="краткосрочный"/>
    <x v="1"/>
    <b v="0"/>
    <n v="0.41638949420805138"/>
    <n v="0.93939393939393945"/>
    <n v="0.1669994607940517"/>
  </r>
  <r>
    <n v="599"/>
    <n v="1"/>
    <n v="152416"/>
    <n v="747"/>
    <n v="637241"/>
    <n v="0"/>
    <n v="12521.76"/>
    <n v="19.8"/>
    <n v="9"/>
    <n v="120118"/>
    <n v="221122"/>
    <x v="3"/>
    <s v="7aa65e91-926c-4e4d-949c-0e63a72bb5bc"/>
    <s v="консолидация кредитов"/>
    <s v="в ипотеке"/>
    <s v="краткосрочный"/>
    <x v="0"/>
    <b v="0"/>
    <n v="0.17020300493175822"/>
    <n v="0.97575757575757571"/>
    <n v="0.23579951698023199"/>
  </r>
  <r>
    <n v="600"/>
    <n v="0"/>
    <n v="327426"/>
    <n v="713"/>
    <n v="3676101"/>
    <n v="49"/>
    <n v="38292.79"/>
    <n v="29.8"/>
    <n v="13"/>
    <n v="429115"/>
    <n v="661628"/>
    <x v="1"/>
    <s v="d7f9c457-1001-4f8b-bf74-24cdb67adefc"/>
    <s v="консолидация кредитов"/>
    <s v="в ипотеке"/>
    <s v="долгосрочный"/>
    <x v="0"/>
    <b v="0"/>
    <n v="0.398296823030164"/>
    <n v="0.76969696969696966"/>
    <n v="0.12500023258338114"/>
  </r>
  <r>
    <n v="601"/>
    <n v="0"/>
    <n v="78298"/>
    <n v="723"/>
    <n v="1168044"/>
    <n v="0"/>
    <n v="16590.23"/>
    <n v="9.4"/>
    <n v="8"/>
    <n v="237272"/>
    <n v="282656"/>
    <x v="9"/>
    <s v="e32dd752-4b67-4d08-8a23-3970d69c0266"/>
    <s v="консолидация кредитов"/>
    <s v="в аренде"/>
    <s v="краткосрочный"/>
    <x v="1"/>
    <b v="0"/>
    <n v="7.3603624268838166E-2"/>
    <n v="0.83030303030303032"/>
    <n v="0.17044114776498145"/>
  </r>
  <r>
    <n v="602"/>
    <n v="1"/>
    <n v="77000"/>
    <n v="711"/>
    <n v="674044"/>
    <n v="0"/>
    <n v="9942.32"/>
    <n v="20.2"/>
    <n v="5"/>
    <n v="70794"/>
    <n v="160710"/>
    <x v="9"/>
    <s v="d1d30005-1f5e-4aed-aa30-e56fd3d50f88"/>
    <s v="путешествие"/>
    <s v="в собственности"/>
    <s v="краткосрочный"/>
    <x v="0"/>
    <b v="0"/>
    <n v="7.1911916504186255E-2"/>
    <n v="0.75757575757575757"/>
    <n v="0.17700304431164729"/>
  </r>
  <r>
    <n v="603"/>
    <n v="0"/>
    <n v="535920"/>
    <n v="743"/>
    <n v="1253525"/>
    <n v="0"/>
    <n v="14310.99"/>
    <n v="27.5"/>
    <n v="16"/>
    <n v="478857"/>
    <n v="2291212"/>
    <x v="3"/>
    <s v="144df0a2-30a3-4224-8d51-4a04563e2bd0"/>
    <s v="консолидация кредитов"/>
    <s v="в аренде"/>
    <s v="долгосрочный"/>
    <x v="1"/>
    <b v="0"/>
    <n v="0.67003096685399699"/>
    <n v="0.95151515151515154"/>
    <n v="0.13699916635089049"/>
  </r>
  <r>
    <n v="604"/>
    <n v="2"/>
    <n v="266068"/>
    <n v="723"/>
    <n v="1168044"/>
    <n v="52"/>
    <n v="2970.46"/>
    <n v="20.7"/>
    <n v="13"/>
    <n v="97717"/>
    <n v="241758"/>
    <x v="2"/>
    <s v="4d35c0ce-d663-4b9f-a2ee-fe39e6006659"/>
    <s v="ремонт жилья"/>
    <s v="в ипотеке"/>
    <s v="краткосрочный"/>
    <x v="0"/>
    <b v="0"/>
    <n v="0.31832778988416105"/>
    <n v="0.83030303030303032"/>
    <n v="3.0517275034159672E-2"/>
  </r>
  <r>
    <n v="605"/>
    <n v="0"/>
    <n v="553916"/>
    <n v="594"/>
    <n v="2009174"/>
    <n v="0"/>
    <n v="29451.14"/>
    <n v="27.8"/>
    <n v="10"/>
    <n v="579443"/>
    <n v="680460"/>
    <x v="2"/>
    <s v="4b22d634-71bf-4e1e-8db9-27d9571a7e63"/>
    <s v="консолидация кредитов"/>
    <s v="в ипотеке"/>
    <s v="долгосрочный"/>
    <x v="0"/>
    <b v="0"/>
    <n v="0.69348549145544214"/>
    <n v="4.8484848484848485E-2"/>
    <n v="0.17589998676072854"/>
  </r>
  <r>
    <n v="606"/>
    <n v="0"/>
    <n v="349932"/>
    <n v="721"/>
    <n v="3602153"/>
    <n v="15"/>
    <n v="16029.54"/>
    <n v="20"/>
    <n v="17"/>
    <n v="68989"/>
    <n v="275462"/>
    <x v="1"/>
    <s v="15ada1d7-0ee1-462f-9623-2de3a0da2ea5"/>
    <s v="иное"/>
    <s v="в ипотеке"/>
    <s v="краткосрочный"/>
    <x v="0"/>
    <b v="0"/>
    <n v="0.4276293152884505"/>
    <n v="0.81818181818181823"/>
    <n v="5.3399863914719889E-2"/>
  </r>
  <r>
    <n v="607"/>
    <n v="0"/>
    <n v="134992"/>
    <n v="728"/>
    <n v="437209"/>
    <n v="0"/>
    <n v="9691.33"/>
    <n v="7.7"/>
    <n v="5"/>
    <n v="102315"/>
    <n v="180048"/>
    <x v="5"/>
    <s v="2f084f8f-afbd-44d2-939d-c914fbe9b62a"/>
    <s v="консолидация кредитов"/>
    <s v="в аренде"/>
    <s v="краткосрочный"/>
    <x v="1"/>
    <b v="0"/>
    <n v="0.14749397866727837"/>
    <n v="0.8606060606060606"/>
    <n v="0.26599626265699011"/>
  </r>
  <r>
    <n v="608"/>
    <n v="0"/>
    <n v="765226"/>
    <n v="726"/>
    <n v="2643508"/>
    <n v="0"/>
    <n v="34806.1"/>
    <n v="8.6"/>
    <n v="9"/>
    <n v="484937"/>
    <n v="754710"/>
    <x v="0"/>
    <s v="6491a9a1-488c-4d4b-8fd4-cd7362f5b318"/>
    <s v="консолидация кредитов"/>
    <s v="в ипотеке"/>
    <s v="краткосрочный"/>
    <x v="0"/>
    <b v="0"/>
    <n v="0.96888978093818101"/>
    <n v="0.84848484848484851"/>
    <n v="0.15799959750452805"/>
  </r>
  <r>
    <n v="609"/>
    <n v="0"/>
    <n v="122870"/>
    <n v="687"/>
    <n v="2548432"/>
    <n v="50"/>
    <n v="52667.62"/>
    <n v="13.5"/>
    <n v="17"/>
    <n v="363318"/>
    <n v="585926"/>
    <x v="6"/>
    <s v="dc327cb6-0187-492e-966d-6fc1882ba662"/>
    <s v="иное"/>
    <s v="в ипотеке"/>
    <s v="краткосрочный"/>
    <x v="0"/>
    <b v="1"/>
    <n v="0.13169514852620715"/>
    <n v="0.61212121212121207"/>
    <n v="0.24800011928903734"/>
  </r>
  <r>
    <n v="610"/>
    <n v="0"/>
    <n v="218702"/>
    <n v="717"/>
    <n v="576992"/>
    <n v="64"/>
    <n v="9087.51"/>
    <n v="16"/>
    <n v="11"/>
    <n v="251522"/>
    <n v="469722"/>
    <x v="4"/>
    <s v="b40f89f8-aa26-4fe6-bc2d-756562001ac2"/>
    <s v="консолидация кредитов"/>
    <s v="в аренде"/>
    <s v="долгосрочный"/>
    <x v="1"/>
    <b v="0"/>
    <n v="0.25659479298084642"/>
    <n v="0.79393939393939394"/>
    <n v="0.18899762908324552"/>
  </r>
  <r>
    <n v="611"/>
    <n v="1"/>
    <m/>
    <n v="734"/>
    <n v="2178787"/>
    <n v="38"/>
    <n v="41541.980000000003"/>
    <n v="25"/>
    <n v="9"/>
    <n v="311201"/>
    <n v="655160"/>
    <x v="1"/>
    <s v="98abffdc-c2d7-4416-8893-b081628d8767"/>
    <s v="консолидация кредитов"/>
    <s v="в ипотеке"/>
    <s v="краткосрочный"/>
    <x v="0"/>
    <b v="0"/>
    <m/>
    <n v="0.89696969696969697"/>
    <n v="0.22879875820812223"/>
  </r>
  <r>
    <n v="612"/>
    <n v="0"/>
    <n v="131538"/>
    <n v="723"/>
    <n v="1168044"/>
    <n v="0"/>
    <n v="15833.08"/>
    <n v="14.5"/>
    <n v="12"/>
    <n v="35549"/>
    <n v="46068"/>
    <x v="2"/>
    <s v="f81be240-d5ea-440b-a95f-199a845d66e8"/>
    <s v="консолидация кредитов"/>
    <s v="в собственности"/>
    <s v="краткосрочный"/>
    <x v="0"/>
    <b v="0"/>
    <n v="0.14299231563252668"/>
    <n v="0.83030303030303032"/>
    <n v="0.16266250243997657"/>
  </r>
  <r>
    <n v="613"/>
    <n v="0"/>
    <n v="655314"/>
    <n v="723"/>
    <n v="1168044"/>
    <n v="0"/>
    <n v="12937.86"/>
    <n v="22.1"/>
    <n v="9"/>
    <n v="219678"/>
    <n v="325270"/>
    <x v="1"/>
    <s v="d3a48c94-0848-4d92-a3f2-143d3ee25750"/>
    <s v="консолидация кредитов"/>
    <s v="в ипотеке"/>
    <s v="краткосрочный"/>
    <x v="1"/>
    <b v="0"/>
    <n v="0.82563940818901249"/>
    <n v="0.83030303030303032"/>
    <n v="0.13291821198516496"/>
  </r>
  <r>
    <n v="614"/>
    <n v="1"/>
    <n v="77814"/>
    <n v="748"/>
    <n v="529967"/>
    <n v="80"/>
    <n v="2534.98"/>
    <n v="18"/>
    <n v="4"/>
    <n v="14383"/>
    <n v="333058"/>
    <x v="5"/>
    <s v="7393cb63-a4db-42cb-931f-d909baef6381"/>
    <s v="консолидация кредитов"/>
    <s v="в ипотеке"/>
    <s v="краткосрочный"/>
    <x v="0"/>
    <b v="0"/>
    <n v="7.2972817983713731E-2"/>
    <n v="0.98181818181818181"/>
    <n v="5.7399347506542867E-2"/>
  </r>
  <r>
    <n v="615"/>
    <n v="0"/>
    <n v="177628"/>
    <n v="723"/>
    <n v="1168044"/>
    <n v="0"/>
    <n v="4314.33"/>
    <n v="10.3"/>
    <n v="7"/>
    <n v="136724"/>
    <n v="286264"/>
    <x v="6"/>
    <s v="89ea7100-67e2-404d-a708-e2d8593122b4"/>
    <s v="иное"/>
    <s v="в собственности"/>
    <s v="краткосрочный"/>
    <x v="0"/>
    <b v="0"/>
    <n v="0.20306227778414956"/>
    <n v="0.83030303030303032"/>
    <n v="4.4323638493070465E-2"/>
  </r>
  <r>
    <n v="616"/>
    <n v="0"/>
    <n v="262174"/>
    <n v="703"/>
    <n v="935655"/>
    <n v="42"/>
    <n v="8966.67"/>
    <n v="11.3"/>
    <n v="8"/>
    <n v="104405"/>
    <n v="366322"/>
    <x v="2"/>
    <s v="2c84d7cb-d702-4479-bc5b-7cf5a9f0e1c8"/>
    <s v="приобретение жилья"/>
    <s v="в аренде"/>
    <s v="долгосрочный"/>
    <x v="0"/>
    <b v="0"/>
    <n v="0.31325266659020529"/>
    <n v="0.70909090909090911"/>
    <n v="0.11499969540054827"/>
  </r>
  <r>
    <n v="617"/>
    <n v="0"/>
    <m/>
    <n v="726"/>
    <n v="622744"/>
    <n v="79"/>
    <n v="16762.37"/>
    <n v="15.8"/>
    <n v="15"/>
    <n v="203946"/>
    <n v="480964"/>
    <x v="6"/>
    <s v="1838844f-8c15-49c0-a5e5-6bad4e5d30ef"/>
    <s v="консолидация кредитов"/>
    <s v="в ипотеке"/>
    <s v="краткосрочный"/>
    <x v="0"/>
    <b v="0"/>
    <m/>
    <n v="0.84848484848484851"/>
    <n v="0.3230034171344886"/>
  </r>
  <r>
    <n v="618"/>
    <n v="0"/>
    <n v="148214"/>
    <n v="747"/>
    <n v="911487"/>
    <n v="0"/>
    <n v="20424.810000000001"/>
    <n v="20.5"/>
    <n v="6"/>
    <n v="142766"/>
    <n v="188716"/>
    <x v="3"/>
    <s v="fdb1f63e-b46d-437f-bae6-062b7ed14cdd"/>
    <s v="ремонт жилья"/>
    <s v="в ипотеке"/>
    <s v="краткосрочный"/>
    <x v="0"/>
    <b v="0"/>
    <n v="0.16472645945635966"/>
    <n v="0.97575757575757571"/>
    <n v="0.26889875554999687"/>
  </r>
  <r>
    <n v="619"/>
    <n v="0"/>
    <m/>
    <n v="745"/>
    <n v="1620814"/>
    <n v="8"/>
    <n v="27553.8"/>
    <n v="9.6"/>
    <n v="12"/>
    <n v="388987"/>
    <n v="1047486"/>
    <x v="10"/>
    <s v="b4a75c42-b909-4307-ac0f-09cf1b186eea"/>
    <s v="консолидация кредитов"/>
    <s v="в ипотеке"/>
    <s v="краткосрочный"/>
    <x v="0"/>
    <b v="0"/>
    <m/>
    <n v="0.96363636363636362"/>
    <n v="0.20399971865988323"/>
  </r>
  <r>
    <n v="620"/>
    <n v="0"/>
    <n v="778712"/>
    <n v="688"/>
    <n v="3842940"/>
    <n v="0"/>
    <n v="59565.57"/>
    <n v="25"/>
    <n v="18"/>
    <n v="548568"/>
    <n v="771782"/>
    <x v="1"/>
    <s v="3d0ca2af-8ce7-45cf-b804-dc315671e47c"/>
    <s v="консолидация кредитов"/>
    <s v="в ипотеке"/>
    <s v="долгосрочный"/>
    <x v="0"/>
    <b v="1"/>
    <n v="0.98646633788278471"/>
    <n v="0.61818181818181817"/>
    <n v="0.186"/>
  </r>
  <r>
    <n v="621"/>
    <n v="0"/>
    <n v="215776"/>
    <n v="729"/>
    <n v="1583992"/>
    <n v="29"/>
    <n v="14783.9"/>
    <n v="10.5"/>
    <n v="5"/>
    <n v="447564"/>
    <n v="720764"/>
    <x v="1"/>
    <s v="b64a9da6-0107-4012-bba3-2057ae6efbb2"/>
    <s v="консолидация кредитов"/>
    <s v="в аренде"/>
    <s v="краткосрочный"/>
    <x v="1"/>
    <b v="0"/>
    <n v="0.25278128225713958"/>
    <n v="0.8666666666666667"/>
    <n v="0.11199980807983878"/>
  </r>
  <r>
    <n v="622"/>
    <n v="0"/>
    <n v="755062"/>
    <n v="681"/>
    <n v="1769983"/>
    <n v="46"/>
    <n v="27729.74"/>
    <n v="25"/>
    <n v="15"/>
    <n v="228266"/>
    <n v="451044"/>
    <x v="8"/>
    <s v="88883a49-e435-445b-939a-167ca08d47f2"/>
    <s v="консолидация кредитов"/>
    <s v="в ипотеке"/>
    <s v="долгосрочный"/>
    <x v="0"/>
    <b v="0"/>
    <n v="0.95564284895056772"/>
    <n v="0.5757575757575758"/>
    <n v="0.1880000429382655"/>
  </r>
  <r>
    <n v="623"/>
    <n v="1"/>
    <n v="215974"/>
    <n v="716"/>
    <n v="1585455"/>
    <n v="0"/>
    <n v="16647.23"/>
    <n v="15.9"/>
    <n v="11"/>
    <n v="115273"/>
    <n v="364672"/>
    <x v="3"/>
    <s v="260809c5-f100-49d1-a1c9-a73e1f02bbff"/>
    <s v="консолидация кредитов"/>
    <s v="в аренде"/>
    <s v="краткосрочный"/>
    <x v="0"/>
    <b v="0"/>
    <n v="0.25303933937378142"/>
    <n v="0.78787878787878785"/>
    <n v="0.12599964048175444"/>
  </r>
  <r>
    <n v="624"/>
    <n v="0"/>
    <n v="328548"/>
    <n v="704"/>
    <n v="1172813"/>
    <n v="38"/>
    <n v="16028.4"/>
    <n v="13.5"/>
    <n v="7"/>
    <n v="350246"/>
    <n v="479930"/>
    <x v="0"/>
    <s v="ab2e62f5-cdde-4939-a971-7e334e0ab26c"/>
    <s v="консолидация кредитов"/>
    <s v="в ипотеке"/>
    <s v="долгосрочный"/>
    <x v="0"/>
    <b v="0"/>
    <n v="0.39975914669113433"/>
    <n v="0.7151515151515152"/>
    <n v="0.1639995463897484"/>
  </r>
  <r>
    <n v="625"/>
    <n v="0"/>
    <n v="397738"/>
    <n v="736"/>
    <n v="1622106"/>
    <n v="50"/>
    <n v="25413.07"/>
    <n v="15.9"/>
    <n v="16"/>
    <n v="494836"/>
    <n v="966218"/>
    <x v="6"/>
    <s v="c08b3ba3-53f4-4d42-9cfb-df4382418e02"/>
    <s v="консолидация кредитов"/>
    <s v="в ипотеке"/>
    <s v="краткосрочный"/>
    <x v="0"/>
    <b v="0"/>
    <n v="0.48993577245096914"/>
    <n v="0.90909090909090906"/>
    <n v="0.18800056223206127"/>
  </r>
  <r>
    <n v="626"/>
    <n v="0"/>
    <n v="347996"/>
    <n v="700"/>
    <n v="686945"/>
    <n v="0"/>
    <n v="3932.81"/>
    <n v="11"/>
    <n v="7"/>
    <n v="164578"/>
    <n v="227678"/>
    <x v="9"/>
    <s v="4bfbef83-43cb-4f97-83d8-b8fe05fd4a57"/>
    <s v="консолидация кредитов"/>
    <s v="в собственности"/>
    <s v="долгосрочный"/>
    <x v="0"/>
    <b v="0"/>
    <n v="0.42510609014795275"/>
    <n v="0.69090909090909092"/>
    <n v="6.870087124878993E-2"/>
  </r>
  <r>
    <n v="627"/>
    <n v="0"/>
    <m/>
    <n v="743"/>
    <n v="788101"/>
    <n v="26"/>
    <n v="14317.26"/>
    <n v="14.6"/>
    <n v="9"/>
    <n v="137750"/>
    <n v="537042"/>
    <x v="3"/>
    <s v="f9dfd867-61a1-469b-840e-71d0c4a2e631"/>
    <s v="консолидация кредитов"/>
    <s v="в ипотеке"/>
    <s v="краткосрочный"/>
    <x v="0"/>
    <b v="0"/>
    <m/>
    <n v="0.95151515151515154"/>
    <n v="0.21800139829793391"/>
  </r>
  <r>
    <n v="628"/>
    <n v="0"/>
    <n v="432520"/>
    <n v="745"/>
    <n v="1029477"/>
    <n v="0"/>
    <n v="17758.54"/>
    <n v="15.4"/>
    <n v="7"/>
    <n v="296286"/>
    <n v="536074"/>
    <x v="1"/>
    <s v="919ec1ef-5fe8-465a-8b3e-8442108780b6"/>
    <s v="консолидация кредитов"/>
    <s v="в ипотеке"/>
    <s v="краткосрочный"/>
    <x v="1"/>
    <b v="0"/>
    <n v="0.53526780594104828"/>
    <n v="0.96363636363636362"/>
    <n v="0.20700071978295775"/>
  </r>
  <r>
    <n v="629"/>
    <n v="0"/>
    <n v="776864"/>
    <n v="724"/>
    <n v="1380179"/>
    <n v="0"/>
    <n v="11593.42"/>
    <n v="12.8"/>
    <n v="15"/>
    <n v="42750"/>
    <n v="562474"/>
    <x v="8"/>
    <s v="cdd7fa9b-100c-46e4-807c-5fd55a682c95"/>
    <s v="бизнес"/>
    <s v="в аренде"/>
    <s v="долгосрочный"/>
    <x v="0"/>
    <b v="0"/>
    <n v="0.98405780479412774"/>
    <n v="0.83636363636363631"/>
    <n v="0.10079927313775966"/>
  </r>
  <r>
    <n v="630"/>
    <n v="0"/>
    <n v="335082"/>
    <n v="721"/>
    <n v="1215430"/>
    <n v="0"/>
    <n v="13065.92"/>
    <n v="25.5"/>
    <n v="13"/>
    <n v="351728"/>
    <n v="419848"/>
    <x v="4"/>
    <s v="af703c39-6da8-4954-afb0-2641eefba352"/>
    <s v="оплата обучения"/>
    <s v="в ипотеке"/>
    <s v="краткосрочный"/>
    <x v="0"/>
    <b v="0"/>
    <n v="0.40827503154031425"/>
    <n v="0.81818181818181823"/>
    <n v="0.12900046896982961"/>
  </r>
  <r>
    <n v="631"/>
    <n v="0"/>
    <n v="86988"/>
    <n v="723"/>
    <n v="1168044"/>
    <n v="0"/>
    <n v="1991.96"/>
    <n v="10.199999999999999"/>
    <n v="5"/>
    <n v="80294"/>
    <n v="245982"/>
    <x v="10"/>
    <s v="2b1de31e-8f93-40ce-b05d-d4628b1d9fe2"/>
    <s v="консолидация кредитов"/>
    <s v="в аренде"/>
    <s v="краткосрочный"/>
    <x v="0"/>
    <b v="0"/>
    <n v="8.4929464388117909E-2"/>
    <n v="0.83030303030303032"/>
    <n v="2.0464571540113215E-2"/>
  </r>
  <r>
    <n v="632"/>
    <n v="0"/>
    <n v="220286"/>
    <n v="734"/>
    <n v="1731242"/>
    <n v="0"/>
    <n v="29575.4"/>
    <n v="18.5"/>
    <n v="5"/>
    <n v="105564"/>
    <n v="165198"/>
    <x v="9"/>
    <s v="71708fcd-2fd3-4452-b9c1-11dd2a764751"/>
    <s v="ремонт жилья"/>
    <s v="в ипотеке"/>
    <s v="краткосрочный"/>
    <x v="1"/>
    <b v="0"/>
    <n v="0.25865924991398098"/>
    <n v="0.89696969696969697"/>
    <n v="0.20500010974779959"/>
  </r>
  <r>
    <n v="633"/>
    <n v="0"/>
    <m/>
    <n v="748"/>
    <n v="1022333"/>
    <n v="0"/>
    <n v="18146.330000000002"/>
    <n v="9"/>
    <n v="9"/>
    <n v="168777"/>
    <n v="316228"/>
    <x v="7"/>
    <s v="485af707-d563-452c-b5f0-d6e8d16961ca"/>
    <s v="консолидация кредитов"/>
    <s v="в ипотеке"/>
    <s v="краткосрочный"/>
    <x v="0"/>
    <b v="0"/>
    <m/>
    <n v="0.98181818181818181"/>
    <n v="0.21299905216793355"/>
  </r>
  <r>
    <n v="634"/>
    <n v="0"/>
    <n v="329142"/>
    <n v="723"/>
    <n v="1168044"/>
    <n v="74"/>
    <n v="17811.36"/>
    <n v="19.8"/>
    <n v="8"/>
    <n v="234308"/>
    <n v="293920"/>
    <x v="2"/>
    <s v="fe8387b1-9a58-4774-b935-23871e1e5450"/>
    <s v="консолидация кредитов"/>
    <s v="в ипотеке"/>
    <s v="краткосрочный"/>
    <x v="0"/>
    <b v="0"/>
    <n v="0.40053331804105974"/>
    <n v="0.83030303030303032"/>
    <n v="0.18298653132929923"/>
  </r>
  <r>
    <n v="635"/>
    <n v="0"/>
    <n v="329054"/>
    <n v="710"/>
    <n v="1136694"/>
    <n v="37"/>
    <n v="15819.02"/>
    <n v="10.9"/>
    <n v="14"/>
    <n v="108091"/>
    <n v="372526"/>
    <x v="1"/>
    <s v="058cea79-8bb7-4ac1-9b7d-c698263e3622"/>
    <s v="консолидация кредитов"/>
    <s v="в аренде"/>
    <s v="краткосрочный"/>
    <x v="1"/>
    <b v="0"/>
    <n v="0.40041862598921896"/>
    <n v="0.75151515151515147"/>
    <n v="0.16700030087253034"/>
  </r>
  <r>
    <n v="636"/>
    <n v="0"/>
    <n v="231264"/>
    <n v="656"/>
    <n v="433371"/>
    <n v="0"/>
    <n v="7078.45"/>
    <n v="16"/>
    <n v="9"/>
    <n v="331588"/>
    <n v="769428"/>
    <x v="1"/>
    <s v="040a5b08-32b2-40db-a2bd-09a0d85e2c75"/>
    <s v="консолидация кредитов"/>
    <s v="в ипотеке"/>
    <s v="долгосрочный"/>
    <x v="0"/>
    <b v="0"/>
    <n v="0.27296708338112169"/>
    <n v="0.42424242424242425"/>
    <n v="0.19600157832434564"/>
  </r>
  <r>
    <n v="637"/>
    <n v="0"/>
    <m/>
    <n v="691"/>
    <n v="1680417"/>
    <n v="62"/>
    <n v="22965.68"/>
    <n v="17.7"/>
    <n v="27"/>
    <n v="92720"/>
    <n v="528880"/>
    <x v="5"/>
    <s v="d39c970b-ed77-43a5-9bdc-672aa33cbf39"/>
    <s v="консолидация кредитов"/>
    <s v="в аренде"/>
    <s v="краткосрочный"/>
    <x v="0"/>
    <b v="0"/>
    <m/>
    <n v="0.63636363636363635"/>
    <n v="0.16399986431939215"/>
  </r>
  <r>
    <n v="638"/>
    <n v="0"/>
    <n v="61358"/>
    <n v="726"/>
    <n v="756884"/>
    <n v="27"/>
    <n v="19048.259999999998"/>
    <n v="21.5"/>
    <n v="9"/>
    <n v="134615"/>
    <n v="251812"/>
    <x v="1"/>
    <s v="2d43639a-7c09-4b47-86f4-359d631fb58b"/>
    <s v="приобретение автомобиля"/>
    <s v="в собственности"/>
    <s v="краткосрочный"/>
    <x v="0"/>
    <b v="0"/>
    <n v="5.152540428948274E-2"/>
    <n v="0.84848484848484851"/>
    <n v="0.30200020082337581"/>
  </r>
  <r>
    <n v="639"/>
    <n v="0"/>
    <n v="218394"/>
    <n v="723"/>
    <n v="1168044"/>
    <n v="24"/>
    <n v="15784.44"/>
    <n v="13.7"/>
    <n v="10"/>
    <n v="172121"/>
    <n v="878020"/>
    <x v="7"/>
    <s v="96cdc862-e6d3-4aad-959c-92ae79b4c843"/>
    <s v="консолидация кредитов"/>
    <s v="в ипотеке"/>
    <s v="краткосрочный"/>
    <x v="0"/>
    <b v="0"/>
    <n v="0.25619337079940357"/>
    <n v="0.83030303030303032"/>
    <n v="0.16216279523716573"/>
  </r>
  <r>
    <n v="640"/>
    <n v="0"/>
    <m/>
    <n v="744"/>
    <n v="2044647"/>
    <n v="0"/>
    <n v="12676.8"/>
    <n v="17"/>
    <n v="8"/>
    <n v="272688"/>
    <n v="363748"/>
    <x v="1"/>
    <s v="d3e50309-3f24-4b9a-bd63-05296473b421"/>
    <s v="консолидация кредитов"/>
    <s v="в ипотеке"/>
    <s v="краткосрочный"/>
    <x v="0"/>
    <b v="0"/>
    <m/>
    <n v="0.95757575757575752"/>
    <n v="7.4399933093585349E-2"/>
  </r>
  <r>
    <n v="641"/>
    <n v="1"/>
    <m/>
    <n v="724"/>
    <n v="1360343"/>
    <n v="0"/>
    <n v="30494.240000000002"/>
    <n v="15.9"/>
    <n v="11"/>
    <n v="226366"/>
    <n v="463892"/>
    <x v="1"/>
    <s v="5409669b-4de7-493b-9de0-1a4734a7abaa"/>
    <s v="консолидация кредитов"/>
    <s v="в ипотеке"/>
    <s v="долгосрочный"/>
    <x v="0"/>
    <b v="0"/>
    <m/>
    <n v="0.83636363636363631"/>
    <n v="0.26899898040420689"/>
  </r>
  <r>
    <n v="642"/>
    <n v="0"/>
    <n v="220396"/>
    <n v="680"/>
    <n v="1903420"/>
    <n v="12"/>
    <n v="18240.95"/>
    <n v="15.8"/>
    <n v="9"/>
    <n v="57608"/>
    <n v="66110"/>
    <x v="5"/>
    <s v="ecf9e047-4fad-4208-a3aa-30499d6dbb01"/>
    <s v="консолидация кредитов"/>
    <s v="в аренде"/>
    <s v="долгосрочный"/>
    <x v="1"/>
    <b v="0"/>
    <n v="0.25880261497878199"/>
    <n v="0.5696969696969697"/>
    <n v="0.11499900179676582"/>
  </r>
  <r>
    <n v="643"/>
    <n v="0"/>
    <n v="129074"/>
    <n v="723"/>
    <n v="1168044"/>
    <n v="0"/>
    <n v="18949.84"/>
    <n v="6.6"/>
    <n v="10"/>
    <n v="132734"/>
    <n v="236456"/>
    <x v="2"/>
    <s v="45b57fc5-b081-4653-a862-9671b847575f"/>
    <s v="консолидация кредитов"/>
    <s v="в аренде"/>
    <s v="краткосрочный"/>
    <x v="1"/>
    <b v="0"/>
    <n v="0.13978093818098405"/>
    <n v="0.83030303030303032"/>
    <n v="0.19468280304509078"/>
  </r>
  <r>
    <n v="644"/>
    <n v="0"/>
    <m/>
    <n v="729"/>
    <n v="662473"/>
    <n v="74"/>
    <n v="5283.33"/>
    <n v="16.899999999999999"/>
    <n v="12"/>
    <n v="59356"/>
    <n v="369512"/>
    <x v="3"/>
    <s v="1af5d57e-5f41-4179-8cd0-0861fca3cedd"/>
    <s v="ремонт жилья"/>
    <s v="в собственности"/>
    <s v="краткосрочный"/>
    <x v="0"/>
    <b v="0"/>
    <m/>
    <n v="0.8666666666666667"/>
    <n v="9.5701953136203277E-2"/>
  </r>
  <r>
    <n v="645"/>
    <n v="1"/>
    <m/>
    <n v="721"/>
    <n v="777024"/>
    <n v="0"/>
    <n v="4506.8"/>
    <n v="12"/>
    <n v="3"/>
    <n v="161405"/>
    <n v="202488"/>
    <x v="10"/>
    <s v="9434bb58-ec87-4e87-9177-25b9ea9c3b58"/>
    <s v="консолидация кредитов"/>
    <s v="в ипотеке"/>
    <s v="краткосрочный"/>
    <x v="0"/>
    <b v="0"/>
    <m/>
    <n v="0.81818181818181823"/>
    <n v="6.960093896713615E-2"/>
  </r>
  <r>
    <n v="646"/>
    <n v="0"/>
    <n v="353782"/>
    <n v="646"/>
    <n v="1524313"/>
    <n v="42"/>
    <n v="19816.05"/>
    <n v="31.8"/>
    <n v="7"/>
    <n v="114399"/>
    <n v="129976"/>
    <x v="1"/>
    <s v="31d33215-6af6-4b2b-954f-5d626138fa21"/>
    <s v="консолидация кредитов"/>
    <s v="в ипотеке"/>
    <s v="краткосрочный"/>
    <x v="1"/>
    <b v="0"/>
    <n v="0.43264709255648581"/>
    <n v="0.36363636363636365"/>
    <n v="0.15599985042442072"/>
  </r>
  <r>
    <n v="647"/>
    <n v="0"/>
    <n v="195712"/>
    <n v="723"/>
    <n v="1168044"/>
    <n v="23"/>
    <n v="25070.69"/>
    <n v="14.7"/>
    <n v="18"/>
    <n v="154850"/>
    <n v="251130"/>
    <x v="3"/>
    <s v="a510c793-480a-4511-bce4-fef730ce2a10"/>
    <s v="консолидация кредитов"/>
    <s v="в аренде"/>
    <s v="краткосрочный"/>
    <x v="0"/>
    <b v="0"/>
    <n v="0.22663149443743549"/>
    <n v="0.83030303030303032"/>
    <n v="0.25756587936755804"/>
  </r>
  <r>
    <n v="648"/>
    <n v="1"/>
    <m/>
    <n v="745"/>
    <n v="491036"/>
    <n v="0"/>
    <n v="2459.36"/>
    <n v="13.7"/>
    <n v="14"/>
    <n v="81472"/>
    <n v="720126"/>
    <x v="1"/>
    <s v="43882ab3-c3a3-4d84-91c6-811ddd309f6f"/>
    <s v="консолидация кредитов"/>
    <s v="в аренде"/>
    <s v="краткосрочный"/>
    <x v="0"/>
    <b v="0"/>
    <m/>
    <n v="0.96363636363636362"/>
    <n v="6.0102151369757009E-2"/>
  </r>
  <r>
    <n v="649"/>
    <n v="0"/>
    <m/>
    <n v="727"/>
    <n v="1914364"/>
    <n v="0"/>
    <n v="19941.45"/>
    <n v="19.600000000000001"/>
    <n v="7"/>
    <n v="168587"/>
    <n v="485562"/>
    <x v="1"/>
    <s v="50766172-6e2a-48c2-8d3d-40140b28a43e"/>
    <s v="ремонт жилья"/>
    <s v="в ипотеке"/>
    <s v="долгосрочный"/>
    <x v="0"/>
    <b v="0"/>
    <m/>
    <n v="0.8545454545454545"/>
    <n v="0.12500099249672475"/>
  </r>
  <r>
    <n v="650"/>
    <n v="1"/>
    <n v="32230"/>
    <n v="723"/>
    <n v="1168044"/>
    <n v="23"/>
    <n v="5679.1"/>
    <n v="11.3"/>
    <n v="6"/>
    <n v="52364"/>
    <n v="79464"/>
    <x v="5"/>
    <s v="cd31f1ff-1388-49de-9c8e-624292735830"/>
    <s v="иное"/>
    <s v="в аренде"/>
    <s v="краткосрочный"/>
    <x v="1"/>
    <b v="0"/>
    <n v="1.3562335130175478E-2"/>
    <n v="0.83030303030303032"/>
    <n v="5.8344719890689054E-2"/>
  </r>
  <r>
    <n v="651"/>
    <n v="0"/>
    <n v="356444"/>
    <n v="713"/>
    <n v="1269808"/>
    <n v="0"/>
    <n v="30189.48"/>
    <n v="22.1"/>
    <n v="7"/>
    <n v="762489"/>
    <n v="955504"/>
    <x v="1"/>
    <s v="7fc3ea13-7274-446a-b5d0-a82980065b03"/>
    <s v="малый бизнес"/>
    <s v="в ипотеке"/>
    <s v="долгосрочный"/>
    <x v="1"/>
    <b v="0"/>
    <n v="0.43611652712467025"/>
    <n v="0.76969696969696966"/>
    <n v="0.28529806080919323"/>
  </r>
  <r>
    <n v="652"/>
    <n v="0"/>
    <n v="111034"/>
    <n v="699"/>
    <n v="348707"/>
    <n v="0"/>
    <n v="5957.07"/>
    <n v="12.7"/>
    <n v="5"/>
    <n v="116204"/>
    <n v="190586"/>
    <x v="4"/>
    <s v="2a336913-4dc5-4657-be02-6e6c96aef479"/>
    <s v="консолидация кредитов"/>
    <s v="в аренде"/>
    <s v="краткосрочный"/>
    <x v="0"/>
    <b v="0"/>
    <n v="0.11626906755361853"/>
    <n v="0.68484848484848482"/>
    <n v="0.20499972756497573"/>
  </r>
  <r>
    <n v="653"/>
    <n v="0"/>
    <n v="389620"/>
    <n v="743"/>
    <n v="985530"/>
    <n v="0"/>
    <n v="20942.560000000001"/>
    <n v="13"/>
    <n v="18"/>
    <n v="294481"/>
    <n v="538670"/>
    <x v="4"/>
    <s v="0e08ccde-bc5d-4523-8186-93ebf58083ac"/>
    <s v="консолидация кредитов"/>
    <s v="в аренде"/>
    <s v="краткосрочный"/>
    <x v="0"/>
    <b v="0"/>
    <n v="0.47935543066865466"/>
    <n v="0.95151515151515154"/>
    <n v="0.25500057836899942"/>
  </r>
  <r>
    <n v="654"/>
    <n v="0"/>
    <n v="782320"/>
    <n v="614"/>
    <n v="2374392"/>
    <n v="23"/>
    <n v="61932.02"/>
    <n v="21.7"/>
    <n v="14"/>
    <n v="363641"/>
    <n v="487344"/>
    <x v="1"/>
    <s v="6019769e-7c0e-464c-bfb5-ffb2846a0e2c"/>
    <s v="иное"/>
    <s v="в ипотеке"/>
    <s v="долгосрочный"/>
    <x v="0"/>
    <b v="1"/>
    <n v="0.99116871200825785"/>
    <n v="0.16969696969696971"/>
    <n v="0.31299980795083537"/>
  </r>
  <r>
    <n v="655"/>
    <n v="0"/>
    <n v="523292"/>
    <n v="713"/>
    <n v="1788945"/>
    <n v="26"/>
    <n v="33542.6"/>
    <n v="16.8"/>
    <n v="13"/>
    <n v="303601"/>
    <n v="586850"/>
    <x v="10"/>
    <s v="78d2100e-deb0-46af-b422-98b4ce2c301f"/>
    <s v="консолидация кредитов"/>
    <s v="в собственности"/>
    <s v="долгосрочный"/>
    <x v="0"/>
    <b v="0"/>
    <n v="0.65357265741484116"/>
    <n v="0.76969696969696966"/>
    <n v="0.22499920344113428"/>
  </r>
  <r>
    <n v="656"/>
    <n v="0"/>
    <n v="217624"/>
    <n v="723"/>
    <n v="1168044"/>
    <n v="0"/>
    <n v="10853.94"/>
    <n v="12.4"/>
    <n v="7"/>
    <n v="107274"/>
    <n v="239338"/>
    <x v="10"/>
    <s v="db287e7b-2d6e-438b-a193-9aeb676ae4c1"/>
    <s v="консолидация кредитов"/>
    <s v="в аренде"/>
    <s v="краткосрочный"/>
    <x v="0"/>
    <b v="0"/>
    <n v="0.25518981534579654"/>
    <n v="0.83030303030303032"/>
    <n v="0.11150888151473747"/>
  </r>
  <r>
    <n v="657"/>
    <n v="1"/>
    <n v="322740"/>
    <n v="723"/>
    <n v="1168044"/>
    <n v="0"/>
    <n v="43985"/>
    <n v="20.7"/>
    <n v="16"/>
    <n v="446329"/>
    <n v="891022"/>
    <x v="1"/>
    <s v="98fbe987-4102-4f0e-91c3-19f7e80e1f08"/>
    <s v="консолидация кредитов"/>
    <s v="в ипотеке"/>
    <s v="краткосрочный"/>
    <x v="0"/>
    <b v="1"/>
    <n v="0.39218947126964099"/>
    <n v="0.83030303030303032"/>
    <n v="0.45188366191684559"/>
  </r>
  <r>
    <n v="658"/>
    <n v="0"/>
    <n v="268620"/>
    <n v="740"/>
    <n v="5316447"/>
    <n v="0"/>
    <n v="36329.14"/>
    <n v="27.6"/>
    <n v="14"/>
    <n v="1385062"/>
    <n v="2187922"/>
    <x v="1"/>
    <s v="121da01c-1787-44ec-9e7e-97051b47b465"/>
    <s v="бизнес"/>
    <s v="в собственности"/>
    <s v="краткосрочный"/>
    <x v="0"/>
    <b v="0"/>
    <n v="0.32165385938754443"/>
    <n v="0.93333333333333335"/>
    <n v="8.2000192986029952E-2"/>
  </r>
  <r>
    <n v="659"/>
    <n v="0"/>
    <m/>
    <n v="736"/>
    <n v="494247"/>
    <n v="0"/>
    <n v="11738.39"/>
    <n v="17.100000000000001"/>
    <n v="19"/>
    <n v="229216"/>
    <n v="804254"/>
    <x v="0"/>
    <s v="aca451fc-db23-4d9b-abff-0da9115648a9"/>
    <s v="консолидация кредитов"/>
    <s v="в аренде"/>
    <s v="краткосрочный"/>
    <x v="0"/>
    <b v="0"/>
    <m/>
    <n v="0.90909090909090906"/>
    <n v="0.28500057663475953"/>
  </r>
  <r>
    <n v="660"/>
    <n v="0"/>
    <n v="215622"/>
    <n v="743"/>
    <n v="1899430"/>
    <n v="20"/>
    <n v="34189.74"/>
    <n v="19.399999999999999"/>
    <n v="13"/>
    <n v="324235"/>
    <n v="1191806"/>
    <x v="0"/>
    <s v="41e70412-d206-4b83-8fe8-fc402a235a04"/>
    <s v="консолидация кредитов"/>
    <s v="в ипотеке"/>
    <s v="краткосрочный"/>
    <x v="0"/>
    <b v="0"/>
    <n v="0.25258057116641819"/>
    <n v="0.95151515151515154"/>
    <n v="0.21599999999999997"/>
  </r>
  <r>
    <n v="661"/>
    <n v="0"/>
    <n v="222112"/>
    <n v="741"/>
    <n v="1822328"/>
    <n v="37"/>
    <n v="6499.52"/>
    <n v="20"/>
    <n v="26"/>
    <n v="237595"/>
    <n v="2116224"/>
    <x v="1"/>
    <s v="9449d282-eb22-4e87-90f6-8b1642d47375"/>
    <s v="консолидация кредитов"/>
    <s v="в ипотеке"/>
    <s v="краткосрочный"/>
    <x v="0"/>
    <b v="0"/>
    <n v="0.26103910998967772"/>
    <n v="0.93939393939393945"/>
    <n v="4.2799232629910755E-2"/>
  </r>
  <r>
    <n v="662"/>
    <n v="0"/>
    <n v="65714"/>
    <n v="723"/>
    <n v="1168044"/>
    <n v="50"/>
    <n v="1704.87"/>
    <n v="14.9"/>
    <n v="3"/>
    <n v="33250"/>
    <n v="120340"/>
    <x v="6"/>
    <s v="75b6f4dd-b3c6-4220-969f-54c372c22e1f"/>
    <s v="иное"/>
    <s v="в аренде"/>
    <s v="краткосрочный"/>
    <x v="0"/>
    <b v="0"/>
    <n v="5.7202660855602709E-2"/>
    <n v="0.83030303030303032"/>
    <n v="1.7515127854772591E-2"/>
  </r>
  <r>
    <n v="663"/>
    <n v="0"/>
    <n v="660924"/>
    <n v="723"/>
    <n v="1168044"/>
    <n v="48"/>
    <n v="23848.23"/>
    <n v="23.6"/>
    <n v="18"/>
    <n v="1964923"/>
    <n v="3321406"/>
    <x v="1"/>
    <s v="ca09fedb-53b7-445c-be75-58eeaf0317a5"/>
    <s v="консолидация кредитов"/>
    <s v="в ипотеке"/>
    <s v="долгосрочный"/>
    <x v="1"/>
    <b v="0"/>
    <n v="0.83295102649386399"/>
    <n v="0.83030303030303032"/>
    <n v="0.24500683193441342"/>
  </r>
  <r>
    <n v="664"/>
    <n v="0"/>
    <n v="429572"/>
    <n v="700"/>
    <n v="1597577"/>
    <n v="0"/>
    <n v="23430.99"/>
    <n v="17.5"/>
    <n v="15"/>
    <n v="129713"/>
    <n v="181830"/>
    <x v="9"/>
    <s v="be8343f8-4c74-4450-85ee-ffd3dab35b8a"/>
    <s v="консолидация кредитов"/>
    <s v="в собственности"/>
    <s v="долгосрочный"/>
    <x v="1"/>
    <b v="0"/>
    <n v="0.53142562220438128"/>
    <n v="0.69090909090909092"/>
    <n v="0.17599895341507799"/>
  </r>
  <r>
    <n v="665"/>
    <n v="0"/>
    <n v="484484"/>
    <n v="723"/>
    <n v="1168044"/>
    <n v="77"/>
    <n v="39551.54"/>
    <n v="11.9"/>
    <n v="28"/>
    <n v="559056"/>
    <n v="1219086"/>
    <x v="2"/>
    <s v="a33d1bf8-f73d-4858-bc29-c45a5c5b02a9"/>
    <s v="консолидация кредитов"/>
    <s v="в аренде"/>
    <s v="краткосрочный"/>
    <x v="0"/>
    <b v="0"/>
    <n v="0.60299346255304509"/>
    <n v="0.83030303030303032"/>
    <n v="0.40633613117314077"/>
  </r>
  <r>
    <n v="666"/>
    <n v="0"/>
    <n v="393382"/>
    <n v="723"/>
    <n v="1168044"/>
    <n v="4"/>
    <n v="19400.330000000002"/>
    <n v="11"/>
    <n v="23"/>
    <n v="112765"/>
    <n v="419848"/>
    <x v="6"/>
    <s v="f9c24e89-c8b5-450f-8841-fcd9cec7fa74"/>
    <s v="консолидация кредитов"/>
    <s v="в ипотеке"/>
    <s v="краткосрочный"/>
    <x v="0"/>
    <b v="0"/>
    <n v="0.48425851588484919"/>
    <n v="0.83030303030303032"/>
    <n v="0.19931095061487411"/>
  </r>
  <r>
    <n v="667"/>
    <n v="0"/>
    <n v="318538"/>
    <n v="749"/>
    <n v="1623892"/>
    <n v="0"/>
    <n v="5264.14"/>
    <n v="16.8"/>
    <n v="6"/>
    <n v="213199"/>
    <n v="599192"/>
    <x v="0"/>
    <s v="fce04ba9-317f-4df7-a5f9-a1bd69e006d3"/>
    <s v="консолидация кредитов"/>
    <s v="в аренде"/>
    <s v="краткосрочный"/>
    <x v="0"/>
    <b v="0"/>
    <n v="0.38671292579424243"/>
    <n v="0.98787878787878791"/>
    <n v="3.8900173164225206E-2"/>
  </r>
  <r>
    <n v="668"/>
    <n v="0"/>
    <n v="135014"/>
    <n v="741"/>
    <n v="1865591"/>
    <n v="52"/>
    <n v="37156.21"/>
    <n v="25.6"/>
    <n v="8"/>
    <n v="313633"/>
    <n v="465586"/>
    <x v="5"/>
    <s v="9b89e440-9e23-4e14-ae4d-5bcd1c45aece"/>
    <s v="ремонт жилья"/>
    <s v="в ипотеке"/>
    <s v="краткосрочный"/>
    <x v="0"/>
    <b v="0"/>
    <n v="0.14752265168023856"/>
    <n v="0.93939393939393945"/>
    <n v="0.23899907321594069"/>
  </r>
  <r>
    <n v="669"/>
    <n v="0"/>
    <n v="333036"/>
    <n v="727"/>
    <n v="1629858"/>
    <n v="0"/>
    <n v="7904.76"/>
    <n v="21"/>
    <n v="9"/>
    <n v="281979"/>
    <n v="528330"/>
    <x v="1"/>
    <s v="ed13f60c-50b4-42f6-a7b0-e3dc666e645a"/>
    <s v="консолидация кредитов"/>
    <s v="в ипотеке"/>
    <s v="краткосрочный"/>
    <x v="0"/>
    <b v="0"/>
    <n v="0.4056084413350155"/>
    <n v="0.8545454545454545"/>
    <n v="5.8199622298384275E-2"/>
  </r>
  <r>
    <n v="670"/>
    <n v="1"/>
    <n v="351076"/>
    <n v="716"/>
    <n v="758024"/>
    <n v="0"/>
    <n v="8780.4699999999993"/>
    <n v="16.5"/>
    <n v="8"/>
    <n v="97983"/>
    <n v="144892"/>
    <x v="10"/>
    <s v="dc77eba0-0429-44bb-87e0-88ce3d7dc6d3"/>
    <s v="консолидация кредитов"/>
    <s v="в ипотеке"/>
    <s v="долгосрочный"/>
    <x v="0"/>
    <b v="0"/>
    <n v="0.42912031196238098"/>
    <n v="0.78787878787878785"/>
    <n v="0.13900040104271105"/>
  </r>
  <r>
    <n v="671"/>
    <n v="0"/>
    <m/>
    <n v="729"/>
    <n v="523925"/>
    <n v="0"/>
    <n v="2942.72"/>
    <n v="37.1"/>
    <n v="4"/>
    <n v="294880"/>
    <n v="351648"/>
    <x v="9"/>
    <s v="1030d083-c174-4051-b20c-af7d8dacbaf9"/>
    <s v="консолидация кредитов"/>
    <s v="в ипотеке"/>
    <s v="краткосрочный"/>
    <x v="0"/>
    <b v="0"/>
    <m/>
    <n v="0.8666666666666667"/>
    <n v="6.7400181323662739E-2"/>
  </r>
  <r>
    <n v="672"/>
    <n v="1"/>
    <n v="209462"/>
    <n v="669"/>
    <n v="1828009"/>
    <n v="0"/>
    <n v="29400.6"/>
    <n v="17"/>
    <n v="7"/>
    <n v="23028"/>
    <n v="28666"/>
    <x v="6"/>
    <s v="dc696953-fa56-4593-9a55-0b3a15c837b2"/>
    <s v="ремонт жилья"/>
    <s v="в ипотеке"/>
    <s v="долгосрочный"/>
    <x v="0"/>
    <b v="0"/>
    <n v="0.24455212753756164"/>
    <n v="0.50303030303030305"/>
    <n v="0.19300080032428721"/>
  </r>
  <r>
    <n v="673"/>
    <n v="0"/>
    <m/>
    <n v="741"/>
    <n v="1839048"/>
    <n v="0"/>
    <n v="16245"/>
    <n v="19"/>
    <n v="7"/>
    <n v="68818"/>
    <n v="105424"/>
    <x v="4"/>
    <s v="16acb987-ed6d-4981-bccf-bc996c633135"/>
    <s v="ремонт жилья"/>
    <s v="в ипотеке"/>
    <s v="краткосрочный"/>
    <x v="0"/>
    <b v="0"/>
    <m/>
    <n v="0.93939393939393945"/>
    <n v="0.1060004959087528"/>
  </r>
  <r>
    <n v="674"/>
    <n v="0"/>
    <n v="221496"/>
    <n v="728"/>
    <n v="956460"/>
    <n v="0"/>
    <n v="12354.18"/>
    <n v="14.8"/>
    <n v="19"/>
    <n v="377739"/>
    <n v="1003178"/>
    <x v="1"/>
    <s v="4cd8f95a-1974-4201-9bb3-c4407dae8b2b"/>
    <s v="иное"/>
    <s v="в ипотеке"/>
    <s v="краткосрочный"/>
    <x v="1"/>
    <b v="0"/>
    <n v="0.26023626562679208"/>
    <n v="0.8606060606060606"/>
    <n v="0.15499880810488678"/>
  </r>
  <r>
    <n v="675"/>
    <n v="0"/>
    <n v="60368"/>
    <n v="723"/>
    <n v="1168044"/>
    <n v="0"/>
    <n v="3988.67"/>
    <n v="37.4"/>
    <n v="8"/>
    <n v="182020"/>
    <n v="470470"/>
    <x v="1"/>
    <s v="404b9a82-1fb5-4fe8-9e9c-a1bfe38b2c7c"/>
    <s v="иное"/>
    <s v="в ипотеке"/>
    <s v="краткосрочный"/>
    <x v="1"/>
    <b v="0"/>
    <n v="5.0235118706273653E-2"/>
    <n v="0.83030303030303032"/>
    <n v="4.0977942611750931E-2"/>
  </r>
  <r>
    <n v="676"/>
    <n v="0"/>
    <n v="329120"/>
    <n v="723"/>
    <n v="1168044"/>
    <n v="0"/>
    <n v="20890.88"/>
    <n v="10.8"/>
    <n v="13"/>
    <n v="246373"/>
    <n v="690734"/>
    <x v="5"/>
    <s v="358f1ac4-3cee-4790-becf-462f7c01e5de"/>
    <s v="консолидация кредитов"/>
    <s v="в аренде"/>
    <s v="долгосрочный"/>
    <x v="0"/>
    <b v="0"/>
    <n v="0.40050464502809957"/>
    <n v="0.83030303030303032"/>
    <n v="0.21462424360726137"/>
  </r>
  <r>
    <n v="677"/>
    <n v="0"/>
    <n v="54230"/>
    <n v="742"/>
    <n v="842859"/>
    <n v="22"/>
    <n v="9692.85"/>
    <n v="17.899999999999999"/>
    <n v="20"/>
    <n v="65436"/>
    <n v="190872"/>
    <x v="6"/>
    <s v="8ce48a9b-f9fe-4eb5-b400-220822b8660e"/>
    <s v="консолидация кредитов"/>
    <s v="в ипотеке"/>
    <s v="краткосрочный"/>
    <x v="0"/>
    <b v="0"/>
    <n v="4.2235348090377337E-2"/>
    <n v="0.94545454545454544"/>
    <n v="0.1379995942381822"/>
  </r>
  <r>
    <n v="678"/>
    <n v="0"/>
    <n v="64592"/>
    <n v="686"/>
    <n v="1299581"/>
    <n v="0"/>
    <n v="35197.120000000003"/>
    <n v="24.2"/>
    <n v="20"/>
    <n v="271111"/>
    <n v="527582"/>
    <x v="2"/>
    <s v="0ae12723-f0b0-42a7-aa49-a8253d1d3697"/>
    <s v="консолидация кредитов"/>
    <s v="в ипотеке"/>
    <s v="краткосрочный"/>
    <x v="1"/>
    <b v="0"/>
    <n v="5.5740337194632415E-2"/>
    <n v="0.60606060606060608"/>
    <n v="0.32500124270822672"/>
  </r>
  <r>
    <n v="679"/>
    <n v="0"/>
    <n v="152592"/>
    <n v="741"/>
    <n v="805790"/>
    <n v="0"/>
    <n v="10273.870000000001"/>
    <n v="14.7"/>
    <n v="16"/>
    <n v="307420"/>
    <n v="908050"/>
    <x v="0"/>
    <s v="bef198dc-af56-4a47-bbbf-e2164e0fd9ad"/>
    <s v="консолидация кредитов"/>
    <s v="в собственности"/>
    <s v="краткосрочный"/>
    <x v="0"/>
    <b v="0"/>
    <n v="0.17043238903543984"/>
    <n v="0.93939393939393945"/>
    <n v="0.15300070738033483"/>
  </r>
  <r>
    <n v="680"/>
    <n v="0"/>
    <n v="322520"/>
    <n v="709"/>
    <n v="1648896"/>
    <n v="0"/>
    <n v="29680.28"/>
    <n v="16.600000000000001"/>
    <n v="8"/>
    <n v="254828"/>
    <n v="337634"/>
    <x v="1"/>
    <s v="5a23a6b1-6292-47d4-a8f0-6743c97eb370"/>
    <s v="консолидация кредитов"/>
    <s v="в ипотеке"/>
    <s v="краткосрочный"/>
    <x v="1"/>
    <b v="0"/>
    <n v="0.39190274114003898"/>
    <n v="0.74545454545454548"/>
    <n v="0.21600110619469026"/>
  </r>
  <r>
    <n v="681"/>
    <n v="1"/>
    <n v="111914"/>
    <n v="701"/>
    <n v="1063183"/>
    <n v="0"/>
    <n v="7964.99"/>
    <n v="13.3"/>
    <n v="14"/>
    <n v="154508"/>
    <n v="586586"/>
    <x v="7"/>
    <s v="3ffb0266-65fa-410d-a65a-569ac504ec01"/>
    <s v="путешествие"/>
    <s v="в ипотеке"/>
    <s v="краткосрочный"/>
    <x v="0"/>
    <b v="0"/>
    <n v="0.11741598807202661"/>
    <n v="0.69696969696969702"/>
    <n v="8.9899744446628668E-2"/>
  </r>
  <r>
    <n v="682"/>
    <n v="0"/>
    <n v="237116"/>
    <n v="721"/>
    <n v="655310"/>
    <n v="74"/>
    <n v="6880.66"/>
    <n v="14.5"/>
    <n v="5"/>
    <n v="229026"/>
    <n v="328218"/>
    <x v="9"/>
    <s v="b9780ccd-cae9-4727-a002-1549fc0ac424"/>
    <s v="консолидация кредитов"/>
    <s v="в аренде"/>
    <s v="краткосрочный"/>
    <x v="0"/>
    <b v="0"/>
    <n v="0.28059410482853536"/>
    <n v="0.81818181818181823"/>
    <n v="0.12599826036532327"/>
  </r>
  <r>
    <n v="683"/>
    <n v="0"/>
    <n v="68112"/>
    <n v="723"/>
    <n v="1168044"/>
    <n v="0"/>
    <n v="956.46"/>
    <n v="8"/>
    <n v="4"/>
    <n v="18734"/>
    <n v="123904"/>
    <x v="5"/>
    <s v="76a0e6fc-cc80-4977-ac31-9248ece234b3"/>
    <s v="бизнес"/>
    <s v="в аренде"/>
    <s v="краткосрочный"/>
    <x v="0"/>
    <b v="0"/>
    <n v="6.0328019268264713E-2"/>
    <n v="0.83030303030303032"/>
    <n v="9.8262736677727901E-3"/>
  </r>
  <r>
    <n v="684"/>
    <n v="0"/>
    <n v="341550"/>
    <n v="682"/>
    <n v="823612"/>
    <n v="36"/>
    <n v="19149.150000000001"/>
    <n v="11.4"/>
    <n v="26"/>
    <n v="600153"/>
    <n v="769560"/>
    <x v="2"/>
    <s v="1b643740-54c8-493f-8bfe-b2d1645c3a19"/>
    <s v="консолидация кредитов"/>
    <s v="в аренде"/>
    <s v="краткосрочный"/>
    <x v="0"/>
    <b v="0"/>
    <n v="0.41670489735061361"/>
    <n v="0.58181818181818179"/>
    <n v="0.27900249146442746"/>
  </r>
  <r>
    <n v="685"/>
    <n v="0"/>
    <n v="671506"/>
    <n v="706"/>
    <n v="1784423"/>
    <n v="0"/>
    <n v="44610.48"/>
    <n v="22.8"/>
    <n v="14"/>
    <n v="548663"/>
    <n v="935660"/>
    <x v="1"/>
    <s v="4237e26b-6a82-4b5a-8906-51db1c66718c"/>
    <s v="консолидация кредитов"/>
    <s v="в ипотеке"/>
    <s v="краткосрочный"/>
    <x v="1"/>
    <b v="1"/>
    <n v="0.84674274572772101"/>
    <n v="0.72727272727272729"/>
    <n v="0.29999936113802617"/>
  </r>
  <r>
    <n v="686"/>
    <n v="0"/>
    <n v="279862"/>
    <n v="680"/>
    <n v="929575"/>
    <n v="18"/>
    <n v="6600.03"/>
    <n v="13.6"/>
    <n v="5"/>
    <n v="224143"/>
    <n v="286462"/>
    <x v="9"/>
    <s v="562b632e-fcc1-438a-9748-951e1d9867ce"/>
    <s v="консолидация кредитов"/>
    <s v="в аренде"/>
    <s v="краткосрочный"/>
    <x v="1"/>
    <b v="0"/>
    <n v="0.33630576901020759"/>
    <n v="0.5696969696969697"/>
    <n v="8.5200613183444046E-2"/>
  </r>
  <r>
    <n v="687"/>
    <n v="0"/>
    <n v="116072"/>
    <n v="723"/>
    <n v="1168044"/>
    <n v="14"/>
    <n v="10777.37"/>
    <n v="19.399999999999999"/>
    <n v="19"/>
    <n v="134729"/>
    <n v="496826"/>
    <x v="5"/>
    <s v="7a4cca06-82cf-4231-a48a-fc9f69262242"/>
    <s v="консолидация кредитов"/>
    <s v="в ипотеке"/>
    <s v="краткосрочный"/>
    <x v="0"/>
    <b v="0"/>
    <n v="0.12283518752150475"/>
    <n v="0.83030303030303032"/>
    <n v="0.11072223306656256"/>
  </r>
  <r>
    <n v="688"/>
    <n v="0"/>
    <n v="333212"/>
    <n v="692"/>
    <n v="959215"/>
    <n v="36"/>
    <n v="26698.23"/>
    <n v="17.399999999999999"/>
    <n v="9"/>
    <n v="616968"/>
    <n v="948706"/>
    <x v="1"/>
    <s v="c81a3693-b832-4a9a-bec0-722932d0ea54"/>
    <s v="консолидация кредитов"/>
    <s v="в аренде"/>
    <s v="долгосрочный"/>
    <x v="0"/>
    <b v="0"/>
    <n v="0.40583782543869712"/>
    <n v="0.64242424242424245"/>
    <n v="0.33400099039318609"/>
  </r>
  <r>
    <n v="689"/>
    <n v="0"/>
    <m/>
    <n v="709"/>
    <n v="1817996"/>
    <n v="9"/>
    <n v="17271"/>
    <n v="31.7"/>
    <n v="10"/>
    <n v="175427"/>
    <n v="365332"/>
    <x v="8"/>
    <s v="240579ce-b0d9-4d5d-9681-c9e38d7c638a"/>
    <s v="иное"/>
    <s v="в ипотеке"/>
    <s v="краткосрочный"/>
    <x v="0"/>
    <b v="0"/>
    <m/>
    <n v="0.74545454545454548"/>
    <n v="0.11400025082563439"/>
  </r>
  <r>
    <n v="690"/>
    <n v="0"/>
    <n v="208670"/>
    <n v="720"/>
    <n v="575130"/>
    <n v="55"/>
    <n v="12604.98"/>
    <n v="22.5"/>
    <n v="5"/>
    <n v="245746"/>
    <n v="353034"/>
    <x v="9"/>
    <s v="2b8ce339-04fe-4247-b357-fc1ea38eccf7"/>
    <s v="иное"/>
    <s v="в ипотеке"/>
    <s v="краткосрочный"/>
    <x v="1"/>
    <b v="0"/>
    <n v="0.24351989907099439"/>
    <n v="0.81212121212121213"/>
    <n v="0.26300099108027747"/>
  </r>
  <r>
    <n v="691"/>
    <n v="1"/>
    <n v="219692"/>
    <n v="734"/>
    <n v="1413524"/>
    <n v="51"/>
    <n v="11060.66"/>
    <n v="25.2"/>
    <n v="13"/>
    <n v="213712"/>
    <n v="899866"/>
    <x v="7"/>
    <s v="55df5dac-6c24-4b89-ba00-41b1d89c2258"/>
    <s v="консолидация кредитов"/>
    <s v="в аренде"/>
    <s v="краткосрочный"/>
    <x v="1"/>
    <b v="0"/>
    <n v="0.25788507856405551"/>
    <n v="0.89696969696969697"/>
    <n v="9.3898596698747241E-2"/>
  </r>
  <r>
    <n v="692"/>
    <n v="0"/>
    <m/>
    <n v="742"/>
    <n v="5972460"/>
    <n v="24"/>
    <n v="66194.67"/>
    <n v="34.200000000000003"/>
    <n v="28"/>
    <n v="368695"/>
    <n v="843678"/>
    <x v="1"/>
    <s v="cd840ed8-f67f-43da-98b8-228af20f19c6"/>
    <s v="консолидация кредитов"/>
    <s v="в ипотеке"/>
    <s v="краткосрочный"/>
    <x v="0"/>
    <b v="1"/>
    <m/>
    <n v="0.94545454545454544"/>
    <n v="0.1329998091238786"/>
  </r>
  <r>
    <n v="693"/>
    <n v="0"/>
    <n v="707872"/>
    <n v="713"/>
    <n v="2330749"/>
    <n v="0"/>
    <n v="40593.879999999997"/>
    <n v="25.5"/>
    <n v="10"/>
    <n v="876090"/>
    <n v="1172754"/>
    <x v="1"/>
    <s v="0de9ae4f-0669-45d4-97ad-5a71425ac218"/>
    <s v="консолидация кредитов"/>
    <s v="в ипотеке"/>
    <s v="долгосрочный"/>
    <x v="0"/>
    <b v="0"/>
    <n v="0.89413923615093471"/>
    <n v="0.76969696969696966"/>
    <n v="0.20900000815188591"/>
  </r>
  <r>
    <n v="694"/>
    <n v="0"/>
    <n v="77286"/>
    <n v="697"/>
    <n v="1964429"/>
    <n v="0"/>
    <n v="13489.24"/>
    <n v="16.7"/>
    <n v="7"/>
    <n v="128687"/>
    <n v="161260"/>
    <x v="1"/>
    <s v="a82ed54f-4dcb-4dea-aeaa-1676af5f6d88"/>
    <s v="медицинские препараты"/>
    <s v="в ипотеке"/>
    <s v="краткосрочный"/>
    <x v="1"/>
    <b v="0"/>
    <n v="7.2284665672668891E-2"/>
    <n v="0.67272727272727273"/>
    <n v="8.2400982677409057E-2"/>
  </r>
  <r>
    <n v="695"/>
    <n v="0"/>
    <n v="303380"/>
    <n v="723"/>
    <n v="1168044"/>
    <n v="13"/>
    <n v="56924.76"/>
    <n v="22.5"/>
    <n v="12"/>
    <n v="245575"/>
    <n v="653708"/>
    <x v="1"/>
    <s v="ceef9374-a4c3-4518-acf9-2a2fd38768ba"/>
    <s v="консолидация кредитов"/>
    <s v="в аренде"/>
    <s v="краткосрочный"/>
    <x v="0"/>
    <b v="1"/>
    <n v="0.3669572198646634"/>
    <n v="0.83030303030303032"/>
    <n v="0.58482139371462039"/>
  </r>
  <r>
    <n v="696"/>
    <n v="0"/>
    <n v="246774"/>
    <n v="746"/>
    <n v="968715"/>
    <n v="0"/>
    <n v="22684.1"/>
    <n v="15.4"/>
    <n v="10"/>
    <n v="349999"/>
    <n v="927366"/>
    <x v="5"/>
    <s v="ad4cef79-7205-4b52-b573-ed285926e547"/>
    <s v="консолидация кредитов"/>
    <s v="в аренде"/>
    <s v="краткосрочный"/>
    <x v="1"/>
    <b v="0"/>
    <n v="0.29318155751806402"/>
    <n v="0.96969696969696972"/>
    <n v="0.28100029420417766"/>
  </r>
  <r>
    <n v="697"/>
    <n v="0"/>
    <n v="265694"/>
    <n v="739"/>
    <n v="655633"/>
    <n v="0"/>
    <n v="12620.75"/>
    <n v="32.9"/>
    <n v="13"/>
    <n v="427652"/>
    <n v="868736"/>
    <x v="1"/>
    <s v="de78587a-56e8-495c-9a23-a2921b1f803d"/>
    <s v="консолидация кредитов"/>
    <s v="в собственности"/>
    <s v="краткосрочный"/>
    <x v="0"/>
    <b v="0"/>
    <n v="0.31784034866383759"/>
    <n v="0.92727272727272725"/>
    <n v="0.23099660938360331"/>
  </r>
  <r>
    <n v="698"/>
    <n v="1"/>
    <n v="265738"/>
    <n v="723"/>
    <n v="1168044"/>
    <n v="81"/>
    <n v="11153.95"/>
    <n v="14"/>
    <n v="11"/>
    <n v="196669"/>
    <n v="393976"/>
    <x v="7"/>
    <s v="858a7ef5-165d-4667-84ea-6d2e8bfedc15"/>
    <s v="консолидация кредитов"/>
    <s v="в ипотеке"/>
    <s v="краткосрочный"/>
    <x v="0"/>
    <b v="0"/>
    <n v="0.31789769468975798"/>
    <n v="0.83030303030303032"/>
    <n v="0.11459105992582472"/>
  </r>
  <r>
    <n v="699"/>
    <n v="0"/>
    <n v="288420"/>
    <n v="687"/>
    <n v="1286490"/>
    <n v="0"/>
    <n v="4373.99"/>
    <n v="12.2"/>
    <n v="6"/>
    <n v="109459"/>
    <n v="278564"/>
    <x v="5"/>
    <s v="644c8a1d-3e59-4cbf-9fc1-238399b28477"/>
    <s v="консолидация кредитов"/>
    <s v="в аренде"/>
    <s v="долгосрочный"/>
    <x v="1"/>
    <b v="0"/>
    <n v="0.34745957105172609"/>
    <n v="0.61212121212121207"/>
    <n v="4.0799291094373059E-2"/>
  </r>
  <r>
    <n v="700"/>
    <n v="0"/>
    <n v="787336"/>
    <n v="723"/>
    <n v="1168044"/>
    <n v="25"/>
    <n v="17259.03"/>
    <n v="19.3"/>
    <n v="8"/>
    <n v="282055"/>
    <n v="713064"/>
    <x v="0"/>
    <s v="0021712b-ea5a-4478-80e7-4789321f830a"/>
    <s v="консолидация кредитов"/>
    <s v="в ипотеке"/>
    <s v="долгосрочный"/>
    <x v="1"/>
    <b v="0"/>
    <n v="0.99770615896318382"/>
    <n v="0.83030303030303032"/>
    <n v="0.17731212180363068"/>
  </r>
  <r>
    <n v="701"/>
    <n v="0"/>
    <n v="271700"/>
    <n v="696"/>
    <n v="675298"/>
    <n v="57"/>
    <n v="14293.89"/>
    <n v="24.5"/>
    <n v="14"/>
    <n v="272916"/>
    <n v="673772"/>
    <x v="8"/>
    <s v="3463ebf8-6567-4a00-a378-51cd39c932b1"/>
    <s v="бизнес"/>
    <s v="в аренде"/>
    <s v="краткосрочный"/>
    <x v="1"/>
    <b v="0"/>
    <n v="0.32566808120197271"/>
    <n v="0.66666666666666663"/>
    <n v="0.25400146305779076"/>
  </r>
  <r>
    <n v="702"/>
    <n v="0"/>
    <n v="449768"/>
    <n v="737"/>
    <n v="2913270"/>
    <n v="22"/>
    <n v="23913.02"/>
    <n v="23.4"/>
    <n v="11"/>
    <n v="499681"/>
    <n v="690448"/>
    <x v="2"/>
    <s v="8f6929dc-88b1-4b8c-a87f-e1e4457c60dd"/>
    <s v="консолидация кредитов"/>
    <s v="в ипотеке"/>
    <s v="краткосрочный"/>
    <x v="0"/>
    <b v="0"/>
    <n v="0.55774744810184651"/>
    <n v="0.91515151515151516"/>
    <n v="9.8499706515359026E-2"/>
  </r>
  <r>
    <n v="703"/>
    <n v="3"/>
    <m/>
    <n v="700"/>
    <n v="1663906"/>
    <n v="61"/>
    <n v="33694.03"/>
    <n v="18.899999999999999"/>
    <n v="9"/>
    <n v="107141"/>
    <n v="275704"/>
    <x v="6"/>
    <s v="0fd78fa8-8d1b-4c3d-a3f1-4ce161b1a2da"/>
    <s v="консолидация кредитов"/>
    <s v="в ипотеке"/>
    <s v="краткосрочный"/>
    <x v="0"/>
    <b v="0"/>
    <m/>
    <n v="0.69090909090909092"/>
    <n v="0.2429995204055998"/>
  </r>
  <r>
    <n v="704"/>
    <n v="0"/>
    <n v="222684"/>
    <n v="707"/>
    <n v="1634703"/>
    <n v="8"/>
    <n v="28198.66"/>
    <n v="29.2"/>
    <n v="22"/>
    <n v="565782"/>
    <n v="843128"/>
    <x v="1"/>
    <s v="823293b1-6fea-4db4-b406-2d68e574715b"/>
    <s v="бизнес"/>
    <s v="в ипотеке"/>
    <s v="краткосрочный"/>
    <x v="0"/>
    <b v="0"/>
    <n v="0.26178460832664296"/>
    <n v="0.73333333333333328"/>
    <n v="0.2070002440810349"/>
  </r>
  <r>
    <n v="705"/>
    <n v="0"/>
    <n v="196196"/>
    <n v="739"/>
    <n v="378632"/>
    <n v="0"/>
    <n v="2120.4"/>
    <n v="6.8"/>
    <n v="3"/>
    <n v="80028"/>
    <n v="188320"/>
    <x v="9"/>
    <s v="780a5a3e-61e6-4473-b00d-a4109f2361a6"/>
    <s v="консолидация кредитов"/>
    <s v="в ипотеке"/>
    <s v="краткосрочный"/>
    <x v="0"/>
    <b v="0"/>
    <n v="0.22726230072255993"/>
    <n v="0.92727272727272725"/>
    <n v="6.7201926936973105E-2"/>
  </r>
  <r>
    <n v="706"/>
    <n v="0"/>
    <n v="219538"/>
    <n v="751"/>
    <n v="1611618"/>
    <n v="0"/>
    <n v="11603.49"/>
    <n v="21"/>
    <n v="9"/>
    <n v="79572"/>
    <n v="662882"/>
    <x v="1"/>
    <s v="7d91c943-f6f8-45e9-aedc-cdcddf7401dd"/>
    <s v="иное"/>
    <s v="в ипотеке"/>
    <s v="краткосрочный"/>
    <x v="1"/>
    <b v="0"/>
    <n v="0.25768436747333412"/>
    <n v="1"/>
    <n v="8.6398811629058492E-2"/>
  </r>
  <r>
    <n v="707"/>
    <n v="0"/>
    <n v="297902"/>
    <n v="713"/>
    <n v="808317"/>
    <n v="0"/>
    <n v="14482.56"/>
    <n v="21"/>
    <n v="12"/>
    <n v="232560"/>
    <n v="359524"/>
    <x v="0"/>
    <s v="2a77ea34-2350-483d-a390-c76268532c1c"/>
    <s v="бизнес"/>
    <s v="в ипотеке"/>
    <s v="краткосрочный"/>
    <x v="0"/>
    <b v="0"/>
    <n v="0.35981763963757313"/>
    <n v="0.76969696969696966"/>
    <n v="0.21500317325999577"/>
  </r>
  <r>
    <n v="708"/>
    <n v="0"/>
    <n v="394548"/>
    <n v="723"/>
    <n v="1168044"/>
    <n v="23"/>
    <n v="30443.13"/>
    <n v="20.100000000000001"/>
    <n v="12"/>
    <n v="357523"/>
    <n v="810128"/>
    <x v="1"/>
    <s v="8d5a2ca0-943a-46a9-8b29-cffee22436c4"/>
    <s v="консолидация кредитов"/>
    <s v="в ипотеке"/>
    <s v="краткосрочный"/>
    <x v="0"/>
    <b v="0"/>
    <n v="0.48577818557173985"/>
    <n v="0.83030303030303032"/>
    <n v="0.31276010150302558"/>
  </r>
  <r>
    <n v="709"/>
    <n v="0"/>
    <n v="322300"/>
    <n v="733"/>
    <n v="891480"/>
    <n v="11"/>
    <n v="23772.799999999999"/>
    <n v="22.6"/>
    <n v="11"/>
    <n v="53827"/>
    <n v="214918"/>
    <x v="5"/>
    <s v="9f62fff8-b67f-4ba1-be06-1c9af63cfe52"/>
    <s v="консолидация кредитов"/>
    <s v="в ипотеке"/>
    <s v="краткосрочный"/>
    <x v="1"/>
    <b v="0"/>
    <n v="0.39161601101043697"/>
    <n v="0.89090909090909087"/>
    <n v="0.32"/>
  </r>
  <r>
    <n v="710"/>
    <n v="0"/>
    <n v="208604"/>
    <n v="723"/>
    <n v="1168044"/>
    <n v="0"/>
    <n v="20384.91"/>
    <n v="17.600000000000001"/>
    <n v="11"/>
    <n v="358720"/>
    <n v="553828"/>
    <x v="5"/>
    <s v="99448ea6-a7c8-4977-a08c-69bc343985a7"/>
    <s v="консолидация кредитов"/>
    <s v="в ипотеке"/>
    <s v="краткосрочный"/>
    <x v="1"/>
    <b v="0"/>
    <n v="0.24343388003211378"/>
    <n v="0.83030303030303032"/>
    <n v="0.2094261175092719"/>
  </r>
  <r>
    <n v="711"/>
    <n v="0"/>
    <m/>
    <n v="738"/>
    <n v="1981529"/>
    <n v="27"/>
    <n v="37649.07"/>
    <n v="32.6"/>
    <n v="19"/>
    <n v="452618"/>
    <n v="1000142"/>
    <x v="1"/>
    <s v="f7711fe4-6384-4ad3-8604-fb8ebf0c527c"/>
    <s v="консолидация кредитов"/>
    <s v="в ипотеке"/>
    <s v="краткосрочный"/>
    <x v="0"/>
    <b v="0"/>
    <m/>
    <n v="0.92121212121212126"/>
    <n v="0.22800011506266121"/>
  </r>
  <r>
    <n v="712"/>
    <n v="0"/>
    <n v="407132"/>
    <n v="668"/>
    <n v="1233765"/>
    <n v="0"/>
    <n v="2868.62"/>
    <n v="12.4"/>
    <n v="12"/>
    <n v="38589"/>
    <n v="312466"/>
    <x v="2"/>
    <s v="839089ec-b35d-460c-b623-da93ffb39960"/>
    <s v="приобретение автомобиля"/>
    <s v="в аренде"/>
    <s v="долгосрочный"/>
    <x v="0"/>
    <b v="0"/>
    <n v="0.50217914898497529"/>
    <n v="0.49696969696969695"/>
    <n v="2.7901131901131901E-2"/>
  </r>
  <r>
    <n v="713"/>
    <n v="0"/>
    <n v="82610"/>
    <n v="723"/>
    <n v="1168044"/>
    <n v="0"/>
    <n v="7767.2"/>
    <n v="22.2"/>
    <n v="4"/>
    <n v="48108"/>
    <n v="216766"/>
    <x v="1"/>
    <s v="7fff04e9-478b-4da3-acfd-6a5c0f949ddb"/>
    <s v="консолидация кредитов"/>
    <s v="в аренде"/>
    <s v="краткосрочный"/>
    <x v="0"/>
    <b v="0"/>
    <n v="7.9223534809037738E-2"/>
    <n v="0.83030303030303032"/>
    <n v="7.9796993948858086E-2"/>
  </r>
  <r>
    <n v="714"/>
    <n v="0"/>
    <n v="357588"/>
    <n v="739"/>
    <n v="1374650"/>
    <n v="29"/>
    <n v="19015.96"/>
    <n v="17.5"/>
    <n v="12"/>
    <n v="88616"/>
    <n v="190014"/>
    <x v="5"/>
    <s v="d103a2d9-3534-4715-b33d-458f45697a66"/>
    <s v="консолидация кредитов"/>
    <s v="в аренде"/>
    <s v="краткосрочный"/>
    <x v="1"/>
    <b v="0"/>
    <n v="0.43760752379860074"/>
    <n v="0.92727272727272725"/>
    <n v="0.1659997235659986"/>
  </r>
  <r>
    <n v="715"/>
    <n v="0"/>
    <n v="128942"/>
    <n v="712"/>
    <n v="1633202"/>
    <n v="9"/>
    <n v="44505.03"/>
    <n v="21.2"/>
    <n v="13"/>
    <n v="72884"/>
    <n v="120384"/>
    <x v="1"/>
    <s v="e6446832-189d-488a-a695-a9589b523962"/>
    <s v="консолидация кредитов"/>
    <s v="в ипотеке"/>
    <s v="краткосрочный"/>
    <x v="0"/>
    <b v="1"/>
    <n v="0.13960890010322285"/>
    <n v="0.76363636363636367"/>
    <n v="0.32700202424439845"/>
  </r>
  <r>
    <n v="716"/>
    <n v="0"/>
    <n v="223168"/>
    <n v="707"/>
    <n v="819128"/>
    <n v="0"/>
    <n v="17338.07"/>
    <n v="20.5"/>
    <n v="21"/>
    <n v="147972"/>
    <n v="176264"/>
    <x v="5"/>
    <s v="a77fcfef-91ab-400b-89ec-4b18e66301be"/>
    <s v="консолидация кредитов"/>
    <s v="в аренде"/>
    <s v="краткосрочный"/>
    <x v="0"/>
    <b v="0"/>
    <n v="0.26241541461176743"/>
    <n v="0.73333333333333328"/>
    <n v="0.25399795880497306"/>
  </r>
  <r>
    <n v="717"/>
    <n v="0"/>
    <n v="214940"/>
    <n v="727"/>
    <n v="1095217"/>
    <n v="69"/>
    <n v="11435.91"/>
    <n v="27.9"/>
    <n v="6"/>
    <n v="181773"/>
    <n v="313654"/>
    <x v="3"/>
    <s v="25647df0-688c-4181-948b-d2d6d3277e1c"/>
    <s v="консолидация кредитов"/>
    <s v="в ипотеке"/>
    <s v="краткосрочный"/>
    <x v="1"/>
    <b v="0"/>
    <n v="0.25169170776465188"/>
    <n v="0.8545454545454545"/>
    <n v="0.12530020991273877"/>
  </r>
  <r>
    <n v="718"/>
    <n v="0"/>
    <n v="698742"/>
    <n v="723"/>
    <n v="1168044"/>
    <n v="0"/>
    <n v="22817.29"/>
    <n v="14.7"/>
    <n v="10"/>
    <n v="447317"/>
    <n v="824736"/>
    <x v="0"/>
    <s v="3f8e5612-feb2-4743-8b6a-7beb018ad41c"/>
    <s v="консолидация кредитов"/>
    <s v="в ипотеке"/>
    <s v="долгосрочный"/>
    <x v="0"/>
    <b v="0"/>
    <n v="0.88223993577245097"/>
    <n v="0.83030303030303032"/>
    <n v="0.23441538161233652"/>
  </r>
  <r>
    <n v="719"/>
    <n v="0"/>
    <n v="174306"/>
    <n v="723"/>
    <n v="1168044"/>
    <n v="24"/>
    <n v="7113.03"/>
    <n v="19.399999999999999"/>
    <n v="10"/>
    <n v="103208"/>
    <n v="156838"/>
    <x v="4"/>
    <s v="d2e7d8bf-d1ad-40b3-9d17-45e0aa8fcb9b"/>
    <s v="бизнес"/>
    <s v="в аренде"/>
    <s v="краткосрочный"/>
    <x v="1"/>
    <b v="0"/>
    <n v="0.19873265282715907"/>
    <n v="0.83030303030303032"/>
    <n v="7.3076322467304305E-2"/>
  </r>
  <r>
    <n v="720"/>
    <n v="0"/>
    <n v="434016"/>
    <n v="723"/>
    <n v="1168044"/>
    <n v="21"/>
    <n v="36280.5"/>
    <n v="26.1"/>
    <n v="10"/>
    <n v="1194188"/>
    <n v="1632532"/>
    <x v="1"/>
    <s v="53049afb-6bac-44f9-91b4-ba3f7e263920"/>
    <s v="консолидация кредитов"/>
    <s v="в ипотеке"/>
    <s v="краткосрочный"/>
    <x v="0"/>
    <b v="0"/>
    <n v="0.53721757082234201"/>
    <n v="0.83030303030303032"/>
    <n v="0.37273082178411088"/>
  </r>
  <r>
    <n v="721"/>
    <n v="0"/>
    <n v="393668"/>
    <n v="723"/>
    <n v="1168044"/>
    <n v="0"/>
    <n v="30908.44"/>
    <n v="17.600000000000001"/>
    <n v="15"/>
    <n v="492290"/>
    <n v="708994"/>
    <x v="1"/>
    <s v="d387058f-3b39-48ab-9eea-10e3c70ede07"/>
    <s v="консолидация кредитов"/>
    <s v="в аренде"/>
    <s v="краткосрочный"/>
    <x v="0"/>
    <b v="0"/>
    <n v="0.48463126505333182"/>
    <n v="0.83030303030303032"/>
    <n v="0.31754050361116531"/>
  </r>
  <r>
    <n v="722"/>
    <n v="2"/>
    <n v="216128"/>
    <n v="715"/>
    <n v="1175929"/>
    <n v="0"/>
    <n v="15483.1"/>
    <n v="32.299999999999997"/>
    <n v="12"/>
    <n v="137332"/>
    <n v="255222"/>
    <x v="3"/>
    <s v="cf1765cc-be60-4fe6-8b18-249245fa037a"/>
    <s v="консолидация кредитов"/>
    <s v="в ипотеке"/>
    <s v="краткосрочный"/>
    <x v="0"/>
    <b v="0"/>
    <n v="0.25324005046450282"/>
    <n v="0.78181818181818186"/>
    <n v="0.15800035546363769"/>
  </r>
  <r>
    <n v="723"/>
    <n v="1"/>
    <n v="246202"/>
    <n v="720"/>
    <n v="1404879"/>
    <n v="36"/>
    <n v="13112.28"/>
    <n v="16.600000000000001"/>
    <n v="7"/>
    <n v="171570"/>
    <n v="309914"/>
    <x v="0"/>
    <s v="f8e19364-1e97-4ceb-9054-1145091a633f"/>
    <s v="консолидация кредитов"/>
    <s v="в аренде"/>
    <s v="краткосрочный"/>
    <x v="0"/>
    <b v="0"/>
    <n v="0.29243605918109877"/>
    <n v="0.81212121212121213"/>
    <n v="0.11200064916622714"/>
  </r>
  <r>
    <n v="724"/>
    <n v="1"/>
    <n v="105798"/>
    <n v="722"/>
    <n v="628197"/>
    <n v="0"/>
    <n v="10312.82"/>
    <n v="14.5"/>
    <n v="14"/>
    <n v="149568"/>
    <n v="548042"/>
    <x v="9"/>
    <s v="a0bbfba5-c0a0-44b9-9ac2-e6404bd6607b"/>
    <s v="консолидация кредитов"/>
    <s v="в аренде"/>
    <s v="краткосрочный"/>
    <x v="0"/>
    <b v="0"/>
    <n v="0.10944489046909049"/>
    <n v="0.82424242424242422"/>
    <n v="0.19699845749024589"/>
  </r>
  <r>
    <n v="725"/>
    <n v="0"/>
    <n v="66638"/>
    <n v="723"/>
    <n v="1168044"/>
    <n v="0"/>
    <n v="11203.54"/>
    <n v="8.9"/>
    <n v="10"/>
    <n v="126027"/>
    <n v="173316"/>
    <x v="9"/>
    <s v="b3b7b6af-f415-41bc-879c-45b4d8566c36"/>
    <s v="консолидация кредитов"/>
    <s v="в аренде"/>
    <s v="краткосрочный"/>
    <x v="0"/>
    <b v="0"/>
    <n v="5.8406927399931183E-2"/>
    <n v="0.83030303030303032"/>
    <n v="0.11510052703494048"/>
  </r>
  <r>
    <n v="726"/>
    <n v="0"/>
    <m/>
    <n v="741"/>
    <n v="1028698"/>
    <n v="0"/>
    <n v="15258.9"/>
    <n v="9.5"/>
    <n v="17"/>
    <n v="157529"/>
    <n v="413600"/>
    <x v="8"/>
    <s v="af81a0bf-85b7-42b3-9e6c-bb3f4c5f89a3"/>
    <s v="консолидация кредитов"/>
    <s v="в собственности"/>
    <s v="краткосрочный"/>
    <x v="0"/>
    <b v="0"/>
    <m/>
    <n v="0.93939393939393945"/>
    <n v="0.17799859628384618"/>
  </r>
  <r>
    <n v="727"/>
    <n v="0"/>
    <n v="423214"/>
    <n v="718"/>
    <n v="1186949"/>
    <n v="57"/>
    <n v="25222.5"/>
    <n v="10.6"/>
    <n v="14"/>
    <n v="327484"/>
    <n v="820754"/>
    <x v="9"/>
    <s v="7420fe92-229c-4643-a3ad-4d12ce7c1f6d"/>
    <s v="консолидация кредитов"/>
    <s v="в аренде"/>
    <s v="краткосрочный"/>
    <x v="1"/>
    <b v="0"/>
    <n v="0.52313912145888286"/>
    <n v="0.8"/>
    <n v="0.25499831922011812"/>
  </r>
  <r>
    <n v="728"/>
    <n v="0"/>
    <n v="188298"/>
    <n v="723"/>
    <n v="1281778"/>
    <n v="31"/>
    <n v="21790.34"/>
    <n v="23.9"/>
    <n v="14"/>
    <n v="161063"/>
    <n v="409882"/>
    <x v="6"/>
    <s v="5e255085-de6f-4e39-b35e-c1a86231d357"/>
    <s v="консолидация кредитов"/>
    <s v="в аренде"/>
    <s v="краткосрочный"/>
    <x v="0"/>
    <b v="0"/>
    <n v="0.21696868906984745"/>
    <n v="0.83030303030303032"/>
    <n v="0.20400106726749875"/>
  </r>
  <r>
    <n v="729"/>
    <n v="0"/>
    <n v="111122"/>
    <n v="693"/>
    <n v="767752"/>
    <n v="0"/>
    <n v="4184.18"/>
    <n v="10.1"/>
    <n v="3"/>
    <n v="35701"/>
    <n v="86658"/>
    <x v="8"/>
    <s v="106c85d5-cdf6-4323-99d3-22d993aaecd0"/>
    <s v="бизнес"/>
    <s v="в аренде"/>
    <s v="краткосрочный"/>
    <x v="1"/>
    <b v="0"/>
    <n v="0.11638375960545934"/>
    <n v="0.64848484848484844"/>
    <n v="6.5398930904771335E-2"/>
  </r>
  <r>
    <n v="730"/>
    <n v="0"/>
    <n v="259270"/>
    <n v="741"/>
    <n v="1306193"/>
    <n v="0"/>
    <n v="33090.21"/>
    <n v="21"/>
    <n v="10"/>
    <n v="498579"/>
    <n v="607046"/>
    <x v="1"/>
    <s v="2158463f-c6e7-4985-86ea-c38e06b924f7"/>
    <s v="консолидация кредитов"/>
    <s v="в ипотеке"/>
    <s v="краткосрочный"/>
    <x v="0"/>
    <b v="0"/>
    <n v="0.30946782887945867"/>
    <n v="0.93939393939393945"/>
    <n v="0.30399988363128572"/>
  </r>
  <r>
    <n v="731"/>
    <n v="0"/>
    <n v="178948"/>
    <n v="740"/>
    <n v="1352344"/>
    <n v="14"/>
    <n v="25581.98"/>
    <n v="17.899999999999999"/>
    <n v="10"/>
    <n v="79952"/>
    <n v="183304"/>
    <x v="2"/>
    <s v="064d7dae-46be-46c8-b635-459f33cc3b3a"/>
    <s v="иное"/>
    <s v="в аренде"/>
    <s v="краткосрочный"/>
    <x v="1"/>
    <b v="0"/>
    <n v="0.20478265856176167"/>
    <n v="0.93333333333333335"/>
    <n v="0.22700123637181072"/>
  </r>
  <r>
    <n v="732"/>
    <n v="1"/>
    <n v="217338"/>
    <n v="704"/>
    <n v="2721674"/>
    <n v="10"/>
    <n v="29257.91"/>
    <n v="18.600000000000001"/>
    <n v="7"/>
    <n v="160493"/>
    <n v="239162"/>
    <x v="1"/>
    <s v="e6f03157-2859-413f-b8e4-039707805c4b"/>
    <s v="консолидация кредитов"/>
    <s v="в аренде"/>
    <s v="краткосрочный"/>
    <x v="0"/>
    <b v="0"/>
    <n v="0.25481706617731392"/>
    <n v="0.7151515151515152"/>
    <n v="0.12899962302612289"/>
  </r>
  <r>
    <n v="733"/>
    <n v="0"/>
    <n v="263362"/>
    <n v="731"/>
    <n v="614118"/>
    <n v="0"/>
    <n v="8300.91"/>
    <n v="14.1"/>
    <n v="8"/>
    <n v="158213"/>
    <n v="380050"/>
    <x v="5"/>
    <s v="f04a5152-3154-426b-8647-4f9ce778f861"/>
    <s v="консолидация кредитов"/>
    <s v="в аренде"/>
    <s v="долгосрочный"/>
    <x v="1"/>
    <b v="0"/>
    <n v="0.31480100929005622"/>
    <n v="0.87878787878787878"/>
    <n v="0.16220159643586413"/>
  </r>
  <r>
    <n v="734"/>
    <n v="0"/>
    <n v="395846"/>
    <n v="751"/>
    <n v="3228708"/>
    <n v="0"/>
    <n v="31749"/>
    <n v="18.2"/>
    <n v="13"/>
    <n v="817589"/>
    <n v="2674232"/>
    <x v="10"/>
    <s v="057a4126-5b06-4b0a-8d3e-37c272cd2003"/>
    <s v="консолидация кредитов"/>
    <s v="в ипотеке"/>
    <s v="краткосрочный"/>
    <x v="0"/>
    <b v="0"/>
    <n v="0.48746989333639179"/>
    <n v="1"/>
    <n v="0.11800014123296378"/>
  </r>
  <r>
    <n v="735"/>
    <n v="0"/>
    <n v="560010"/>
    <n v="719"/>
    <n v="5701140"/>
    <n v="0"/>
    <n v="24942.44"/>
    <n v="8.4"/>
    <n v="9"/>
    <n v="76893"/>
    <n v="436414"/>
    <x v="6"/>
    <s v="c49e61bf-8cee-4519-9de4-84ca2499a87c"/>
    <s v="ремонт жилья"/>
    <s v="в ипотеке"/>
    <s v="долгосрочный"/>
    <x v="0"/>
    <b v="0"/>
    <n v="0.7014279160454181"/>
    <n v="0.80606060606060603"/>
    <n v="5.2499900019996E-2"/>
  </r>
  <r>
    <n v="736"/>
    <n v="0"/>
    <n v="287408"/>
    <n v="699"/>
    <n v="992845"/>
    <n v="0"/>
    <n v="6014.83"/>
    <n v="8"/>
    <n v="7"/>
    <n v="93005"/>
    <n v="192302"/>
    <x v="10"/>
    <s v="0f002804-4b3c-4ab3-a5ad-331f1548ca2c"/>
    <s v="консолидация кредитов"/>
    <s v="в аренде"/>
    <s v="краткосрочный"/>
    <x v="0"/>
    <b v="0"/>
    <n v="0.34614061245555683"/>
    <n v="0.68484848484848482"/>
    <n v="7.2698115012917425E-2"/>
  </r>
  <r>
    <n v="737"/>
    <n v="0"/>
    <n v="623436"/>
    <n v="723"/>
    <n v="1168044"/>
    <n v="0"/>
    <n v="17820.099999999999"/>
    <n v="15"/>
    <n v="27"/>
    <n v="448647"/>
    <n v="630454"/>
    <x v="5"/>
    <s v="1a445b1c-32a7-49c6-82a0-3e9742e02635"/>
    <s v="консолидация кредитов"/>
    <s v="в аренде"/>
    <s v="краткосрочный"/>
    <x v="1"/>
    <b v="0"/>
    <n v="0.78409221240967997"/>
    <n v="0.83030303030303032"/>
    <n v="0.18307632246730429"/>
  </r>
  <r>
    <n v="738"/>
    <n v="1"/>
    <n v="259820"/>
    <n v="723"/>
    <n v="1168044"/>
    <n v="0"/>
    <n v="19026.98"/>
    <n v="9.9"/>
    <n v="8"/>
    <n v="181678"/>
    <n v="385308"/>
    <x v="4"/>
    <s v="d5a5f0e6-8396-4647-be2b-62765db34da4"/>
    <s v="консолидация кредитов"/>
    <s v="в аренде"/>
    <s v="краткосрочный"/>
    <x v="0"/>
    <b v="0"/>
    <n v="0.31018465420346369"/>
    <n v="0.83030303030303032"/>
    <n v="0.19547530743704861"/>
  </r>
  <r>
    <n v="739"/>
    <n v="0"/>
    <n v="107998"/>
    <n v="750"/>
    <n v="634182"/>
    <n v="0"/>
    <n v="14210.86"/>
    <n v="18.8"/>
    <n v="21"/>
    <n v="9177"/>
    <n v="2125178"/>
    <x v="5"/>
    <s v="b6c081e1-9fd8-41c2-ae40-166c03119b91"/>
    <s v="консолидация кредитов"/>
    <s v="в аренде"/>
    <s v="краткосрочный"/>
    <x v="0"/>
    <b v="0"/>
    <n v="0.11231219176511067"/>
    <n v="0.9939393939393939"/>
    <n v="0.26889807657738629"/>
  </r>
  <r>
    <n v="740"/>
    <n v="0"/>
    <n v="450912"/>
    <n v="717"/>
    <n v="1168272"/>
    <n v="0"/>
    <n v="19568.48"/>
    <n v="7.6"/>
    <n v="8"/>
    <n v="144780"/>
    <n v="315722"/>
    <x v="6"/>
    <s v="fb5343f3-f71f-470e-ac14-789b902c6a88"/>
    <s v="консолидация кредитов"/>
    <s v="в аренде"/>
    <s v="долгосрочный"/>
    <x v="1"/>
    <b v="0"/>
    <n v="0.559238444775777"/>
    <n v="0.79393939393939394"/>
    <n v="0.20099921935987508"/>
  </r>
  <r>
    <n v="741"/>
    <n v="0"/>
    <n v="225808"/>
    <n v="723"/>
    <n v="1168044"/>
    <n v="43"/>
    <n v="5552.18"/>
    <n v="32.1"/>
    <n v="9"/>
    <n v="189449"/>
    <n v="753786"/>
    <x v="6"/>
    <s v="cc698d70-1b24-4b4a-b886-e835a29e22a3"/>
    <s v="консолидация кредитов"/>
    <s v="в аренде"/>
    <s v="краткосрочный"/>
    <x v="0"/>
    <b v="0"/>
    <n v="0.26585617616699164"/>
    <n v="0.83030303030303032"/>
    <n v="5.704079640835448E-2"/>
  </r>
  <r>
    <n v="742"/>
    <n v="0"/>
    <n v="182028"/>
    <n v="723"/>
    <n v="655025"/>
    <n v="0"/>
    <n v="20251.150000000001"/>
    <n v="5"/>
    <n v="5"/>
    <n v="134045"/>
    <n v="257818"/>
    <x v="3"/>
    <s v="716d4bf3-6479-428d-9979-904aaf7a453c"/>
    <s v="консолидация кредитов"/>
    <s v="в аренде"/>
    <s v="краткосрочный"/>
    <x v="0"/>
    <b v="0"/>
    <n v="0.20879688037618993"/>
    <n v="0.83030303030303032"/>
    <n v="0.37099927483683831"/>
  </r>
  <r>
    <n v="743"/>
    <n v="0"/>
    <n v="448184"/>
    <n v="723"/>
    <n v="1168044"/>
    <n v="0"/>
    <n v="22256.41"/>
    <n v="12.8"/>
    <n v="14"/>
    <n v="352564"/>
    <n v="459206"/>
    <x v="3"/>
    <s v="00fa638b-e857-458f-a849-f76e374cc2c3"/>
    <s v="консолидация кредитов"/>
    <s v="в ипотеке"/>
    <s v="краткосрочный"/>
    <x v="0"/>
    <b v="0"/>
    <n v="0.555682991168712"/>
    <n v="0.83030303030303032"/>
    <n v="0.22865313292992387"/>
  </r>
  <r>
    <n v="744"/>
    <n v="0"/>
    <n v="219604"/>
    <n v="723"/>
    <n v="1168044"/>
    <n v="53"/>
    <n v="9843.33"/>
    <n v="21.9"/>
    <n v="11"/>
    <n v="111245"/>
    <n v="326942"/>
    <x v="4"/>
    <s v="379e73c5-b1e9-4d58-b345-84f54fe43385"/>
    <s v="консолидация кредитов"/>
    <s v="в ипотеке"/>
    <s v="краткосрочный"/>
    <x v="1"/>
    <b v="0"/>
    <n v="0.25777038651221468"/>
    <n v="0.83030303030303032"/>
    <n v="0.1011262931875854"/>
  </r>
  <r>
    <n v="745"/>
    <n v="0"/>
    <m/>
    <n v="723"/>
    <n v="9057984"/>
    <n v="4"/>
    <n v="105676.48"/>
    <n v="23.1"/>
    <n v="15"/>
    <n v="149720"/>
    <n v="912428"/>
    <x v="5"/>
    <s v="1a7a407e-f91c-44ea-80ed-f5f4f890a394"/>
    <s v="консолидация кредитов"/>
    <s v="в ипотеке"/>
    <s v="краткосрочный"/>
    <x v="0"/>
    <b v="1"/>
    <m/>
    <n v="0.83030303030303032"/>
    <n v="0.13999999999999999"/>
  </r>
  <r>
    <n v="746"/>
    <n v="0"/>
    <n v="214764"/>
    <n v="730"/>
    <n v="983041"/>
    <n v="43"/>
    <n v="12697.51"/>
    <n v="13.4"/>
    <n v="19"/>
    <n v="209741"/>
    <n v="527956"/>
    <x v="2"/>
    <s v="f4649e39-0bda-4aee-a665-18d1ea6cf9e7"/>
    <s v="консолидация кредитов"/>
    <s v="в аренде"/>
    <s v="краткосрочный"/>
    <x v="0"/>
    <b v="0"/>
    <n v="0.25146232366097032"/>
    <n v="0.87272727272727268"/>
    <n v="0.15499874369431185"/>
  </r>
  <r>
    <n v="747"/>
    <n v="0"/>
    <n v="320078"/>
    <n v="723"/>
    <n v="1168044"/>
    <n v="15"/>
    <n v="11364.85"/>
    <n v="19.100000000000001"/>
    <n v="12"/>
    <n v="393015"/>
    <n v="770000"/>
    <x v="1"/>
    <s v="110c1914-53e0-4639-8773-32d128ca6116"/>
    <s v="консолидация кредитов"/>
    <s v="в ипотеке"/>
    <s v="краткосрочный"/>
    <x v="0"/>
    <b v="0"/>
    <n v="0.38872003670145661"/>
    <n v="0.83030303030303032"/>
    <n v="0.11675775912551239"/>
  </r>
  <r>
    <n v="748"/>
    <n v="0"/>
    <n v="175956"/>
    <n v="749"/>
    <n v="664867"/>
    <n v="0"/>
    <n v="13962.15"/>
    <n v="42.4"/>
    <n v="9"/>
    <n v="168511"/>
    <n v="1283700"/>
    <x v="1"/>
    <s v="e6664f24-0b69-45aa-9f50-95941f12cd9f"/>
    <s v="консолидация кредитов"/>
    <s v="в ипотеке"/>
    <s v="краткосрочный"/>
    <x v="0"/>
    <b v="0"/>
    <n v="0.20088312879917422"/>
    <n v="0.98787878787878791"/>
    <n v="0.25199897122281595"/>
  </r>
  <r>
    <n v="749"/>
    <n v="0"/>
    <n v="400400"/>
    <n v="719"/>
    <n v="1152654"/>
    <n v="0"/>
    <n v="28047.99"/>
    <n v="12"/>
    <n v="36"/>
    <n v="569962"/>
    <n v="1499916"/>
    <x v="1"/>
    <s v="3535c73e-af3a-458a-90d6-0ba0d7a92f27"/>
    <s v="консолидация кредитов"/>
    <s v="в ипотеке"/>
    <s v="краткосрочный"/>
    <x v="1"/>
    <b v="0"/>
    <n v="0.49340520701915358"/>
    <n v="0.80606060606060603"/>
    <n v="0.2920007912174859"/>
  </r>
  <r>
    <n v="750"/>
    <n v="0"/>
    <n v="628584"/>
    <n v="692"/>
    <n v="1217102"/>
    <n v="34"/>
    <n v="19879.509999999998"/>
    <n v="28.8"/>
    <n v="24"/>
    <n v="451934"/>
    <n v="1202960"/>
    <x v="1"/>
    <s v="ef0bd291-121a-4eeb-974e-ac80930ccf00"/>
    <s v="консолидация кредитов"/>
    <s v="в аренде"/>
    <s v="долгосрочный"/>
    <x v="1"/>
    <b v="0"/>
    <n v="0.79080169744236728"/>
    <n v="0.64242424242424245"/>
    <n v="0.19600174841549842"/>
  </r>
  <r>
    <n v="751"/>
    <n v="0"/>
    <n v="626362"/>
    <n v="723"/>
    <n v="1168044"/>
    <n v="0"/>
    <n v="28106.13"/>
    <n v="22"/>
    <n v="13"/>
    <n v="526034"/>
    <n v="1602854"/>
    <x v="5"/>
    <s v="021cfe48-3ce5-4602-ad2b-c21f1473d195"/>
    <s v="консолидация кредитов"/>
    <s v="в ипотеке"/>
    <s v="долгосрочный"/>
    <x v="0"/>
    <b v="0"/>
    <n v="0.7879057231333868"/>
    <n v="0.83030303030303032"/>
    <n v="0.28875073199297285"/>
  </r>
  <r>
    <n v="752"/>
    <n v="0"/>
    <n v="540364"/>
    <n v="723"/>
    <n v="3387244"/>
    <n v="39"/>
    <n v="29920.82"/>
    <n v="12.6"/>
    <n v="6"/>
    <n v="255987"/>
    <n v="432080"/>
    <x v="3"/>
    <s v="bd94000f-f10c-4f88-a464-bdc439f69fc2"/>
    <s v="консолидация кредитов"/>
    <s v="в ипотеке"/>
    <s v="долгосрочный"/>
    <x v="0"/>
    <b v="0"/>
    <n v="0.67582291547195783"/>
    <n v="0.83030303030303032"/>
    <n v="0.10600058336511926"/>
  </r>
  <r>
    <n v="753"/>
    <n v="0"/>
    <n v="162074"/>
    <n v="712"/>
    <n v="583224"/>
    <n v="0"/>
    <n v="4665.83"/>
    <n v="23.1"/>
    <n v="6"/>
    <n v="128231"/>
    <n v="159830"/>
    <x v="9"/>
    <s v="15e0d842-f101-40a2-830a-ac58c51457a1"/>
    <s v="консолидация кредитов"/>
    <s v="в собственности"/>
    <s v="краткосрочный"/>
    <x v="0"/>
    <b v="0"/>
    <n v="0.18279045762128684"/>
    <n v="0.76363636363636367"/>
    <n v="9.6000781860828777E-2"/>
  </r>
  <r>
    <n v="754"/>
    <n v="0"/>
    <n v="345136"/>
    <n v="703"/>
    <n v="1117770"/>
    <n v="0"/>
    <n v="6967.49"/>
    <n v="13.5"/>
    <n v="8"/>
    <n v="300846"/>
    <n v="556468"/>
    <x v="5"/>
    <s v="d37a7231-7dce-491a-bdb6-4688d55711e1"/>
    <s v="приобретение жилья"/>
    <s v="в аренде"/>
    <s v="краткосрочный"/>
    <x v="0"/>
    <b v="0"/>
    <n v="0.42137859846312653"/>
    <n v="0.70909090909090911"/>
    <n v="7.4800611932687402E-2"/>
  </r>
  <r>
    <n v="755"/>
    <n v="0"/>
    <n v="266794"/>
    <n v="686"/>
    <n v="576042"/>
    <n v="0"/>
    <n v="12336.89"/>
    <n v="5.8"/>
    <n v="9"/>
    <n v="233206"/>
    <n v="342232"/>
    <x v="4"/>
    <s v="19941661-98e2-4800-93c9-a0e92057c813"/>
    <s v="консолидация кредитов"/>
    <s v="в собственности"/>
    <s v="долгосрочный"/>
    <x v="0"/>
    <b v="0"/>
    <n v="0.31927399931184769"/>
    <n v="0.60606060606060608"/>
    <n v="0.25699980209776369"/>
  </r>
  <r>
    <n v="756"/>
    <n v="0"/>
    <n v="446160"/>
    <n v="741"/>
    <n v="1541280"/>
    <n v="0"/>
    <n v="28256.799999999999"/>
    <n v="22.1"/>
    <n v="10"/>
    <n v="235885"/>
    <n v="537658"/>
    <x v="1"/>
    <s v="2f2aa20b-d173-4318-9435-85de7eee4f7f"/>
    <s v="консолидация кредитов"/>
    <s v="в собственности"/>
    <s v="долгосрочный"/>
    <x v="0"/>
    <b v="0"/>
    <n v="0.55304507397637348"/>
    <n v="0.93939393939393945"/>
    <n v="0.22"/>
  </r>
  <r>
    <n v="757"/>
    <n v="1"/>
    <n v="347028"/>
    <n v="743"/>
    <n v="1685889"/>
    <n v="0"/>
    <n v="8836.9"/>
    <n v="16.899999999999999"/>
    <n v="13"/>
    <n v="127224"/>
    <n v="403612"/>
    <x v="6"/>
    <s v="a645ef75-f106-4530-aab5-24ff886e55a1"/>
    <s v="консолидация кредитов"/>
    <s v="в ипотеке"/>
    <s v="краткосрочный"/>
    <x v="0"/>
    <b v="0"/>
    <n v="0.42384447757770388"/>
    <n v="0.95151515151515154"/>
    <n v="6.2900226527369235E-2"/>
  </r>
  <r>
    <n v="758"/>
    <n v="0"/>
    <n v="267454"/>
    <n v="723"/>
    <n v="1168044"/>
    <n v="0"/>
    <n v="19455.810000000001"/>
    <n v="13.8"/>
    <n v="17"/>
    <n v="434302"/>
    <n v="557502"/>
    <x v="6"/>
    <s v="3c31ad7c-1a67-40c3-b071-62c404235918"/>
    <s v="консолидация кредитов"/>
    <s v="в аренде"/>
    <s v="краткосрочный"/>
    <x v="0"/>
    <b v="0"/>
    <n v="0.32013418970065377"/>
    <n v="0.83030303030303032"/>
    <n v="0.19988092914308023"/>
  </r>
  <r>
    <n v="759"/>
    <n v="0"/>
    <n v="220022"/>
    <n v="723"/>
    <n v="1168044"/>
    <n v="78"/>
    <n v="29528.66"/>
    <n v="22"/>
    <n v="12"/>
    <n v="356421"/>
    <n v="953106"/>
    <x v="1"/>
    <s v="5cf58471-de79-4ce3-9545-6ca8086dc2e7"/>
    <s v="консолидация кредитов"/>
    <s v="в аренде"/>
    <s v="краткосрочный"/>
    <x v="0"/>
    <b v="0"/>
    <n v="0.25831517375845853"/>
    <n v="0.83030303030303032"/>
    <n v="0.30336521569392932"/>
  </r>
  <r>
    <n v="760"/>
    <n v="0"/>
    <n v="283426"/>
    <n v="738"/>
    <n v="1355688"/>
    <n v="0"/>
    <n v="9015.31"/>
    <n v="22.8"/>
    <n v="7"/>
    <n v="342665"/>
    <n v="549538"/>
    <x v="1"/>
    <s v="d5e9db4d-98d3-49c6-98cb-c4feca082127"/>
    <s v="иное"/>
    <s v="в ипотеке"/>
    <s v="долгосрочный"/>
    <x v="0"/>
    <b v="0"/>
    <n v="0.34095079710976028"/>
    <n v="0.92121212121212126"/>
    <n v="7.9799865455768573E-2"/>
  </r>
  <r>
    <n v="761"/>
    <n v="0"/>
    <n v="270556"/>
    <n v="724"/>
    <n v="1752408"/>
    <n v="70"/>
    <n v="24095.61"/>
    <n v="23.5"/>
    <n v="7"/>
    <n v="286387"/>
    <n v="908490"/>
    <x v="1"/>
    <s v="8ce9f4e4-0044-4779-a4c5-66552927d0ab"/>
    <s v="ремонт жилья"/>
    <s v="в собственности"/>
    <s v="краткосрочный"/>
    <x v="0"/>
    <b v="0"/>
    <n v="0.32417708452804223"/>
    <n v="0.83636363636363631"/>
    <n v="0.16500000000000001"/>
  </r>
  <r>
    <n v="762"/>
    <n v="0"/>
    <n v="322476"/>
    <n v="711"/>
    <n v="1262550"/>
    <n v="11"/>
    <n v="24198.59"/>
    <n v="17.5"/>
    <n v="9"/>
    <n v="321024"/>
    <n v="477158"/>
    <x v="9"/>
    <s v="631347a6-b027-4f5f-8363-594b79aff617"/>
    <s v="бизнес"/>
    <s v="в собственности"/>
    <s v="краткосрочный"/>
    <x v="0"/>
    <b v="0"/>
    <n v="0.39184539511411859"/>
    <n v="0.75757575757575757"/>
    <n v="0.22999729119638826"/>
  </r>
  <r>
    <n v="763"/>
    <n v="0"/>
    <n v="441364"/>
    <n v="691"/>
    <n v="1315066"/>
    <n v="9"/>
    <n v="16986.189999999999"/>
    <n v="22.6"/>
    <n v="12"/>
    <n v="233035"/>
    <n v="439472"/>
    <x v="1"/>
    <s v="756777d0-42b5-4e33-bd4d-58bf1d13f644"/>
    <s v="консолидация кредитов"/>
    <s v="в ипотеке"/>
    <s v="краткосрочный"/>
    <x v="0"/>
    <b v="0"/>
    <n v="0.5467943571510494"/>
    <n v="0.63636363636363635"/>
    <n v="0.15499927760279711"/>
  </r>
  <r>
    <n v="764"/>
    <n v="1"/>
    <m/>
    <n v="726"/>
    <n v="1488289"/>
    <n v="0"/>
    <n v="35099.08"/>
    <n v="15.4"/>
    <n v="15"/>
    <n v="187929"/>
    <n v="465960"/>
    <x v="8"/>
    <s v="bfcb3eac-c8d9-4d6f-a002-0c9a3bf8c685"/>
    <s v="консолидация кредитов"/>
    <s v="в ипотеке"/>
    <s v="краткосрочный"/>
    <x v="0"/>
    <b v="0"/>
    <m/>
    <n v="0.84848484848484851"/>
    <n v="0.28300213197839941"/>
  </r>
  <r>
    <n v="765"/>
    <n v="0"/>
    <n v="247786"/>
    <n v="748"/>
    <n v="1361787"/>
    <n v="0"/>
    <n v="13288.79"/>
    <n v="14.3"/>
    <n v="13"/>
    <n v="211831"/>
    <n v="1075800"/>
    <x v="5"/>
    <s v="7fd1cdc8-2eff-400d-a705-1602bdbbc87d"/>
    <s v="консолидация кредитов"/>
    <s v="в ипотеке"/>
    <s v="краткосрочный"/>
    <x v="0"/>
    <b v="0"/>
    <n v="0.29450051611423328"/>
    <n v="0.98181818181818181"/>
    <n v="0.11710016324138797"/>
  </r>
  <r>
    <n v="766"/>
    <n v="0"/>
    <n v="334070"/>
    <n v="704"/>
    <n v="927523"/>
    <n v="24"/>
    <n v="5132.28"/>
    <n v="20.5"/>
    <n v="11"/>
    <n v="226537"/>
    <n v="495858"/>
    <x v="1"/>
    <s v="89d77bcf-9910-477d-a755-0dd046cb35ff"/>
    <s v="консолидация кредитов"/>
    <s v="в аренде"/>
    <s v="краткосрочный"/>
    <x v="0"/>
    <b v="0"/>
    <n v="0.40695607294414499"/>
    <n v="0.7151515151515152"/>
    <n v="6.6399819734928409E-2"/>
  </r>
  <r>
    <n v="767"/>
    <n v="0"/>
    <n v="54824"/>
    <n v="747"/>
    <n v="830813"/>
    <n v="0"/>
    <n v="5130.38"/>
    <n v="24.2"/>
    <n v="13"/>
    <n v="76665"/>
    <n v="1431650"/>
    <x v="1"/>
    <s v="6e114107-2576-4a5b-91af-a7669333eca3"/>
    <s v="приобретение автомобиля"/>
    <s v="в ипотеке"/>
    <s v="долгосрочный"/>
    <x v="0"/>
    <b v="0"/>
    <n v="4.300951944030279E-2"/>
    <n v="0.97575757575757571"/>
    <n v="7.4101584833169434E-2"/>
  </r>
  <r>
    <n v="768"/>
    <n v="0"/>
    <m/>
    <n v="704"/>
    <n v="1139658"/>
    <n v="25"/>
    <n v="14815.63"/>
    <n v="21.9"/>
    <n v="17"/>
    <n v="489782"/>
    <n v="624580"/>
    <x v="8"/>
    <s v="e17ed1a4-1a75-43fa-bffb-be294a3f77c4"/>
    <s v="консолидация кредитов"/>
    <s v="в ипотеке"/>
    <s v="долгосрочный"/>
    <x v="0"/>
    <b v="0"/>
    <m/>
    <n v="0.7151515151515152"/>
    <n v="0.15600080024007201"/>
  </r>
  <r>
    <n v="769"/>
    <n v="0"/>
    <n v="403480"/>
    <n v="713"/>
    <n v="2710274"/>
    <n v="0"/>
    <n v="49236.6"/>
    <n v="16.5"/>
    <n v="14"/>
    <n v="673873"/>
    <n v="865040"/>
    <x v="1"/>
    <s v="7e90afe4-c090-43ac-b39e-90eed8c2d2fe"/>
    <s v="консолидация кредитов"/>
    <s v="в собственности"/>
    <s v="краткосрочный"/>
    <x v="0"/>
    <b v="1"/>
    <n v="0.49741942883358181"/>
    <n v="0.76969696969696966"/>
    <n v="0.2179998037098832"/>
  </r>
  <r>
    <n v="770"/>
    <n v="0"/>
    <n v="105468"/>
    <n v="738"/>
    <n v="702088"/>
    <n v="42"/>
    <n v="1006.24"/>
    <n v="9.4"/>
    <n v="13"/>
    <n v="28139"/>
    <n v="221650"/>
    <x v="6"/>
    <s v="206609fa-9e43-4fcf-a0f9-4e7103eecc4c"/>
    <s v="иное"/>
    <s v="в аренде"/>
    <s v="краткосрочный"/>
    <x v="1"/>
    <b v="0"/>
    <n v="0.10901479527468746"/>
    <n v="0.92121212121212126"/>
    <n v="1.719852781987443E-2"/>
  </r>
  <r>
    <n v="771"/>
    <n v="0"/>
    <m/>
    <n v="612"/>
    <n v="2279544"/>
    <n v="54"/>
    <n v="50339.93"/>
    <n v="26.3"/>
    <n v="18"/>
    <n v="533672"/>
    <n v="698258"/>
    <x v="2"/>
    <s v="6a907e9a-3ced-4f62-adec-6384a589b916"/>
    <s v="консолидация кредитов"/>
    <s v="в ипотеке"/>
    <s v="долгосрочный"/>
    <x v="0"/>
    <b v="1"/>
    <m/>
    <n v="0.15757575757575756"/>
    <n v="0.26500000000000001"/>
  </r>
  <r>
    <n v="772"/>
    <n v="0"/>
    <n v="137852"/>
    <n v="732"/>
    <n v="1395227"/>
    <n v="52"/>
    <n v="2813.71"/>
    <n v="21.2"/>
    <n v="10"/>
    <n v="76627"/>
    <n v="243078"/>
    <x v="1"/>
    <s v="2ae52dc5-742e-4377-b498-2070e163aa1d"/>
    <s v="консолидация кредитов"/>
    <s v="в ипотеке"/>
    <s v="краткосрочный"/>
    <x v="0"/>
    <b v="0"/>
    <n v="0.15122147035210459"/>
    <n v="0.88484848484848488"/>
    <n v="2.4200019064998024E-2"/>
  </r>
  <r>
    <n v="773"/>
    <n v="0"/>
    <n v="131274"/>
    <n v="723"/>
    <n v="543837"/>
    <n v="0"/>
    <n v="10378.18"/>
    <n v="14.3"/>
    <n v="4"/>
    <n v="83942"/>
    <n v="126390"/>
    <x v="6"/>
    <s v="78b23697-9228-4ef6-a770-478c0171b764"/>
    <s v="консолидация кредитов"/>
    <s v="в аренде"/>
    <s v="краткосрочный"/>
    <x v="0"/>
    <b v="0"/>
    <n v="0.14264823947700425"/>
    <n v="0.83030303030303032"/>
    <n v="0.22899905670265172"/>
  </r>
  <r>
    <n v="774"/>
    <n v="0"/>
    <n v="182116"/>
    <n v="723"/>
    <n v="1168044"/>
    <n v="69"/>
    <n v="3389.22"/>
    <n v="21.9"/>
    <n v="6"/>
    <n v="92663"/>
    <n v="264286"/>
    <x v="1"/>
    <s v="8f149fa9-23f6-4453-a82c-20ae5ffb6e95"/>
    <s v="консолидация кредитов"/>
    <s v="в аренде"/>
    <s v="краткосрочный"/>
    <x v="0"/>
    <b v="0"/>
    <n v="0.20891157242803074"/>
    <n v="0.83030303030303032"/>
    <n v="3.4819441733359359E-2"/>
  </r>
  <r>
    <n v="775"/>
    <n v="0"/>
    <n v="46156"/>
    <n v="654"/>
    <n v="1640745"/>
    <n v="63"/>
    <n v="31721.26"/>
    <n v="16.7"/>
    <n v="8"/>
    <n v="164008"/>
    <n v="199914"/>
    <x v="10"/>
    <s v="3c4686b9-b1f9-4afe-8f92-613aefa52e85"/>
    <s v="бизнес"/>
    <s v="в ипотеке"/>
    <s v="краткосрочный"/>
    <x v="1"/>
    <b v="0"/>
    <n v="3.1712352333983257E-2"/>
    <n v="0.41212121212121211"/>
    <n v="0.23200138961264546"/>
  </r>
  <r>
    <n v="776"/>
    <n v="0"/>
    <n v="67496"/>
    <n v="725"/>
    <n v="582825"/>
    <n v="0"/>
    <n v="5925.34"/>
    <n v="5.5"/>
    <n v="5"/>
    <n v="33706"/>
    <n v="112486"/>
    <x v="1"/>
    <s v="51a7e7bb-5520-48f9-a1b8-9813e8107db3"/>
    <s v="консолидация кредитов"/>
    <s v="в аренде"/>
    <s v="краткосрочный"/>
    <x v="0"/>
    <b v="0"/>
    <n v="5.9525174905379057E-2"/>
    <n v="0.84242424242424241"/>
    <n v="0.12199902200488998"/>
  </r>
  <r>
    <n v="777"/>
    <n v="0"/>
    <n v="138380"/>
    <n v="735"/>
    <n v="485792"/>
    <n v="0"/>
    <n v="8055.81"/>
    <n v="17.100000000000001"/>
    <n v="8"/>
    <n v="117838"/>
    <n v="339394"/>
    <x v="9"/>
    <s v="a647389d-fee2-463d-86c1-c7b8e9be8d27"/>
    <s v="консолидация кредитов"/>
    <s v="в аренде"/>
    <s v="краткосрочный"/>
    <x v="1"/>
    <b v="0"/>
    <n v="0.15190962266314945"/>
    <n v="0.90303030303030307"/>
    <n v="0.19899405506883608"/>
  </r>
  <r>
    <n v="778"/>
    <n v="7"/>
    <n v="172436"/>
    <n v="740"/>
    <n v="1340222"/>
    <n v="0"/>
    <n v="14965.92"/>
    <n v="19.8"/>
    <n v="6"/>
    <n v="178410"/>
    <n v="398816"/>
    <x v="8"/>
    <s v="d2592b4e-f032-42c6-8fdf-3023fa3c9ce7"/>
    <s v="консолидация кредитов"/>
    <s v="в собственности"/>
    <s v="краткосрочный"/>
    <x v="0"/>
    <b v="0"/>
    <n v="0.19629544672554192"/>
    <n v="0.93333333333333335"/>
    <n v="0.13400096401939379"/>
  </r>
  <r>
    <n v="779"/>
    <n v="0"/>
    <n v="788326"/>
    <n v="723"/>
    <n v="1168044"/>
    <n v="42"/>
    <n v="36388.61"/>
    <n v="22"/>
    <n v="28"/>
    <n v="565820"/>
    <n v="1353638"/>
    <x v="1"/>
    <s v="67e93ee0-bb2f-4a16-9d06-6600d084baae"/>
    <s v="консолидация кредитов"/>
    <s v="в ипотеке"/>
    <s v="краткосрочный"/>
    <x v="1"/>
    <b v="0"/>
    <n v="0.99899644454639291"/>
    <n v="0.83030303030303032"/>
    <n v="0.37384149912160841"/>
  </r>
  <r>
    <n v="780"/>
    <n v="0"/>
    <n v="336732"/>
    <n v="738"/>
    <n v="1970072"/>
    <n v="0"/>
    <n v="35789.54"/>
    <n v="14.6"/>
    <n v="14"/>
    <n v="464987"/>
    <n v="749892"/>
    <x v="1"/>
    <s v="5fdf69f6-b95f-4247-afe5-314efffc8bee"/>
    <s v="консолидация кредитов"/>
    <s v="в ипотеке"/>
    <s v="краткосрочный"/>
    <x v="0"/>
    <b v="0"/>
    <n v="0.41042550751232937"/>
    <n v="0.92121212121212126"/>
    <n v="0.21799938276367567"/>
  </r>
  <r>
    <n v="781"/>
    <n v="0"/>
    <n v="107932"/>
    <n v="735"/>
    <n v="1211782"/>
    <n v="0"/>
    <n v="28173.96"/>
    <n v="28.5"/>
    <n v="9"/>
    <n v="521322"/>
    <n v="658988"/>
    <x v="10"/>
    <s v="f589bab3-3e5c-47aa-b3c5-8617f9098254"/>
    <s v="ремонт жилья"/>
    <s v="в ипотеке"/>
    <s v="краткосрочный"/>
    <x v="0"/>
    <b v="0"/>
    <n v="0.11222617272623008"/>
    <n v="0.90303030303030307"/>
    <n v="0.27900028222898177"/>
  </r>
  <r>
    <n v="782"/>
    <n v="1"/>
    <n v="346060"/>
    <n v="711"/>
    <n v="765833"/>
    <n v="16"/>
    <n v="13402.03"/>
    <n v="21.1"/>
    <n v="9"/>
    <n v="61788"/>
    <n v="123354"/>
    <x v="1"/>
    <s v="8075f523-a006-49d5-bbfb-347cba8b4351"/>
    <s v="консолидация кредитов"/>
    <s v="в ипотеке"/>
    <s v="долгосрочный"/>
    <x v="0"/>
    <b v="0"/>
    <n v="0.42258286500745501"/>
    <n v="0.75757575757575757"/>
    <n v="0.2099992557124073"/>
  </r>
  <r>
    <n v="783"/>
    <n v="0"/>
    <n v="217888"/>
    <n v="735"/>
    <n v="1223144"/>
    <n v="0"/>
    <n v="9163.51"/>
    <n v="10.8"/>
    <n v="8"/>
    <n v="117952"/>
    <n v="207570"/>
    <x v="0"/>
    <s v="1bdb2782-30ef-45e4-b936-48fbc200b5ac"/>
    <s v="консолидация кредитов"/>
    <s v="в аренде"/>
    <s v="краткосрочный"/>
    <x v="0"/>
    <b v="0"/>
    <n v="0.25553389150131894"/>
    <n v="0.90303030303030307"/>
    <n v="8.9901205418168262E-2"/>
  </r>
  <r>
    <n v="784"/>
    <n v="0"/>
    <m/>
    <n v="738"/>
    <n v="934800"/>
    <n v="20"/>
    <n v="4806.43"/>
    <n v="27.8"/>
    <n v="13"/>
    <n v="25536"/>
    <n v="151646"/>
    <x v="1"/>
    <s v="b756e180-7ba2-4721-a9cc-534c5bb642d2"/>
    <s v="консолидация кредитов"/>
    <s v="в аренде"/>
    <s v="краткосрочный"/>
    <x v="0"/>
    <b v="0"/>
    <m/>
    <n v="0.92121212121212126"/>
    <n v="6.1700000000000005E-2"/>
  </r>
  <r>
    <n v="785"/>
    <n v="0"/>
    <m/>
    <n v="745"/>
    <n v="681226"/>
    <n v="0"/>
    <n v="8095.33"/>
    <n v="12.7"/>
    <n v="9"/>
    <n v="173812"/>
    <n v="322520"/>
    <x v="5"/>
    <s v="d3b5f171-9216-438d-96e2-5336c3204798"/>
    <s v="консолидация кредитов"/>
    <s v="в аренде"/>
    <s v="краткосрочный"/>
    <x v="0"/>
    <b v="0"/>
    <m/>
    <n v="0.96363636363636362"/>
    <n v="0.14260166229709376"/>
  </r>
  <r>
    <n v="786"/>
    <n v="0"/>
    <n v="216524"/>
    <n v="688"/>
    <n v="934990"/>
    <n v="13"/>
    <n v="16050.63"/>
    <n v="11"/>
    <n v="10"/>
    <n v="113373"/>
    <n v="314072"/>
    <x v="6"/>
    <s v="86242eec-2c69-448a-93c5-c7d128eba38a"/>
    <s v="консолидация кредитов"/>
    <s v="в аренде"/>
    <s v="долгосрочный"/>
    <x v="1"/>
    <b v="0"/>
    <n v="0.25375616469778645"/>
    <n v="0.61818181818181817"/>
    <n v="0.20599959357854095"/>
  </r>
  <r>
    <n v="787"/>
    <n v="0"/>
    <n v="261448"/>
    <n v="719"/>
    <n v="940785"/>
    <n v="20"/>
    <n v="11681.39"/>
    <n v="13.3"/>
    <n v="15"/>
    <n v="237937"/>
    <n v="683672"/>
    <x v="9"/>
    <s v="579a0930-b731-47c4-afb0-36ee23e772eb"/>
    <s v="консолидация кредитов"/>
    <s v="в аренде"/>
    <s v="долгосрочный"/>
    <x v="1"/>
    <b v="0"/>
    <n v="0.31230645716251865"/>
    <n v="0.80606060606060603"/>
    <n v="0.14899969706149652"/>
  </r>
  <r>
    <n v="788"/>
    <n v="0"/>
    <n v="430804"/>
    <n v="738"/>
    <n v="1130120"/>
    <n v="0"/>
    <n v="8711.31"/>
    <n v="18.5"/>
    <n v="9"/>
    <n v="383667"/>
    <n v="789052"/>
    <x v="1"/>
    <s v="8b9f778b-c3a4-4d51-9940-6ae35bc4b7db"/>
    <s v="консолидация кредитов"/>
    <s v="в ипотеке"/>
    <s v="долгосрочный"/>
    <x v="1"/>
    <b v="0"/>
    <n v="0.53303131093015255"/>
    <n v="0.92121212121212126"/>
    <n v="9.2499663752521846E-2"/>
  </r>
  <r>
    <n v="789"/>
    <n v="0"/>
    <n v="163878"/>
    <n v="741"/>
    <n v="1439402"/>
    <n v="18"/>
    <n v="14034.16"/>
    <n v="11"/>
    <n v="7"/>
    <n v="110865"/>
    <n v="186604"/>
    <x v="8"/>
    <s v="4e974240-4b7e-46ea-9d3c-2702989f18be"/>
    <s v="консолидация кредитов"/>
    <s v="в ипотеке"/>
    <s v="краткосрочный"/>
    <x v="1"/>
    <b v="0"/>
    <n v="0.18514164468402339"/>
    <n v="0.93939393939393945"/>
    <n v="0.11699992080044351"/>
  </r>
  <r>
    <n v="790"/>
    <n v="4"/>
    <n v="227546"/>
    <n v="709"/>
    <n v="561450"/>
    <n v="54"/>
    <n v="16141.64"/>
    <n v="17.3"/>
    <n v="10"/>
    <n v="269667"/>
    <n v="374858"/>
    <x v="10"/>
    <s v="a3e9cb3b-5724-402c-9d6f-cf616d9b7b35"/>
    <s v="консолидация кредитов"/>
    <s v="в аренде"/>
    <s v="краткосрочный"/>
    <x v="0"/>
    <b v="0"/>
    <n v="0.2681213441908476"/>
    <n v="0.74545454545454548"/>
    <n v="0.34499898477157359"/>
  </r>
  <r>
    <n v="791"/>
    <n v="0"/>
    <n v="560516"/>
    <n v="652"/>
    <n v="1374897"/>
    <n v="0"/>
    <n v="25160.75"/>
    <n v="22.2"/>
    <n v="15"/>
    <n v="354483"/>
    <n v="862290"/>
    <x v="6"/>
    <s v="3b5dda29-a465-4715-87f0-86d6e7dc3e12"/>
    <s v="консолидация кредитов"/>
    <s v="в ипотеке"/>
    <s v="краткосрочный"/>
    <x v="0"/>
    <b v="0"/>
    <n v="0.70208739534350273"/>
    <n v="0.4"/>
    <n v="0.21960117739728868"/>
  </r>
  <r>
    <n v="792"/>
    <n v="0"/>
    <n v="470316"/>
    <n v="719"/>
    <n v="2393487"/>
    <n v="0"/>
    <n v="27126.11"/>
    <n v="34.1"/>
    <n v="7"/>
    <n v="726484"/>
    <n v="1055450"/>
    <x v="5"/>
    <s v="a91c4290-8a2d-4cdd-bab9-60788dc14eb2"/>
    <s v="консолидация кредитов"/>
    <s v="в собственности"/>
    <s v="долгосрочный"/>
    <x v="0"/>
    <b v="0"/>
    <n v="0.58452804220667509"/>
    <n v="0.80606060606060603"/>
    <n v="0.1359996189659689"/>
  </r>
  <r>
    <n v="793"/>
    <n v="0"/>
    <n v="190784"/>
    <n v="704"/>
    <n v="711455"/>
    <n v="0"/>
    <n v="5015.8100000000004"/>
    <n v="16.100000000000001"/>
    <n v="6"/>
    <n v="145825"/>
    <n v="182138"/>
    <x v="10"/>
    <s v="01057261-5054-4448-b725-90ba98b82152"/>
    <s v="консолидация кредитов"/>
    <s v="в аренде"/>
    <s v="краткосрочный"/>
    <x v="1"/>
    <b v="0"/>
    <n v="0.22020873953435027"/>
    <n v="0.7151515151515152"/>
    <n v="8.4600881292562435E-2"/>
  </r>
  <r>
    <n v="794"/>
    <n v="1"/>
    <n v="395846"/>
    <n v="725"/>
    <n v="829597"/>
    <n v="0"/>
    <n v="18251.02"/>
    <n v="27.7"/>
    <n v="10"/>
    <n v="273847"/>
    <n v="461560"/>
    <x v="9"/>
    <s v="2ad6f371-7797-4609-92af-23eb4a30a4bf"/>
    <s v="консолидация кредитов"/>
    <s v="в аренде"/>
    <s v="долгосрочный"/>
    <x v="1"/>
    <b v="0"/>
    <n v="0.48746989333639179"/>
    <n v="0.84242424242424241"/>
    <n v="0.2639983510065731"/>
  </r>
  <r>
    <n v="795"/>
    <n v="0"/>
    <n v="450120"/>
    <n v="673"/>
    <n v="981578"/>
    <n v="0"/>
    <n v="19467.78"/>
    <n v="16.5"/>
    <n v="15"/>
    <n v="515394"/>
    <n v="1143230"/>
    <x v="1"/>
    <s v="c3e3bd3e-2841-41a2-8ed8-ace9f6f13a4a"/>
    <s v="консолидация кредитов"/>
    <s v="в аренде"/>
    <s v="долгосрочный"/>
    <x v="1"/>
    <b v="0"/>
    <n v="0.55820621630920975"/>
    <n v="0.52727272727272723"/>
    <n v="0.23799775463590256"/>
  </r>
  <r>
    <n v="796"/>
    <n v="0"/>
    <m/>
    <n v="725"/>
    <n v="1698885"/>
    <n v="0"/>
    <n v="29164.240000000002"/>
    <n v="13.1"/>
    <n v="10"/>
    <n v="589988"/>
    <n v="898876"/>
    <x v="8"/>
    <s v="1d24a8f4-066d-4289-a245-176061d974b5"/>
    <s v="консолидация кредитов"/>
    <s v="в ипотеке"/>
    <s v="долгосрочный"/>
    <x v="0"/>
    <b v="0"/>
    <m/>
    <n v="0.84242424242424241"/>
    <n v="0.20600033551417549"/>
  </r>
  <r>
    <n v="797"/>
    <n v="0"/>
    <n v="399014"/>
    <n v="722"/>
    <n v="2909945"/>
    <n v="42"/>
    <n v="51409.06"/>
    <n v="12.8"/>
    <n v="12"/>
    <n v="938923"/>
    <n v="1248192"/>
    <x v="5"/>
    <s v="11d42688-d6c7-4f1d-b32d-547d432050b8"/>
    <s v="ремонт жилья"/>
    <s v="в ипотеке"/>
    <s v="краткосрочный"/>
    <x v="1"/>
    <b v="1"/>
    <n v="0.49159880720266086"/>
    <n v="0.82424242424242422"/>
    <n v="0.21200013058666056"/>
  </r>
  <r>
    <n v="798"/>
    <n v="0"/>
    <n v="116710"/>
    <n v="723"/>
    <n v="1168044"/>
    <n v="68"/>
    <n v="10125.67"/>
    <n v="13.1"/>
    <n v="12"/>
    <n v="914812"/>
    <n v="2021470"/>
    <x v="7"/>
    <s v="29c9b790-ef61-4a5f-9e78-dd614323f044"/>
    <s v="консолидация кредитов"/>
    <s v="в собственности"/>
    <s v="краткосрочный"/>
    <x v="1"/>
    <b v="0"/>
    <n v="0.12366670489735061"/>
    <n v="0.83030303030303032"/>
    <n v="0.10402693734140152"/>
  </r>
  <r>
    <n v="799"/>
    <n v="0"/>
    <n v="270402"/>
    <n v="690"/>
    <n v="1044373"/>
    <n v="0"/>
    <n v="17928.21"/>
    <n v="21"/>
    <n v="12"/>
    <n v="258305"/>
    <n v="441144"/>
    <x v="1"/>
    <s v="d3008cbd-e499-4080-813b-629b5d6695ca"/>
    <s v="консолидация кредитов"/>
    <s v="в собственности"/>
    <s v="долгосрочный"/>
    <x v="0"/>
    <b v="0"/>
    <n v="0.32397637343732077"/>
    <n v="0.63030303030303025"/>
    <n v="0.20599778048647371"/>
  </r>
  <r>
    <n v="800"/>
    <n v="0"/>
    <n v="129184"/>
    <n v="735"/>
    <n v="948366"/>
    <n v="50"/>
    <n v="9088.4599999999991"/>
    <n v="17"/>
    <n v="9"/>
    <n v="332139"/>
    <n v="467280"/>
    <x v="9"/>
    <s v="40e2a136-e855-411c-877a-acff6f143d7c"/>
    <s v="приобретение автомобиля"/>
    <s v="в собственности"/>
    <s v="краткосрочный"/>
    <x v="0"/>
    <b v="0"/>
    <n v="0.13992430324578506"/>
    <n v="0.90303030303030307"/>
    <n v="0.1149993989662219"/>
  </r>
  <r>
    <n v="801"/>
    <n v="0"/>
    <n v="247500"/>
    <n v="664"/>
    <n v="1347955"/>
    <n v="0"/>
    <n v="2976.73"/>
    <n v="10.6"/>
    <n v="4"/>
    <n v="98534"/>
    <n v="131604"/>
    <x v="8"/>
    <s v="97514ea0-93a1-4b44-8c87-8852571f16a6"/>
    <s v="консолидация кредитов"/>
    <s v="в аренде"/>
    <s v="долгосрочный"/>
    <x v="1"/>
    <b v="0"/>
    <n v="0.29412776694575066"/>
    <n v="0.47272727272727272"/>
    <n v="2.6499964761434916E-2"/>
  </r>
  <r>
    <n v="802"/>
    <n v="0"/>
    <m/>
    <n v="702"/>
    <n v="1385480"/>
    <n v="47"/>
    <n v="14893.91"/>
    <n v="24.6"/>
    <n v="8"/>
    <n v="234973"/>
    <n v="305382"/>
    <x v="5"/>
    <s v="1dabcfda-b1a1-4f89-b858-96d9ccab77a5"/>
    <s v="бизнес"/>
    <s v="в ипотеке"/>
    <s v="краткосрочный"/>
    <x v="0"/>
    <b v="0"/>
    <m/>
    <n v="0.70303030303030301"/>
    <n v="0.129"/>
  </r>
  <r>
    <n v="803"/>
    <n v="0"/>
    <n v="396792"/>
    <n v="669"/>
    <n v="875748"/>
    <n v="7"/>
    <n v="22404.42"/>
    <n v="9.6999999999999993"/>
    <n v="10"/>
    <n v="311372"/>
    <n v="785466"/>
    <x v="10"/>
    <s v="666c0266-76b1-4f00-934e-6047498e61be"/>
    <s v="консолидация кредитов"/>
    <s v="в ипотеке"/>
    <s v="долгосрочный"/>
    <x v="1"/>
    <b v="0"/>
    <n v="0.48870283289368049"/>
    <n v="0.50303030303030305"/>
    <n v="0.30699817755792758"/>
  </r>
  <r>
    <n v="804"/>
    <n v="0"/>
    <n v="109582"/>
    <n v="744"/>
    <n v="813903"/>
    <n v="0"/>
    <n v="11665.81"/>
    <n v="8.6999999999999993"/>
    <n v="6"/>
    <n v="16910"/>
    <n v="89760"/>
    <x v="5"/>
    <s v="173c7174-1d5e-4e59-bdee-354b32a171c5"/>
    <s v="консолидация кредитов"/>
    <s v="в аренде"/>
    <s v="краткосрочный"/>
    <x v="0"/>
    <b v="0"/>
    <n v="0.11437664869824521"/>
    <n v="0.95757575757575752"/>
    <n v="0.17199803907836683"/>
  </r>
  <r>
    <n v="805"/>
    <n v="0"/>
    <m/>
    <n v="739"/>
    <n v="1461689"/>
    <n v="0"/>
    <n v="21072.71"/>
    <n v="34"/>
    <n v="11"/>
    <n v="612731"/>
    <n v="1204544"/>
    <x v="1"/>
    <s v="21ae217c-b415-4102-b033-9e99c04cb2e5"/>
    <s v="консолидация кредитов"/>
    <s v="в ипотеке"/>
    <s v="долгосрочный"/>
    <x v="0"/>
    <b v="0"/>
    <m/>
    <n v="0.92727272727272725"/>
    <n v="0.17300022097723933"/>
  </r>
  <r>
    <n v="806"/>
    <n v="0"/>
    <n v="264924"/>
    <n v="723"/>
    <n v="1168044"/>
    <n v="36"/>
    <n v="12297.94"/>
    <n v="20"/>
    <n v="6"/>
    <n v="132924"/>
    <n v="249480"/>
    <x v="5"/>
    <s v="ab2514e8-3bd4-4d64-8fd0-40533b132227"/>
    <s v="консолидация кредитов"/>
    <s v="в аренде"/>
    <s v="краткосрочный"/>
    <x v="0"/>
    <b v="0"/>
    <n v="0.31683679321023051"/>
    <n v="0.83030303030303032"/>
    <n v="0.12634393909818467"/>
  </r>
  <r>
    <n v="807"/>
    <n v="0"/>
    <n v="391314"/>
    <n v="735"/>
    <n v="762660"/>
    <n v="0"/>
    <n v="15062.63"/>
    <n v="13"/>
    <n v="18"/>
    <n v="351633"/>
    <n v="962522"/>
    <x v="9"/>
    <s v="719e7e4b-b7e7-4967-9b89-f833d81ccf0f"/>
    <s v="консолидация кредитов"/>
    <s v="в аренде"/>
    <s v="краткосрочный"/>
    <x v="0"/>
    <b v="0"/>
    <n v="0.48156325266659022"/>
    <n v="0.90303030303030307"/>
    <n v="0.23700149476831089"/>
  </r>
  <r>
    <n v="808"/>
    <n v="0"/>
    <n v="520454"/>
    <n v="716"/>
    <n v="1323825"/>
    <n v="0"/>
    <n v="24049.63"/>
    <n v="12.8"/>
    <n v="9"/>
    <n v="441009"/>
    <n v="622732"/>
    <x v="3"/>
    <s v="a76f88e5-205d-4172-a260-a02d31dc975c"/>
    <s v="консолидация кредитов"/>
    <s v="в ипотеке"/>
    <s v="долгосрочный"/>
    <x v="0"/>
    <b v="0"/>
    <n v="0.64987383874297511"/>
    <n v="0.78787878787878785"/>
    <n v="0.21800129171151778"/>
  </r>
  <r>
    <n v="809"/>
    <n v="1"/>
    <n v="330792"/>
    <n v="733"/>
    <n v="1885522"/>
    <n v="0"/>
    <n v="20897.72"/>
    <n v="31.4"/>
    <n v="13"/>
    <n v="138130"/>
    <n v="443058"/>
    <x v="1"/>
    <s v="fd7eb7a2-a39e-4f4e-b5ee-dec42f3a537a"/>
    <s v="консолидация кредитов"/>
    <s v="в ипотеке"/>
    <s v="долгосрочный"/>
    <x v="0"/>
    <b v="0"/>
    <n v="0.40268379401307491"/>
    <n v="0.89090909090909087"/>
    <n v="0.13299905278220037"/>
  </r>
  <r>
    <n v="810"/>
    <n v="0"/>
    <m/>
    <n v="748"/>
    <n v="1576411"/>
    <n v="0"/>
    <n v="26404.68"/>
    <n v="15"/>
    <n v="15"/>
    <n v="310118"/>
    <n v="712492"/>
    <x v="3"/>
    <s v="ab685182-eb88-49b6-aee0-cfb49d50288b"/>
    <s v="консолидация кредитов"/>
    <s v="в аренде"/>
    <s v="краткосрочный"/>
    <x v="0"/>
    <b v="0"/>
    <m/>
    <n v="0.98181818181818181"/>
    <n v="0.20099844520242499"/>
  </r>
  <r>
    <n v="811"/>
    <n v="1"/>
    <m/>
    <n v="746"/>
    <n v="1580116"/>
    <n v="0"/>
    <n v="25150.3"/>
    <n v="18.899999999999999"/>
    <n v="6"/>
    <n v="465785"/>
    <n v="887062"/>
    <x v="10"/>
    <s v="4891a653-11b6-444b-82ac-e46db980cf91"/>
    <s v="консолидация кредитов"/>
    <s v="в аренде"/>
    <s v="краткосрочный"/>
    <x v="0"/>
    <b v="0"/>
    <m/>
    <n v="0.96969696969696972"/>
    <n v="0.19100091385695731"/>
  </r>
  <r>
    <n v="812"/>
    <n v="0"/>
    <n v="222530"/>
    <n v="690"/>
    <n v="595783"/>
    <n v="0"/>
    <n v="17327.05"/>
    <n v="19.5"/>
    <n v="9"/>
    <n v="385757"/>
    <n v="685058"/>
    <x v="1"/>
    <s v="c322611d-f268-4a44-82a6-8eec45ae92fa"/>
    <s v="консолидация кредитов"/>
    <s v="в собственности"/>
    <s v="краткосрочный"/>
    <x v="0"/>
    <b v="0"/>
    <n v="0.26158389723592157"/>
    <n v="0.63030303030303025"/>
    <n v="0.34899384507446501"/>
  </r>
  <r>
    <n v="813"/>
    <n v="0"/>
    <n v="446820"/>
    <n v="715"/>
    <n v="1254228"/>
    <n v="0"/>
    <n v="6427.89"/>
    <n v="16.5"/>
    <n v="3"/>
    <n v="110903"/>
    <n v="214390"/>
    <x v="9"/>
    <s v="13dca6a4-d993-4e0e-bafe-9efe877b8669"/>
    <s v="консолидация кредитов"/>
    <s v="в аренде"/>
    <s v="краткосрочный"/>
    <x v="1"/>
    <b v="0"/>
    <n v="0.55390526436517951"/>
    <n v="0.78181818181818186"/>
    <n v="6.1499727322305041E-2"/>
  </r>
  <r>
    <n v="814"/>
    <n v="0"/>
    <n v="79530"/>
    <n v="691"/>
    <n v="953990"/>
    <n v="42"/>
    <n v="27029.78"/>
    <n v="19"/>
    <n v="10"/>
    <n v="371906"/>
    <n v="563640"/>
    <x v="8"/>
    <s v="c5b34502-10c1-46e6-b4fb-bfd3ecb95d1e"/>
    <s v="консолидация кредитов"/>
    <s v="в аренде"/>
    <s v="краткосрочный"/>
    <x v="0"/>
    <b v="0"/>
    <n v="7.5209312994609478E-2"/>
    <n v="0.63636363636363635"/>
    <n v="0.34000079665405292"/>
  </r>
  <r>
    <n v="815"/>
    <n v="0"/>
    <n v="262988"/>
    <n v="721"/>
    <n v="794960"/>
    <n v="81"/>
    <n v="18880.490000000002"/>
    <n v="15.4"/>
    <n v="6"/>
    <n v="30267"/>
    <n v="87626"/>
    <x v="2"/>
    <s v="823589bf-3911-4be5-8a44-368e8db077c9"/>
    <s v="консолидация кредитов"/>
    <s v="в аренде"/>
    <s v="краткосрочный"/>
    <x v="1"/>
    <b v="0"/>
    <n v="0.31431356806973276"/>
    <n v="0.81818181818181823"/>
    <n v="0.28500286806883368"/>
  </r>
  <r>
    <n v="816"/>
    <n v="0"/>
    <n v="110814"/>
    <n v="742"/>
    <n v="459325"/>
    <n v="43"/>
    <n v="8306.23"/>
    <n v="7.9"/>
    <n v="15"/>
    <n v="125153"/>
    <n v="296956"/>
    <x v="6"/>
    <s v="676a91e7-f978-4897-857d-b0619a354c08"/>
    <s v="консолидация кредитов"/>
    <s v="в собственности"/>
    <s v="краткосрочный"/>
    <x v="1"/>
    <b v="0"/>
    <n v="0.11598233742401652"/>
    <n v="0.94545454545454544"/>
    <n v="0.21700268872802481"/>
  </r>
  <r>
    <n v="817"/>
    <n v="0"/>
    <n v="385308"/>
    <n v="678"/>
    <n v="1823715"/>
    <n v="18"/>
    <n v="6914.86"/>
    <n v="13"/>
    <n v="21"/>
    <n v="48944"/>
    <n v="57244"/>
    <x v="10"/>
    <s v="862cb1c6-cf59-4108-9ade-3edbd57ac59e"/>
    <s v="иное"/>
    <s v="в аренде"/>
    <s v="долгосрочный"/>
    <x v="0"/>
    <b v="0"/>
    <n v="0.4737355201284551"/>
    <n v="0.55757575757575761"/>
    <n v="4.5499609313955303E-2"/>
  </r>
  <r>
    <n v="818"/>
    <n v="0"/>
    <n v="158620"/>
    <n v="694"/>
    <n v="475665"/>
    <n v="31"/>
    <n v="3900.51"/>
    <n v="9.8000000000000007"/>
    <n v="11"/>
    <n v="84835"/>
    <n v="383724"/>
    <x v="3"/>
    <s v="85338b3c-6715-4eca-81f4-44540110f1cb"/>
    <s v="ремонт жилья"/>
    <s v="в собственности"/>
    <s v="краткосрочный"/>
    <x v="0"/>
    <b v="0"/>
    <n v="0.17828879458653515"/>
    <n v="0.65454545454545454"/>
    <n v="9.8401437986818455E-2"/>
  </r>
  <r>
    <n v="819"/>
    <n v="0"/>
    <n v="768856"/>
    <n v="723"/>
    <n v="1168044"/>
    <n v="0"/>
    <n v="59285.89"/>
    <n v="11.4"/>
    <n v="20"/>
    <n v="408082"/>
    <n v="806322"/>
    <x v="4"/>
    <s v="510490c7-0e98-47f0-b353-2ad4711c012c"/>
    <s v="консолидация кредитов"/>
    <s v="в аренде"/>
    <s v="долгосрочный"/>
    <x v="0"/>
    <b v="1"/>
    <n v="0.97362082807661432"/>
    <n v="0.83030303030303032"/>
    <n v="0.60907866484481743"/>
  </r>
  <r>
    <n v="820"/>
    <n v="0"/>
    <n v="146366"/>
    <n v="724"/>
    <n v="816753"/>
    <n v="0"/>
    <n v="13864.3"/>
    <n v="12.8"/>
    <n v="12"/>
    <n v="168454"/>
    <n v="263560"/>
    <x v="6"/>
    <s v="817f26dc-b23c-44ca-a4e8-aa076cb7ea05"/>
    <s v="иное"/>
    <s v="в аренде"/>
    <s v="краткосрочный"/>
    <x v="0"/>
    <b v="0"/>
    <n v="0.16231792636770273"/>
    <n v="0.83636363636363631"/>
    <n v="0.2036987926582455"/>
  </r>
  <r>
    <n v="821"/>
    <n v="0"/>
    <n v="435512"/>
    <n v="745"/>
    <n v="1128372"/>
    <n v="0"/>
    <n v="16925.580000000002"/>
    <n v="27"/>
    <n v="9"/>
    <n v="242801"/>
    <n v="594396"/>
    <x v="1"/>
    <s v="018d5599-8c09-4c98-95ab-6d450dc6e416"/>
    <s v="консолидация кредитов"/>
    <s v="в ипотеке"/>
    <s v="краткосрочный"/>
    <x v="0"/>
    <b v="0"/>
    <n v="0.53916733570363573"/>
    <n v="0.96363636363636362"/>
    <n v="0.18000000000000002"/>
  </r>
  <r>
    <n v="822"/>
    <n v="0"/>
    <n v="130944"/>
    <n v="720"/>
    <n v="584288"/>
    <n v="0"/>
    <n v="9835.5400000000009"/>
    <n v="10.4"/>
    <n v="4"/>
    <n v="43605"/>
    <n v="157322"/>
    <x v="9"/>
    <s v="7f97ade2-4720-42c6-ab28-9ebcea043cf2"/>
    <s v="свадьба"/>
    <s v="в аренде"/>
    <s v="краткосрочный"/>
    <x v="0"/>
    <b v="0"/>
    <n v="0.14221814428260121"/>
    <n v="0.81212121212121213"/>
    <n v="0.2020005202913632"/>
  </r>
  <r>
    <n v="823"/>
    <n v="0"/>
    <n v="134684"/>
    <n v="735"/>
    <n v="579899"/>
    <n v="38"/>
    <n v="7345.4"/>
    <n v="10.6"/>
    <n v="5"/>
    <n v="30115"/>
    <n v="65032"/>
    <x v="6"/>
    <s v="1cd3aa7c-4376-493b-acad-cb29ebcd9257"/>
    <s v="консолидация кредитов"/>
    <s v="в аренде"/>
    <s v="краткосрочный"/>
    <x v="0"/>
    <b v="0"/>
    <n v="0.14709255648583552"/>
    <n v="0.90303030303030307"/>
    <n v="0.15200026211460962"/>
  </r>
  <r>
    <n v="824"/>
    <n v="0"/>
    <n v="352220"/>
    <n v="750"/>
    <n v="2129273"/>
    <n v="68"/>
    <n v="10859.26"/>
    <n v="20.7"/>
    <n v="12"/>
    <n v="289180"/>
    <n v="667018"/>
    <x v="0"/>
    <s v="409c81f2-fbf9-4636-a734-f67e176f6589"/>
    <s v="ремонт жилья"/>
    <s v="в ипотеке"/>
    <s v="краткосрочный"/>
    <x v="0"/>
    <b v="0"/>
    <n v="0.43061130863631153"/>
    <n v="0.9939393939393939"/>
    <n v="6.1199817966038177E-2"/>
  </r>
  <r>
    <n v="825"/>
    <n v="0"/>
    <n v="133012"/>
    <n v="717"/>
    <n v="1194606"/>
    <n v="56"/>
    <n v="12712.71"/>
    <n v="16.399999999999999"/>
    <n v="9"/>
    <n v="119586"/>
    <n v="387904"/>
    <x v="8"/>
    <s v="f6af927e-8cf8-4f51-bf42-bc3a84e880e0"/>
    <s v="приобретение автомобиля"/>
    <s v="в аренде"/>
    <s v="долгосрочный"/>
    <x v="1"/>
    <b v="0"/>
    <n v="0.14491340750086018"/>
    <n v="0.79393939393939394"/>
    <n v="0.12770111651875177"/>
  </r>
  <r>
    <n v="826"/>
    <n v="0"/>
    <n v="260260"/>
    <n v="730"/>
    <n v="1236197"/>
    <n v="30"/>
    <n v="21015.33"/>
    <n v="12.8"/>
    <n v="10"/>
    <n v="121106"/>
    <n v="308198"/>
    <x v="8"/>
    <s v="9d1f6f0e-a3ee-4e39-a6e5-727390babdba"/>
    <s v="консолидация кредитов"/>
    <s v="в ипотеке"/>
    <s v="долгосрочный"/>
    <x v="1"/>
    <b v="0"/>
    <n v="0.31075811446266771"/>
    <n v="0.87272727272727268"/>
    <n v="0.20399981556337704"/>
  </r>
  <r>
    <n v="827"/>
    <n v="0"/>
    <n v="769230"/>
    <n v="691"/>
    <n v="2799707"/>
    <n v="0"/>
    <n v="63459.81"/>
    <n v="17"/>
    <n v="18"/>
    <n v="633536"/>
    <n v="1047926"/>
    <x v="4"/>
    <s v="48c25a2a-a932-4080-9709-81c783151fe1"/>
    <s v="консолидация кредитов"/>
    <s v="в ипотеке"/>
    <s v="долгосрочный"/>
    <x v="0"/>
    <b v="1"/>
    <n v="0.97410826929693772"/>
    <n v="0.63636363636363635"/>
    <n v="0.27199907704627663"/>
  </r>
  <r>
    <n v="828"/>
    <n v="0"/>
    <n v="360052"/>
    <n v="719"/>
    <n v="721582"/>
    <n v="0"/>
    <n v="13529.71"/>
    <n v="17"/>
    <n v="6"/>
    <n v="354730"/>
    <n v="416130"/>
    <x v="1"/>
    <s v="64c6b07b-c8d7-47a2-bd19-4a698e6d0863"/>
    <s v="консолидация кредитов"/>
    <s v="в ипотеке"/>
    <s v="краткосрочный"/>
    <x v="0"/>
    <b v="0"/>
    <n v="0.44081890125014339"/>
    <n v="0.80606060606060603"/>
    <n v="0.22500078993101266"/>
  </r>
  <r>
    <n v="829"/>
    <n v="0"/>
    <n v="524524"/>
    <n v="723"/>
    <n v="1168044"/>
    <n v="0"/>
    <n v="15892.36"/>
    <n v="15.4"/>
    <n v="12"/>
    <n v="449236"/>
    <n v="959706"/>
    <x v="3"/>
    <s v="4509ab8b-fda5-422c-8e71-b06684f71931"/>
    <s v="консолидация кредитов"/>
    <s v="в ипотеке"/>
    <s v="краткосрочный"/>
    <x v="0"/>
    <b v="0"/>
    <n v="0.65517834614061243"/>
    <n v="0.83030303030303032"/>
    <n v="0.1632715205934023"/>
  </r>
  <r>
    <n v="830"/>
    <n v="0"/>
    <n v="259028"/>
    <n v="698"/>
    <n v="2469753"/>
    <n v="68"/>
    <n v="22227.72"/>
    <n v="8.4"/>
    <n v="10"/>
    <n v="250705"/>
    <n v="468204"/>
    <x v="9"/>
    <s v="5d745ebc-1eb1-4a7a-a14d-c71693e03fe6"/>
    <s v="консолидация кредитов"/>
    <s v="в ипотеке"/>
    <s v="долгосрочный"/>
    <x v="0"/>
    <b v="0"/>
    <n v="0.30915242573689644"/>
    <n v="0.67878787878787883"/>
    <n v="0.107999723049228"/>
  </r>
  <r>
    <n v="831"/>
    <n v="0"/>
    <n v="267542"/>
    <n v="746"/>
    <n v="1578881"/>
    <n v="71"/>
    <n v="15657.33"/>
    <n v="10"/>
    <n v="11"/>
    <n v="195966"/>
    <n v="387882"/>
    <x v="9"/>
    <s v="b470a9ba-f292-40c8-8930-bc030ef950d7"/>
    <s v="консолидация кредитов"/>
    <s v="в аренде"/>
    <s v="краткосрочный"/>
    <x v="0"/>
    <b v="0"/>
    <n v="0.32024888175249455"/>
    <n v="0.96969696969696972"/>
    <n v="0.11900070999651019"/>
  </r>
  <r>
    <n v="832"/>
    <n v="0"/>
    <n v="174438"/>
    <n v="723"/>
    <n v="1168044"/>
    <n v="0"/>
    <n v="9476.6299999999992"/>
    <n v="17"/>
    <n v="5"/>
    <n v="84265"/>
    <n v="109032"/>
    <x v="1"/>
    <s v="daa1073c-1549-47a6-9613-7e119e969348"/>
    <s v="иное"/>
    <s v="в ипотеке"/>
    <s v="краткосрочный"/>
    <x v="1"/>
    <b v="0"/>
    <n v="0.1989046909049203"/>
    <n v="0.83030303030303032"/>
    <n v="9.7358969353894195E-2"/>
  </r>
  <r>
    <n v="833"/>
    <n v="0"/>
    <n v="249326"/>
    <n v="723"/>
    <n v="1168044"/>
    <n v="0"/>
    <n v="11548.58"/>
    <n v="10.199999999999999"/>
    <n v="8"/>
    <n v="250382"/>
    <n v="365134"/>
    <x v="3"/>
    <s v="1f0bd8c2-ac0e-4298-99cf-a4d5833316a3"/>
    <s v="консолидация кредитов"/>
    <s v="в аренде"/>
    <s v="краткосрочный"/>
    <x v="0"/>
    <b v="0"/>
    <n v="0.2965076270214474"/>
    <n v="0.83030303030303032"/>
    <n v="0.11864532500487995"/>
  </r>
  <r>
    <n v="834"/>
    <n v="1"/>
    <n v="221276"/>
    <n v="743"/>
    <n v="1299486"/>
    <n v="37"/>
    <n v="12345.25"/>
    <n v="20.8"/>
    <n v="12"/>
    <n v="74385"/>
    <n v="206030"/>
    <x v="3"/>
    <s v="06e9516e-b22b-4659-80ac-aad5e871f195"/>
    <s v="консолидация кредитов"/>
    <s v="в ипотеке"/>
    <s v="краткосрочный"/>
    <x v="0"/>
    <b v="0"/>
    <n v="0.25994953549719002"/>
    <n v="0.95151515151515154"/>
    <n v="0.11400122817791035"/>
  </r>
  <r>
    <n v="835"/>
    <n v="0"/>
    <n v="222420"/>
    <n v="712"/>
    <n v="2723840"/>
    <n v="68"/>
    <n v="42446.57"/>
    <n v="18.3"/>
    <n v="17"/>
    <n v="563920"/>
    <n v="814176"/>
    <x v="3"/>
    <s v="362ee5ad-b494-4847-a3b0-f9cd5ddcd2c0"/>
    <s v="ремонт жилья"/>
    <s v="в ипотеке"/>
    <s v="краткосрочный"/>
    <x v="0"/>
    <b v="0"/>
    <n v="0.26144053217112057"/>
    <n v="0.76363636363636367"/>
    <n v="0.18700027901785715"/>
  </r>
  <r>
    <n v="836"/>
    <n v="0"/>
    <n v="402578"/>
    <n v="723"/>
    <n v="1168044"/>
    <n v="18"/>
    <n v="5097.32"/>
    <n v="16.3"/>
    <n v="8"/>
    <n v="211964"/>
    <n v="322102"/>
    <x v="1"/>
    <s v="f4c3ce6e-3da2-49d1-8ff0-aeb12bb4a8ce"/>
    <s v="консолидация кредитов"/>
    <s v="в ипотеке"/>
    <s v="краткосрочный"/>
    <x v="0"/>
    <b v="0"/>
    <n v="0.49624383530221355"/>
    <n v="0.83030303030303032"/>
    <n v="5.2367753269568607E-2"/>
  </r>
  <r>
    <n v="837"/>
    <n v="0"/>
    <n v="280852"/>
    <n v="738"/>
    <n v="1585930"/>
    <n v="0"/>
    <n v="28811.03"/>
    <n v="22.6"/>
    <n v="13"/>
    <n v="276602"/>
    <n v="423654"/>
    <x v="1"/>
    <s v="92791a70-fc97-460a-aa6e-ad0b0a0e68d3"/>
    <s v="консолидация кредитов"/>
    <s v="в ипотеке"/>
    <s v="краткосрочный"/>
    <x v="0"/>
    <b v="0"/>
    <n v="0.33759605459341668"/>
    <n v="0.92121212121212126"/>
    <n v="0.21799976039295552"/>
  </r>
  <r>
    <n v="838"/>
    <n v="1"/>
    <m/>
    <n v="723"/>
    <n v="905521"/>
    <n v="0"/>
    <n v="6489.64"/>
    <n v="24.5"/>
    <n v="5"/>
    <n v="134026"/>
    <n v="170346"/>
    <x v="10"/>
    <s v="41df3f35-84b1-40f8-908c-35c591d15f2c"/>
    <s v="консолидация кредитов"/>
    <s v="в ипотеке"/>
    <s v="краткосрочный"/>
    <x v="0"/>
    <b v="0"/>
    <m/>
    <n v="0.83030303030303032"/>
    <n v="8.6000965190205433E-2"/>
  </r>
  <r>
    <n v="839"/>
    <n v="0"/>
    <n v="386694"/>
    <n v="740"/>
    <n v="1726910"/>
    <n v="77"/>
    <n v="17412.93"/>
    <n v="11.8"/>
    <n v="8"/>
    <n v="298756"/>
    <n v="353694"/>
    <x v="1"/>
    <s v="7e9d3fa1-b9d6-4869-9c37-26a99d3a1143"/>
    <s v="консолидация кредитов"/>
    <s v="в аренде"/>
    <s v="краткосрочный"/>
    <x v="0"/>
    <b v="0"/>
    <n v="0.47554191994494782"/>
    <n v="0.93333333333333335"/>
    <n v="0.12099944988447575"/>
  </r>
  <r>
    <n v="840"/>
    <n v="0"/>
    <n v="351692"/>
    <n v="723"/>
    <n v="1168044"/>
    <n v="0"/>
    <n v="27715.11"/>
    <n v="16.100000000000001"/>
    <n v="8"/>
    <n v="188708"/>
    <n v="272448"/>
    <x v="3"/>
    <s v="7fbe8108-cfc6-4925-8021-e952321915e0"/>
    <s v="консолидация кредитов"/>
    <s v="в аренде"/>
    <s v="краткосрочный"/>
    <x v="1"/>
    <b v="0"/>
    <n v="0.42992315632526668"/>
    <n v="0.83030303030303032"/>
    <n v="0.28473355455787625"/>
  </r>
  <r>
    <n v="841"/>
    <n v="0"/>
    <n v="224092"/>
    <n v="721"/>
    <n v="696730"/>
    <n v="0"/>
    <n v="10683.13"/>
    <n v="7.7"/>
    <n v="7"/>
    <n v="119377"/>
    <n v="219736"/>
    <x v="6"/>
    <s v="3fa09eea-e901-4afb-a78d-adb917a38a45"/>
    <s v="консолидация кредитов"/>
    <s v="в аренде"/>
    <s v="краткосрочный"/>
    <x v="0"/>
    <b v="0"/>
    <n v="0.26361968115609591"/>
    <n v="0.81818181818181823"/>
    <n v="0.18399890919007361"/>
  </r>
  <r>
    <n v="842"/>
    <n v="0"/>
    <n v="65912"/>
    <n v="732"/>
    <n v="948575"/>
    <n v="15"/>
    <n v="4956.34"/>
    <n v="15.4"/>
    <n v="8"/>
    <n v="159486"/>
    <n v="721402"/>
    <x v="9"/>
    <s v="c0979432-6b2b-47fb-88be-290b2e0d3010"/>
    <s v="консолидация кредитов"/>
    <s v="в собственности"/>
    <s v="краткосрочный"/>
    <x v="0"/>
    <b v="0"/>
    <n v="5.7460717972244522E-2"/>
    <n v="0.88484848484848488"/>
    <n v="6.2700450676014013E-2"/>
  </r>
  <r>
    <n v="843"/>
    <n v="0"/>
    <n v="177144"/>
    <n v="675"/>
    <n v="705394"/>
    <n v="17"/>
    <n v="19221.919999999998"/>
    <n v="6.4"/>
    <n v="8"/>
    <n v="72523"/>
    <n v="174218"/>
    <x v="9"/>
    <s v="8e6658e5-4eec-4397-ba60-dd279eb6f448"/>
    <s v="консолидация кредитов"/>
    <s v="в аренде"/>
    <s v="краткосрочный"/>
    <x v="1"/>
    <b v="0"/>
    <n v="0.20243147149902513"/>
    <n v="0.53939393939393943"/>
    <n v="0.32699886871734091"/>
  </r>
  <r>
    <n v="844"/>
    <n v="0"/>
    <n v="94908"/>
    <n v="738"/>
    <n v="768170"/>
    <n v="0"/>
    <n v="5281.24"/>
    <n v="15.4"/>
    <n v="10"/>
    <n v="213579"/>
    <n v="353782"/>
    <x v="8"/>
    <s v="ab4e245b-381d-4260-acff-8a6a58ba94c0"/>
    <s v="консолидация кредитов"/>
    <s v="в аренде"/>
    <s v="краткосрочный"/>
    <x v="1"/>
    <b v="0"/>
    <n v="9.5251749053790566E-2"/>
    <n v="0.92121212121212126"/>
    <n v="8.250111303487509E-2"/>
  </r>
  <r>
    <n v="845"/>
    <n v="0"/>
    <n v="157234"/>
    <n v="723"/>
    <n v="1168044"/>
    <n v="0"/>
    <n v="13398.04"/>
    <n v="15.7"/>
    <n v="17"/>
    <n v="169043"/>
    <n v="194370"/>
    <x v="10"/>
    <s v="4ab01738-05af-4ace-881e-0a435c452a47"/>
    <s v="консолидация кредитов"/>
    <s v="в аренде"/>
    <s v="краткосрочный"/>
    <x v="0"/>
    <b v="0"/>
    <n v="0.17648239477004243"/>
    <n v="0.83030303030303032"/>
    <n v="0.13764591059925826"/>
  </r>
  <r>
    <n v="846"/>
    <n v="0"/>
    <n v="294316"/>
    <n v="723"/>
    <n v="1168044"/>
    <n v="42"/>
    <n v="22443.94"/>
    <n v="15.7"/>
    <n v="8"/>
    <n v="306888"/>
    <n v="560494"/>
    <x v="4"/>
    <s v="6e89cd20-19f4-4bc7-9e70-590c34a9acdd"/>
    <s v="консолидация кредитов"/>
    <s v="в аренде"/>
    <s v="краткосрочный"/>
    <x v="0"/>
    <b v="0"/>
    <n v="0.35514393852506021"/>
    <n v="0.83030303030303032"/>
    <n v="0.23057973843451102"/>
  </r>
  <r>
    <n v="847"/>
    <n v="0"/>
    <n v="220770"/>
    <n v="741"/>
    <n v="591071"/>
    <n v="0"/>
    <n v="12067.66"/>
    <n v="18.5"/>
    <n v="7"/>
    <n v="393585"/>
    <n v="525646"/>
    <x v="8"/>
    <s v="66124403-409b-42e0-b79c-61187746de84"/>
    <s v="консолидация кредитов"/>
    <s v="в аренде"/>
    <s v="краткосрочный"/>
    <x v="0"/>
    <b v="0"/>
    <n v="0.25929005619910539"/>
    <n v="0.93939393939393945"/>
    <n v="0.24499919637403966"/>
  </r>
  <r>
    <n v="848"/>
    <n v="0"/>
    <n v="568414"/>
    <n v="717"/>
    <n v="1116744"/>
    <n v="0"/>
    <n v="12656.47"/>
    <n v="21.4"/>
    <n v="8"/>
    <n v="598044"/>
    <n v="969826"/>
    <x v="2"/>
    <s v="3a749d28-13c8-444f-af8c-788d2d944eb5"/>
    <s v="консолидация кредитов"/>
    <s v="в ипотеке"/>
    <s v="долгосрочный"/>
    <x v="0"/>
    <b v="0"/>
    <n v="0.7123810069962152"/>
    <n v="0.79393939393939394"/>
    <n v="0.13600040832993057"/>
  </r>
  <r>
    <n v="849"/>
    <n v="0"/>
    <n v="380512"/>
    <n v="728"/>
    <n v="948594"/>
    <n v="20"/>
    <n v="22845.22"/>
    <n v="15.9"/>
    <n v="27"/>
    <n v="348061"/>
    <n v="907676"/>
    <x v="0"/>
    <s v="9e815288-f863-4b4c-bc31-2ef070869c5e"/>
    <s v="консолидация кредитов"/>
    <s v="в ипотеке"/>
    <s v="краткосрочный"/>
    <x v="0"/>
    <b v="0"/>
    <n v="0.46748480330313108"/>
    <n v="0.8606060606060606"/>
    <n v="0.28899891839923086"/>
  </r>
  <r>
    <n v="850"/>
    <n v="0"/>
    <n v="177012"/>
    <n v="723"/>
    <n v="1168044"/>
    <n v="0"/>
    <n v="16275.59"/>
    <n v="9.3000000000000007"/>
    <n v="11"/>
    <n v="155515"/>
    <n v="424688"/>
    <x v="6"/>
    <s v="b071d166-881d-4f1e-bffc-c5b29ed2622d"/>
    <s v="консолидация кредитов"/>
    <s v="в аренде"/>
    <s v="краткосрочный"/>
    <x v="0"/>
    <b v="0"/>
    <n v="0.2022594334212639"/>
    <n v="0.83030303030303032"/>
    <n v="0.16720866679679874"/>
  </r>
  <r>
    <n v="851"/>
    <n v="0"/>
    <n v="227722"/>
    <n v="673"/>
    <n v="578892"/>
    <n v="0"/>
    <n v="13314.63"/>
    <n v="22.3"/>
    <n v="11"/>
    <n v="167124"/>
    <n v="435798"/>
    <x v="1"/>
    <s v="1376430c-3aec-4f17-acb5-c1b4626fbf94"/>
    <s v="иное"/>
    <s v="в аренде"/>
    <s v="краткосрочный"/>
    <x v="0"/>
    <b v="0"/>
    <n v="0.26835072829452916"/>
    <n v="0.52727272727272723"/>
    <n v="0.27600236313509252"/>
  </r>
  <r>
    <n v="852"/>
    <n v="1"/>
    <n v="180290"/>
    <n v="741"/>
    <n v="1297548"/>
    <n v="0"/>
    <n v="16976.12"/>
    <n v="14"/>
    <n v="13"/>
    <n v="191159"/>
    <n v="799106"/>
    <x v="6"/>
    <s v="cc20dd6b-0229-40cd-8485-610a36c8a246"/>
    <s v="консолидация кредитов"/>
    <s v="в ипотеке"/>
    <s v="краткосрочный"/>
    <x v="0"/>
    <b v="0"/>
    <n v="0.20653171235233397"/>
    <n v="0.93939393939393945"/>
    <n v="0.15699876998769988"/>
  </r>
  <r>
    <n v="853"/>
    <n v="0"/>
    <n v="145552"/>
    <n v="723"/>
    <n v="1168044"/>
    <n v="0"/>
    <n v="10970.22"/>
    <n v="23"/>
    <n v="17"/>
    <n v="194959"/>
    <n v="832964"/>
    <x v="3"/>
    <s v="b0e29963-ee8d-4a22-ae6e-15c7fe1407db"/>
    <s v="консолидация кредитов"/>
    <s v="в ипотеке"/>
    <s v="краткосрочный"/>
    <x v="0"/>
    <b v="0"/>
    <n v="0.16125702488817525"/>
    <n v="0.83030303030303032"/>
    <n v="0.11270349404645714"/>
  </r>
  <r>
    <n v="854"/>
    <n v="0"/>
    <m/>
    <n v="716"/>
    <n v="4379215"/>
    <n v="5"/>
    <n v="32114.18"/>
    <n v="26.1"/>
    <n v="19"/>
    <n v="1959071"/>
    <n v="6164114"/>
    <x v="4"/>
    <s v="cf0f4b83-0179-4a41-949c-439f147ac49c"/>
    <s v="ремонт жилья"/>
    <s v="в ипотеке"/>
    <s v="краткосрочный"/>
    <x v="0"/>
    <b v="0"/>
    <m/>
    <n v="0.78787878787878785"/>
    <n v="8.7999826452914515E-2"/>
  </r>
  <r>
    <n v="855"/>
    <n v="0"/>
    <n v="218614"/>
    <n v="723"/>
    <n v="1168044"/>
    <n v="0"/>
    <n v="11894.57"/>
    <n v="12.7"/>
    <n v="9"/>
    <n v="64619"/>
    <n v="135564"/>
    <x v="2"/>
    <s v="53577bb1-e451-4e5e-851c-fdaedb667c66"/>
    <s v="консолидация кредитов"/>
    <s v="в ипотеке"/>
    <s v="краткосрочный"/>
    <x v="0"/>
    <b v="0"/>
    <n v="0.25648010092900564"/>
    <n v="0.83030303030303032"/>
    <n v="0.12219988288112434"/>
  </r>
  <r>
    <n v="856"/>
    <n v="0"/>
    <m/>
    <n v="745"/>
    <n v="1774676"/>
    <n v="0"/>
    <n v="22863.84"/>
    <n v="16.7"/>
    <n v="16"/>
    <n v="483949"/>
    <n v="1262074"/>
    <x v="4"/>
    <s v="bde31ca6-3e9e-4b8e-8f34-c94530d0ca37"/>
    <s v="консолидация кредитов"/>
    <s v="в аренде"/>
    <s v="краткосрочный"/>
    <x v="0"/>
    <b v="0"/>
    <m/>
    <n v="0.96363636363636362"/>
    <n v="0.15460065950066379"/>
  </r>
  <r>
    <n v="857"/>
    <n v="0"/>
    <m/>
    <n v="668"/>
    <n v="624929"/>
    <n v="11"/>
    <n v="8009.45"/>
    <n v="14.8"/>
    <n v="7"/>
    <n v="5928"/>
    <n v="52800"/>
    <x v="6"/>
    <s v="082a4886-264f-4a5e-a563-34bf467a5487"/>
    <s v="консолидация кредитов"/>
    <s v="в аренде"/>
    <s v="долгосрочный"/>
    <x v="0"/>
    <b v="0"/>
    <m/>
    <n v="0.49696969696969695"/>
    <n v="0.15379891155635281"/>
  </r>
  <r>
    <n v="858"/>
    <n v="0"/>
    <n v="391314"/>
    <n v="723"/>
    <n v="1168044"/>
    <n v="0"/>
    <n v="19341.05"/>
    <n v="12.4"/>
    <n v="18"/>
    <n v="349771"/>
    <n v="433136"/>
    <x v="3"/>
    <s v="ec96b122-c216-439b-833a-3f683c587469"/>
    <s v="консолидация кредитов"/>
    <s v="в аренде"/>
    <s v="краткосрочный"/>
    <x v="1"/>
    <b v="0"/>
    <n v="0.48156325266659022"/>
    <n v="0.83030303030303032"/>
    <n v="0.19870193246144835"/>
  </r>
  <r>
    <n v="859"/>
    <n v="0"/>
    <n v="134882"/>
    <n v="738"/>
    <n v="990223"/>
    <n v="30"/>
    <n v="13780.51"/>
    <n v="22.6"/>
    <n v="12"/>
    <n v="33326"/>
    <n v="85338"/>
    <x v="3"/>
    <s v="0b7ab558-9e37-4bd2-81e1-55a099fdb4e8"/>
    <s v="консолидация кредитов"/>
    <s v="в аренде"/>
    <s v="краткосрочный"/>
    <x v="0"/>
    <b v="0"/>
    <n v="0.14735061360247734"/>
    <n v="0.92121212121212126"/>
    <n v="0.16699886793176891"/>
  </r>
  <r>
    <n v="860"/>
    <n v="1"/>
    <n v="79772"/>
    <n v="703"/>
    <n v="1569381"/>
    <n v="0"/>
    <n v="33349.18"/>
    <n v="20.6"/>
    <n v="19"/>
    <n v="1175549"/>
    <n v="1824614"/>
    <x v="1"/>
    <s v="eb0579cb-0c08-4b7b-b1ec-f7ba5ef1e95b"/>
    <s v="консолидация кредитов"/>
    <s v="в собственности"/>
    <s v="краткосрочный"/>
    <x v="0"/>
    <b v="0"/>
    <n v="7.5524716137171696E-2"/>
    <n v="0.70909090909090911"/>
    <n v="0.25499872879816948"/>
  </r>
  <r>
    <n v="861"/>
    <n v="1"/>
    <n v="216942"/>
    <n v="735"/>
    <n v="599545"/>
    <n v="0"/>
    <n v="11691.27"/>
    <n v="14"/>
    <n v="12"/>
    <n v="159296"/>
    <n v="312620"/>
    <x v="1"/>
    <s v="a98bbd37-206d-4f81-a644-dacac1b23e51"/>
    <s v="иное"/>
    <s v="в собственности"/>
    <s v="краткосрочный"/>
    <x v="1"/>
    <b v="0"/>
    <n v="0.2543009519440303"/>
    <n v="0.90303030303030307"/>
    <n v="0.23400285216289018"/>
  </r>
  <r>
    <n v="862"/>
    <n v="0"/>
    <n v="64856"/>
    <n v="722"/>
    <n v="1306991"/>
    <n v="31"/>
    <n v="15139.2"/>
    <n v="24.5"/>
    <n v="4"/>
    <n v="51813"/>
    <n v="69212"/>
    <x v="1"/>
    <s v="48e17c7f-648f-4110-b8bf-cb6c55934cee"/>
    <s v="ремонт жилья"/>
    <s v="в ипотеке"/>
    <s v="краткосрочный"/>
    <x v="0"/>
    <b v="0"/>
    <n v="5.6084413350154835E-2"/>
    <n v="0.82424242424242422"/>
    <n v="0.13899896785823315"/>
  </r>
  <r>
    <n v="863"/>
    <n v="0"/>
    <n v="171644"/>
    <n v="723"/>
    <n v="1168044"/>
    <n v="35"/>
    <n v="17454.349999999999"/>
    <n v="10"/>
    <n v="11"/>
    <n v="152551"/>
    <n v="500368"/>
    <x v="0"/>
    <s v="d14fe087-6ea3-4ed4-80dc-a2fde0fc5389"/>
    <s v="консолидация кредитов"/>
    <s v="в ипотеке"/>
    <s v="краткосрочный"/>
    <x v="0"/>
    <b v="0"/>
    <n v="0.19526321825897466"/>
    <n v="0.83030303030303032"/>
    <n v="0.17931875853991799"/>
  </r>
  <r>
    <n v="864"/>
    <n v="0"/>
    <n v="195206"/>
    <n v="750"/>
    <n v="1015588"/>
    <n v="0"/>
    <n v="12830.13"/>
    <n v="15.4"/>
    <n v="9"/>
    <n v="236170"/>
    <n v="836286"/>
    <x v="6"/>
    <s v="9b2e47fe-07db-4d5f-9ca0-116e650496d3"/>
    <s v="консолидация кредитов"/>
    <s v="в ипотеке"/>
    <s v="краткосрочный"/>
    <x v="0"/>
    <b v="0"/>
    <n v="0.22597201513935083"/>
    <n v="0.9939393939393939"/>
    <n v="0.15159844346329418"/>
  </r>
  <r>
    <n v="865"/>
    <n v="0"/>
    <n v="312422"/>
    <n v="723"/>
    <n v="1168044"/>
    <n v="0"/>
    <n v="16836.09"/>
    <n v="21"/>
    <n v="17"/>
    <n v="426018"/>
    <n v="510664"/>
    <x v="8"/>
    <s v="70d52005-13e3-44e3-8942-f9ba6d920912"/>
    <s v="консолидация кредитов"/>
    <s v="в ипотеке"/>
    <s v="краткосрочный"/>
    <x v="0"/>
    <b v="0"/>
    <n v="0.37874182819130636"/>
    <n v="0.83030303030303032"/>
    <n v="0.17296701151668945"/>
  </r>
  <r>
    <n v="866"/>
    <n v="0"/>
    <n v="467632"/>
    <n v="726"/>
    <n v="1148436"/>
    <n v="5"/>
    <n v="9857.39"/>
    <n v="16.399999999999999"/>
    <n v="8"/>
    <n v="226708"/>
    <n v="418660"/>
    <x v="1"/>
    <s v="b913a3cc-c4c4-461f-8553-7ac2a88410e0"/>
    <s v="консолидация кредитов"/>
    <s v="в собственности"/>
    <s v="долгосрочный"/>
    <x v="1"/>
    <b v="0"/>
    <n v="0.58102993462553043"/>
    <n v="0.84848484848484851"/>
    <n v="0.10299980146912845"/>
  </r>
  <r>
    <n v="867"/>
    <n v="0"/>
    <n v="221826"/>
    <n v="723"/>
    <n v="1168044"/>
    <n v="55"/>
    <n v="15042.11"/>
    <n v="21.2"/>
    <n v="13"/>
    <n v="224808"/>
    <n v="321772"/>
    <x v="8"/>
    <s v="51d762c9-4b63-4926-ac1d-64eba303d6ef"/>
    <s v="консолидация кредитов"/>
    <s v="в ипотеке"/>
    <s v="краткосрочный"/>
    <x v="0"/>
    <b v="0"/>
    <n v="0.2606663608211951"/>
    <n v="0.83030303030303032"/>
    <n v="0.15453640445051728"/>
  </r>
  <r>
    <n v="868"/>
    <n v="0"/>
    <n v="43714"/>
    <n v="723"/>
    <n v="1168044"/>
    <n v="0"/>
    <n v="3642.87"/>
    <n v="7"/>
    <n v="8"/>
    <n v="27968"/>
    <n v="152790"/>
    <x v="10"/>
    <s v="40f81e7d-9d14-4bf6-bfc4-a19448221d89"/>
    <s v="консолидация кредитов"/>
    <s v="в аренде"/>
    <s v="краткосрочный"/>
    <x v="0"/>
    <b v="0"/>
    <n v="2.8529647895400849E-2"/>
    <n v="0.83030303030303032"/>
    <n v="3.7425336716767517E-2"/>
  </r>
  <r>
    <n v="869"/>
    <n v="0"/>
    <n v="555060"/>
    <n v="699"/>
    <n v="1143610"/>
    <n v="15"/>
    <n v="15152.88"/>
    <n v="22.2"/>
    <n v="6"/>
    <n v="28690"/>
    <n v="64262"/>
    <x v="1"/>
    <s v="fb366861-2a26-4a0c-80c4-8fdae26e9099"/>
    <s v="иное"/>
    <s v="в ипотеке"/>
    <s v="краткосрочный"/>
    <x v="0"/>
    <b v="0"/>
    <n v="0.69497648812937263"/>
    <n v="0.68484848484848482"/>
    <n v="0.15900049842166472"/>
  </r>
  <r>
    <n v="870"/>
    <n v="0"/>
    <n v="117722"/>
    <n v="723"/>
    <n v="1168044"/>
    <n v="4"/>
    <n v="19875.52"/>
    <n v="12"/>
    <n v="11"/>
    <n v="0"/>
    <n v="0"/>
    <x v="4"/>
    <s v="b4689e6e-45f0-42ab-9ff8-61dc0b02f3f8"/>
    <s v="иное"/>
    <s v="в аренде"/>
    <s v="краткосрочный"/>
    <x v="0"/>
    <b v="0"/>
    <n v="0.1249856634935199"/>
    <n v="0.83030303030303032"/>
    <n v="0.20419285574858481"/>
  </r>
  <r>
    <n v="871"/>
    <n v="1"/>
    <n v="590414"/>
    <n v="692"/>
    <n v="1243645"/>
    <n v="0"/>
    <n v="4186.84"/>
    <n v="20.8"/>
    <n v="10"/>
    <n v="94145"/>
    <n v="502392"/>
    <x v="1"/>
    <s v="adfbb01f-2156-471f-87d2-84a91af0d93f"/>
    <s v="ремонт жилья"/>
    <s v="в ипотеке"/>
    <s v="долгосрочный"/>
    <x v="0"/>
    <b v="0"/>
    <n v="0.74105401995641706"/>
    <n v="0.64242424242424245"/>
    <n v="4.0399052784355668E-2"/>
  </r>
  <r>
    <n v="872"/>
    <n v="0"/>
    <n v="189002"/>
    <n v="703"/>
    <n v="2431962"/>
    <n v="19"/>
    <n v="24725.08"/>
    <n v="14.8"/>
    <n v="10"/>
    <n v="108471"/>
    <n v="156002"/>
    <x v="10"/>
    <s v="4f09dde1-a987-433a-99de-91f3c2d445e6"/>
    <s v="иное"/>
    <s v="в аренде"/>
    <s v="краткосрочный"/>
    <x v="0"/>
    <b v="0"/>
    <n v="0.21788622548457393"/>
    <n v="0.70909090909090911"/>
    <n v="0.12200065626025408"/>
  </r>
  <r>
    <n v="873"/>
    <n v="0"/>
    <n v="395538"/>
    <n v="697"/>
    <n v="747213"/>
    <n v="78"/>
    <n v="17933.150000000001"/>
    <n v="28.1"/>
    <n v="15"/>
    <n v="621832"/>
    <n v="1046540"/>
    <x v="10"/>
    <s v="86b62db7-9526-4335-a386-063bcd82cb3d"/>
    <s v="консолидация кредитов"/>
    <s v="в ипотеке"/>
    <s v="долгосрочный"/>
    <x v="0"/>
    <b v="0"/>
    <n v="0.48706847115494895"/>
    <n v="0.67272727272727273"/>
    <n v="0.28800061026775498"/>
  </r>
  <r>
    <n v="874"/>
    <n v="0"/>
    <n v="447920"/>
    <n v="683"/>
    <n v="1005784"/>
    <n v="0"/>
    <n v="7870.18"/>
    <n v="15.1"/>
    <n v="10"/>
    <n v="230888"/>
    <n v="286528"/>
    <x v="10"/>
    <s v="2105a980-75d4-4191-a12b-2e5cc7c18161"/>
    <s v="консолидация кредитов"/>
    <s v="в ипотеке"/>
    <s v="краткосрочный"/>
    <x v="0"/>
    <b v="0"/>
    <n v="0.55533891501318955"/>
    <n v="0.58787878787878789"/>
    <n v="9.3899047906906466E-2"/>
  </r>
  <r>
    <n v="875"/>
    <n v="0"/>
    <m/>
    <n v="726"/>
    <n v="1199964"/>
    <n v="0"/>
    <n v="34099.11"/>
    <n v="19"/>
    <n v="31"/>
    <n v="704406"/>
    <n v="1276418"/>
    <x v="2"/>
    <s v="d891a41d-f475-49a5-b475-d95b072a451f"/>
    <s v="консолидация кредитов"/>
    <s v="в ипотеке"/>
    <s v="краткосрочный"/>
    <x v="0"/>
    <b v="0"/>
    <m/>
    <n v="0.84848484848484851"/>
    <n v="0.34100133003990118"/>
  </r>
  <r>
    <n v="876"/>
    <n v="0"/>
    <n v="302588"/>
    <n v="730"/>
    <n v="1133673"/>
    <n v="52"/>
    <n v="7642.75"/>
    <n v="25.5"/>
    <n v="10"/>
    <n v="197524"/>
    <n v="309078"/>
    <x v="1"/>
    <s v="1299f13c-514e-40b1-bb0e-57add6fe3e37"/>
    <s v="консолидация кредитов"/>
    <s v="в аренде"/>
    <s v="краткосрочный"/>
    <x v="0"/>
    <b v="0"/>
    <n v="0.36592499139809609"/>
    <n v="0.87272727272727268"/>
    <n v="8.0898989391120724E-2"/>
  </r>
  <r>
    <n v="877"/>
    <n v="0"/>
    <n v="785026"/>
    <n v="723"/>
    <n v="1168044"/>
    <n v="6"/>
    <n v="49394.87"/>
    <n v="21.7"/>
    <n v="7"/>
    <n v="431224"/>
    <n v="515812"/>
    <x v="1"/>
    <s v="64d94dad-740f-4760-bdf6-3562006d7128"/>
    <s v="консолидация кредитов"/>
    <s v="в ипотеке"/>
    <s v="долгосрочный"/>
    <x v="1"/>
    <b v="1"/>
    <n v="0.99469549260236267"/>
    <n v="0.83030303030303032"/>
    <n v="0.50746242436072619"/>
  </r>
  <r>
    <n v="878"/>
    <n v="0"/>
    <n v="315920"/>
    <n v="723"/>
    <n v="1168044"/>
    <n v="13"/>
    <n v="70936.88"/>
    <n v="24"/>
    <n v="17"/>
    <n v="361627"/>
    <n v="1172864"/>
    <x v="7"/>
    <s v="b868e021-151d-4d2a-a19c-95ea92295641"/>
    <s v="консолидация кредитов"/>
    <s v="в ипотеке"/>
    <s v="долгосрочный"/>
    <x v="0"/>
    <b v="1"/>
    <n v="0.38330083725197844"/>
    <n v="0.83030303030303032"/>
    <n v="0.72877610774936563"/>
  </r>
  <r>
    <n v="879"/>
    <n v="1"/>
    <n v="106106"/>
    <n v="719"/>
    <n v="954579"/>
    <n v="0"/>
    <n v="4598"/>
    <n v="10.8"/>
    <n v="9"/>
    <n v="117344"/>
    <n v="358468"/>
    <x v="2"/>
    <s v="bde2c558-d1f8-4e9b-8920-ea8241a90ee9"/>
    <s v="консолидация кредитов"/>
    <s v="в собственности"/>
    <s v="краткосрочный"/>
    <x v="0"/>
    <b v="0"/>
    <n v="0.10984631265053332"/>
    <n v="0.80606060606060603"/>
    <n v="5.7801397265181825E-2"/>
  </r>
  <r>
    <n v="880"/>
    <n v="1"/>
    <m/>
    <n v="712"/>
    <n v="652137"/>
    <n v="17"/>
    <n v="9075.73"/>
    <n v="20.399999999999999"/>
    <n v="11"/>
    <n v="85101"/>
    <n v="226534"/>
    <x v="4"/>
    <s v="eeadd70e-80dc-4ebb-96c9-12a616727898"/>
    <s v="консолидация кредитов"/>
    <s v="в аренде"/>
    <s v="краткосрочный"/>
    <x v="0"/>
    <b v="0"/>
    <m/>
    <n v="0.76363636363636367"/>
    <n v="0.16700288436325494"/>
  </r>
  <r>
    <n v="881"/>
    <n v="0"/>
    <n v="134332"/>
    <n v="723"/>
    <n v="1168044"/>
    <n v="29"/>
    <n v="12567.36"/>
    <n v="7"/>
    <n v="11"/>
    <n v="128383"/>
    <n v="297902"/>
    <x v="9"/>
    <s v="c3239d9d-1761-453f-8f32-1740e52d5cdd"/>
    <s v="консолидация кредитов"/>
    <s v="в ипотеке"/>
    <s v="краткосрочный"/>
    <x v="0"/>
    <b v="0"/>
    <n v="0.14663378827847232"/>
    <n v="0.83030303030303032"/>
    <n v="0.12911184852625415"/>
  </r>
  <r>
    <n v="882"/>
    <n v="0"/>
    <n v="302764"/>
    <n v="738"/>
    <n v="1531514"/>
    <n v="44"/>
    <n v="13400.7"/>
    <n v="11"/>
    <n v="18"/>
    <n v="201704"/>
    <n v="463430"/>
    <x v="2"/>
    <s v="82f5b5f0-0ccb-4e8a-8067-c7e34e6771ba"/>
    <s v="крупная покупка"/>
    <s v="в аренде"/>
    <s v="краткосрочный"/>
    <x v="0"/>
    <b v="0"/>
    <n v="0.36615437550177771"/>
    <n v="0.92121212121212126"/>
    <n v="0.10499962781926904"/>
  </r>
  <r>
    <n v="883"/>
    <n v="1"/>
    <n v="747736"/>
    <n v="646"/>
    <n v="1538696"/>
    <n v="77"/>
    <n v="20644.07"/>
    <n v="18"/>
    <n v="7"/>
    <n v="167200"/>
    <n v="222772"/>
    <x v="10"/>
    <s v="3483498c-c247-4329-acec-91aeb5c245ab"/>
    <s v="консолидация кредитов"/>
    <s v="в ипотеке"/>
    <s v="долгосрочный"/>
    <x v="0"/>
    <b v="0"/>
    <n v="0.94609473563482049"/>
    <n v="0.36363636363636365"/>
    <n v="0.1609992097204386"/>
  </r>
  <r>
    <n v="884"/>
    <n v="0"/>
    <n v="216018"/>
    <n v="736"/>
    <n v="1212656"/>
    <n v="0"/>
    <n v="2647.65"/>
    <n v="21.6"/>
    <n v="6"/>
    <n v="76114"/>
    <n v="345620"/>
    <x v="5"/>
    <s v="bcbd22b7-3fdf-4de9-8400-10e62f657f64"/>
    <s v="консолидация кредитов"/>
    <s v="в аренде"/>
    <s v="краткосрочный"/>
    <x v="0"/>
    <b v="0"/>
    <n v="0.25309668539970182"/>
    <n v="0.90909090909090906"/>
    <n v="2.6200175482577085E-2"/>
  </r>
  <r>
    <n v="885"/>
    <n v="0"/>
    <n v="132022"/>
    <n v="695"/>
    <n v="665076"/>
    <n v="0"/>
    <n v="6983.26"/>
    <n v="23"/>
    <n v="5"/>
    <n v="286634"/>
    <n v="563486"/>
    <x v="3"/>
    <s v="2b374e0f-e505-479c-9f67-77ca8b1a5261"/>
    <s v="крупная покупка"/>
    <s v="в аренде"/>
    <s v="долгосрочный"/>
    <x v="0"/>
    <b v="0"/>
    <n v="0.14362312191765111"/>
    <n v="0.66060606060606064"/>
    <n v="0.12599931436407269"/>
  </r>
  <r>
    <n v="886"/>
    <n v="0"/>
    <n v="181346"/>
    <n v="723"/>
    <n v="1168044"/>
    <n v="0"/>
    <n v="34339.65"/>
    <n v="20.3"/>
    <n v="23"/>
    <n v="365921"/>
    <n v="692318"/>
    <x v="0"/>
    <s v="5f99d4b8-6b1e-4c29-a740-c0f12e6f0888"/>
    <s v="ремонт жилья"/>
    <s v="в ипотеке"/>
    <s v="краткосрочный"/>
    <x v="0"/>
    <b v="0"/>
    <n v="0.20790801697442368"/>
    <n v="0.83030303030303032"/>
    <n v="0.35279133320320127"/>
  </r>
  <r>
    <n v="887"/>
    <n v="0"/>
    <n v="129184"/>
    <n v="751"/>
    <n v="1001186"/>
    <n v="0"/>
    <n v="12097.68"/>
    <n v="24.9"/>
    <n v="4"/>
    <n v="386289"/>
    <n v="989560"/>
    <x v="1"/>
    <s v="6337b5c4-3745-42b2-9bc9-313b66f6d99a"/>
    <s v="приобретение автомобиля"/>
    <s v="в ипотеке"/>
    <s v="краткосрочный"/>
    <x v="0"/>
    <b v="0"/>
    <n v="0.13992430324578506"/>
    <n v="1"/>
    <n v="0.14500018977492693"/>
  </r>
  <r>
    <n v="888"/>
    <n v="0"/>
    <n v="138160"/>
    <n v="728"/>
    <n v="691828"/>
    <n v="68"/>
    <n v="13548.14"/>
    <n v="20.6"/>
    <n v="8"/>
    <n v="72200"/>
    <n v="179014"/>
    <x v="1"/>
    <s v="f41b3508-a8af-4cd4-8b6f-8ed437fb68b4"/>
    <s v="консолидация кредитов"/>
    <s v="в ипотеке"/>
    <s v="краткосрочный"/>
    <x v="1"/>
    <b v="0"/>
    <n v="0.15162289253354744"/>
    <n v="0.8606060606060606"/>
    <n v="0.23499725365264196"/>
  </r>
  <r>
    <n v="889"/>
    <n v="1"/>
    <n v="303688"/>
    <n v="703"/>
    <n v="950285"/>
    <n v="38"/>
    <n v="14016.68"/>
    <n v="19"/>
    <n v="19"/>
    <n v="58520"/>
    <n v="376442"/>
    <x v="6"/>
    <s v="5d2aedf5-4d9a-409c-a600-d33f3a04e103"/>
    <s v="консолидация кредитов"/>
    <s v="в ипотеке"/>
    <s v="долгосрочный"/>
    <x v="0"/>
    <b v="0"/>
    <n v="0.36735864204610619"/>
    <n v="0.70909090909090911"/>
    <n v="0.17699970008997301"/>
  </r>
  <r>
    <n v="890"/>
    <n v="0"/>
    <n v="175604"/>
    <n v="722"/>
    <n v="568746"/>
    <n v="50"/>
    <n v="8009.83"/>
    <n v="31.2"/>
    <n v="8"/>
    <n v="220932"/>
    <n v="366498"/>
    <x v="9"/>
    <s v="a0605c6c-50ae-44ce-b6c0-00819a2bfc34"/>
    <s v="консолидация кредитов"/>
    <s v="в собственности"/>
    <s v="краткосрочный"/>
    <x v="0"/>
    <b v="0"/>
    <n v="0.20042436059181098"/>
    <n v="0.82424242424242422"/>
    <n v="0.16899979955902986"/>
  </r>
  <r>
    <n v="891"/>
    <n v="0"/>
    <n v="112332"/>
    <n v="699"/>
    <n v="873050"/>
    <n v="0"/>
    <n v="15787.48"/>
    <n v="17.2"/>
    <n v="7"/>
    <n v="175978"/>
    <n v="213356"/>
    <x v="1"/>
    <s v="8e92af1d-3239-455a-b1a5-9795d4b11bbb"/>
    <s v="иное"/>
    <s v="в аренде"/>
    <s v="краткосрочный"/>
    <x v="0"/>
    <b v="0"/>
    <n v="0.11796077531827044"/>
    <n v="0.68484848484848482"/>
    <n v="0.21699760609357996"/>
  </r>
  <r>
    <n v="892"/>
    <n v="0"/>
    <n v="331188"/>
    <n v="641"/>
    <n v="1525472"/>
    <n v="51"/>
    <n v="17924.22"/>
    <n v="28.9"/>
    <n v="12"/>
    <n v="208506"/>
    <n v="253858"/>
    <x v="4"/>
    <s v="5fd1a1d0-ab03-4eb3-89a0-d761f6e2fe09"/>
    <s v="консолидация кредитов"/>
    <s v="в аренде"/>
    <s v="долгосрочный"/>
    <x v="1"/>
    <b v="0"/>
    <n v="0.40319990824635854"/>
    <n v="0.33333333333333331"/>
    <n v="0.1409994021522519"/>
  </r>
  <r>
    <n v="893"/>
    <n v="0"/>
    <n v="107734"/>
    <n v="729"/>
    <n v="651301"/>
    <n v="17"/>
    <n v="3180.6"/>
    <n v="17.5"/>
    <n v="5"/>
    <n v="65056"/>
    <n v="269038"/>
    <x v="1"/>
    <s v="8d9740d1-d26c-4db6-a042-6b8b6465e366"/>
    <s v="крупная покупка"/>
    <s v="в собственности"/>
    <s v="краткосрочный"/>
    <x v="1"/>
    <b v="0"/>
    <n v="0.11196811560958826"/>
    <n v="0.8666666666666667"/>
    <n v="5.8601476122407299E-2"/>
  </r>
  <r>
    <n v="894"/>
    <n v="0"/>
    <n v="504284"/>
    <n v="718"/>
    <n v="989919"/>
    <n v="9"/>
    <n v="12209.02"/>
    <n v="11.4"/>
    <n v="17"/>
    <n v="220400"/>
    <n v="2126674"/>
    <x v="9"/>
    <s v="15f37032-75b5-4dcb-86a0-6a47557cba61"/>
    <s v="иное"/>
    <s v="в аренде"/>
    <s v="краткосрочный"/>
    <x v="0"/>
    <b v="0"/>
    <n v="0.62879917421722675"/>
    <n v="0.8"/>
    <n v="0.14800023032187481"/>
  </r>
  <r>
    <n v="895"/>
    <n v="0"/>
    <n v="110242"/>
    <n v="716"/>
    <n v="914014"/>
    <n v="60"/>
    <n v="13481.64"/>
    <n v="15"/>
    <n v="11"/>
    <n v="62833"/>
    <n v="112442"/>
    <x v="9"/>
    <s v="e65846b9-f042-4bfd-84c2-61688ed2ab17"/>
    <s v="консолидация кредитов"/>
    <s v="в аренде"/>
    <s v="краткосрочный"/>
    <x v="0"/>
    <b v="0"/>
    <n v="0.11523683908705126"/>
    <n v="0.78787878787878785"/>
    <n v="0.17699912692803393"/>
  </r>
  <r>
    <n v="896"/>
    <n v="0"/>
    <n v="401038"/>
    <n v="714"/>
    <n v="1421941"/>
    <n v="58"/>
    <n v="10356.52"/>
    <n v="15.3"/>
    <n v="22"/>
    <n v="357485"/>
    <n v="621500"/>
    <x v="3"/>
    <s v="da105bec-b959-451e-9830-0f01afb1a940"/>
    <s v="консолидация кредитов"/>
    <s v="в ипотеке"/>
    <s v="краткосрочный"/>
    <x v="0"/>
    <b v="0"/>
    <n v="0.49423672439499944"/>
    <n v="0.77575757575757576"/>
    <n v="8.7400419567337892E-2"/>
  </r>
  <r>
    <n v="897"/>
    <n v="0"/>
    <n v="457666"/>
    <n v="723"/>
    <n v="1168044"/>
    <n v="0"/>
    <n v="7381.31"/>
    <n v="39"/>
    <n v="4"/>
    <n v="173090"/>
    <n v="209198"/>
    <x v="1"/>
    <s v="e5a50c20-93a3-4fae-a239-fcb0a899b718"/>
    <s v="консолидация кредитов"/>
    <s v="в ипотеке"/>
    <s v="долгосрочный"/>
    <x v="0"/>
    <b v="0"/>
    <n v="0.56804105975455899"/>
    <n v="0.83030303030303032"/>
    <n v="7.5832520007807935E-2"/>
  </r>
  <r>
    <n v="898"/>
    <n v="1"/>
    <n v="291258"/>
    <n v="723"/>
    <n v="1168044"/>
    <n v="0"/>
    <n v="19207.29"/>
    <n v="9"/>
    <n v="11"/>
    <n v="101251"/>
    <n v="331188"/>
    <x v="1"/>
    <s v="609230bd-f426-4227-8ad7-3da7233314f6"/>
    <s v="консолидация кредитов"/>
    <s v="в аренде"/>
    <s v="долгосрочный"/>
    <x v="1"/>
    <b v="0"/>
    <n v="0.35115838972359215"/>
    <n v="0.83030303030303032"/>
    <n v="0.19732773765371853"/>
  </r>
  <r>
    <n v="899"/>
    <n v="1"/>
    <n v="293744"/>
    <n v="686"/>
    <n v="743318"/>
    <n v="0"/>
    <n v="11211.71"/>
    <n v="16.8"/>
    <n v="4"/>
    <n v="351842"/>
    <n v="442332"/>
    <x v="7"/>
    <s v="cf6e16f5-e498-470e-a26b-be9716e7cee0"/>
    <s v="консолидация кредитов"/>
    <s v="в аренде"/>
    <s v="краткосрочный"/>
    <x v="0"/>
    <b v="0"/>
    <n v="0.35439844018809497"/>
    <n v="0.60606060606060608"/>
    <n v="0.18099994887786922"/>
  </r>
  <r>
    <n v="900"/>
    <n v="0"/>
    <n v="214456"/>
    <n v="718"/>
    <n v="1543408"/>
    <n v="54"/>
    <n v="35627.089999999997"/>
    <n v="14.9"/>
    <n v="13"/>
    <n v="140049"/>
    <n v="337106"/>
    <x v="5"/>
    <s v="f0031fd4-9e59-4661-8ada-f9a9739a90d9"/>
    <s v="консолидация кредитов"/>
    <s v="в аренде"/>
    <s v="краткосрочный"/>
    <x v="0"/>
    <b v="0"/>
    <n v="0.25106090147952748"/>
    <n v="0.8"/>
    <n v="0.27700068938349415"/>
  </r>
  <r>
    <n v="901"/>
    <n v="0"/>
    <n v="485782"/>
    <n v="723"/>
    <n v="1168044"/>
    <n v="0"/>
    <n v="21325.41"/>
    <n v="12.7"/>
    <n v="8"/>
    <n v="423339"/>
    <n v="634128"/>
    <x v="1"/>
    <s v="79c14eee-bde2-4138-8d04-a4f4567e85c3"/>
    <s v="консолидация кредитов"/>
    <s v="в ипотеке"/>
    <s v="краткосрочный"/>
    <x v="0"/>
    <b v="0"/>
    <n v="0.60468517031769697"/>
    <n v="0.83030303030303032"/>
    <n v="0.21908842475112239"/>
  </r>
  <r>
    <n v="902"/>
    <n v="0"/>
    <n v="672804"/>
    <n v="720"/>
    <n v="2699976"/>
    <n v="0"/>
    <n v="33299.78"/>
    <n v="16.100000000000001"/>
    <n v="11"/>
    <n v="456836"/>
    <n v="1147432"/>
    <x v="6"/>
    <s v="e3ad961a-dcaa-4f64-9bc8-3b272bc74ef7"/>
    <s v="консолидация кредитов"/>
    <s v="в ипотеке"/>
    <s v="долгосрочный"/>
    <x v="1"/>
    <b v="0"/>
    <n v="0.84843445349237301"/>
    <n v="0.81212121212121213"/>
    <n v="0.14800033778078026"/>
  </r>
  <r>
    <n v="903"/>
    <n v="0"/>
    <n v="192214"/>
    <n v="746"/>
    <n v="1131792"/>
    <n v="23"/>
    <n v="16127.96"/>
    <n v="17.8"/>
    <n v="13"/>
    <n v="250268"/>
    <n v="1038708"/>
    <x v="1"/>
    <s v="6bf8c8ce-4837-4fc7-8c35-fb847a413c17"/>
    <s v="консолидация кредитов"/>
    <s v="в ипотеке"/>
    <s v="краткосрочный"/>
    <x v="1"/>
    <b v="0"/>
    <n v="0.22207248537676338"/>
    <n v="0.96969696969696972"/>
    <n v="0.17099919419822723"/>
  </r>
  <r>
    <n v="904"/>
    <n v="1"/>
    <n v="391732"/>
    <n v="716"/>
    <n v="845766"/>
    <n v="0"/>
    <n v="14096.1"/>
    <n v="15.6"/>
    <n v="11"/>
    <n v="150366"/>
    <n v="191532"/>
    <x v="3"/>
    <s v="12edd88d-c4e2-475e-862c-92c7cec78bbe"/>
    <s v="консолидация кредитов"/>
    <s v="в ипотеке"/>
    <s v="долгосрочный"/>
    <x v="0"/>
    <b v="0"/>
    <n v="0.48210803991283402"/>
    <n v="0.78787878787878785"/>
    <n v="0.2"/>
  </r>
  <r>
    <n v="905"/>
    <n v="0"/>
    <n v="92092"/>
    <n v="723"/>
    <n v="852188"/>
    <n v="0"/>
    <n v="10439.17"/>
    <n v="12.4"/>
    <n v="6"/>
    <n v="124583"/>
    <n v="142560"/>
    <x v="0"/>
    <s v="3d2ea5a2-7d1a-47d3-89c9-4e3dd926aaeb"/>
    <s v="иное"/>
    <s v="в аренде"/>
    <s v="краткосрочный"/>
    <x v="0"/>
    <b v="0"/>
    <n v="9.1581603394884734E-2"/>
    <n v="0.83030303030303032"/>
    <n v="0.14699812717381611"/>
  </r>
  <r>
    <n v="906"/>
    <n v="0"/>
    <n v="495066"/>
    <n v="712"/>
    <n v="1766012"/>
    <n v="45"/>
    <n v="23693.95"/>
    <n v="15.6"/>
    <n v="11"/>
    <n v="14991"/>
    <n v="168432"/>
    <x v="2"/>
    <s v="3b9812d3-595f-48ee-baf3-726f3dc117c5"/>
    <s v="консолидация кредитов"/>
    <s v="в аренде"/>
    <s v="краткосрочный"/>
    <x v="1"/>
    <b v="0"/>
    <n v="0.61678518178690211"/>
    <n v="0.76363636363636367"/>
    <n v="0.16099969875629386"/>
  </r>
  <r>
    <n v="907"/>
    <n v="0"/>
    <n v="614108"/>
    <n v="682"/>
    <n v="1444722"/>
    <n v="0"/>
    <n v="39489.03"/>
    <n v="14.2"/>
    <n v="14"/>
    <n v="343425"/>
    <n v="649770"/>
    <x v="8"/>
    <s v="f822a943-eda5-4a79-bf70-ff28e86d47f5"/>
    <s v="консолидация кредитов"/>
    <s v="в аренде"/>
    <s v="долгосрочный"/>
    <x v="0"/>
    <b v="0"/>
    <n v="0.77193485491455438"/>
    <n v="0.58181818181818179"/>
    <n v="0.32799968436834215"/>
  </r>
  <r>
    <n v="908"/>
    <n v="1"/>
    <n v="214896"/>
    <n v="726"/>
    <n v="2301337"/>
    <n v="0"/>
    <n v="20328.48"/>
    <n v="14.8"/>
    <n v="18"/>
    <n v="190779"/>
    <n v="563508"/>
    <x v="9"/>
    <s v="ee7af071-be80-42a0-a5c7-0a3c39b2e3db"/>
    <s v="ремонт жилья"/>
    <s v="в ипотеке"/>
    <s v="краткосрочный"/>
    <x v="0"/>
    <b v="0"/>
    <n v="0.25163436173873149"/>
    <n v="0.84848484848484851"/>
    <n v="0.10600001651214054"/>
  </r>
  <r>
    <n v="909"/>
    <n v="1"/>
    <n v="328790"/>
    <n v="719"/>
    <n v="1390838"/>
    <n v="12"/>
    <n v="6687.62"/>
    <n v="14"/>
    <n v="8"/>
    <n v="199253"/>
    <n v="467060"/>
    <x v="1"/>
    <s v="6eb17931-dd7d-4623-a857-09b59b1b0a61"/>
    <s v="консолидация кредитов"/>
    <s v="в аренде"/>
    <s v="долгосрочный"/>
    <x v="0"/>
    <b v="0"/>
    <n v="0.4000745498336965"/>
    <n v="0.80606060606060603"/>
    <n v="5.7700062839813118E-2"/>
  </r>
  <r>
    <n v="910"/>
    <n v="0"/>
    <n v="325776"/>
    <n v="739"/>
    <n v="1312976"/>
    <n v="20"/>
    <n v="23852.41"/>
    <n v="15.6"/>
    <n v="18"/>
    <n v="319143"/>
    <n v="1144088"/>
    <x v="1"/>
    <s v="355dd59f-4903-4bed-a1ad-cc31129457f9"/>
    <s v="консолидация кредитов"/>
    <s v="в аренде"/>
    <s v="краткосрочный"/>
    <x v="1"/>
    <b v="0"/>
    <n v="0.39614634705814888"/>
    <n v="0.92727272727272725"/>
    <n v="0.21800011576753878"/>
  </r>
  <r>
    <n v="911"/>
    <n v="0"/>
    <n v="75328"/>
    <n v="723"/>
    <n v="1168044"/>
    <n v="0"/>
    <n v="3401.95"/>
    <n v="22.7"/>
    <n v="9"/>
    <n v="56772"/>
    <n v="792000"/>
    <x v="4"/>
    <s v="50d28022-f1ce-40ae-986b-0e6abeca85f8"/>
    <s v="крупная покупка"/>
    <s v="в собственности"/>
    <s v="долгосрочный"/>
    <x v="0"/>
    <b v="0"/>
    <n v="6.9732767519210925E-2"/>
    <n v="0.83030303030303032"/>
    <n v="3.4950224477845009E-2"/>
  </r>
  <r>
    <n v="912"/>
    <n v="0"/>
    <n v="266882"/>
    <n v="698"/>
    <n v="1382915"/>
    <n v="34"/>
    <n v="21976.73"/>
    <n v="22.5"/>
    <n v="10"/>
    <n v="257678"/>
    <n v="336006"/>
    <x v="1"/>
    <s v="620fec8d-80ff-44a8-b11c-cc63d5b6aacf"/>
    <s v="консолидация кредитов"/>
    <s v="в аренде"/>
    <s v="краткосрочный"/>
    <x v="1"/>
    <b v="0"/>
    <n v="0.31938869136368847"/>
    <n v="0.67878787878787883"/>
    <n v="0.19069918252387166"/>
  </r>
  <r>
    <n v="913"/>
    <n v="0"/>
    <n v="171380"/>
    <n v="747"/>
    <n v="801762"/>
    <n v="44"/>
    <n v="9393.98"/>
    <n v="26.1"/>
    <n v="6"/>
    <n v="3059"/>
    <n v="354574"/>
    <x v="1"/>
    <s v="b3d41859-2c02-48e7-a0ae-ff9a4e76ae8b"/>
    <s v="ремонт жилья"/>
    <s v="в ипотеке"/>
    <s v="краткосрочный"/>
    <x v="0"/>
    <b v="0"/>
    <n v="0.19491914210345224"/>
    <n v="0.97575757575757571"/>
    <n v="0.14060002843736669"/>
  </r>
  <r>
    <n v="914"/>
    <n v="0"/>
    <n v="225126"/>
    <n v="719"/>
    <n v="1788736"/>
    <n v="61"/>
    <n v="15055.03"/>
    <n v="19.3"/>
    <n v="21"/>
    <n v="329593"/>
    <n v="529320"/>
    <x v="8"/>
    <s v="f97a1cdd-7f92-4dc5-bccf-ebe1da480b0b"/>
    <s v="приобретение жилья"/>
    <s v="в ипотеке"/>
    <s v="краткосрочный"/>
    <x v="0"/>
    <b v="0"/>
    <n v="0.26496731276522539"/>
    <n v="0.80606060606060603"/>
    <n v="0.10099889530931339"/>
  </r>
  <r>
    <n v="915"/>
    <n v="0"/>
    <m/>
    <n v="701"/>
    <n v="2508095"/>
    <n v="47"/>
    <n v="32396.33"/>
    <n v="14.4"/>
    <n v="16"/>
    <n v="432060"/>
    <n v="756866"/>
    <x v="0"/>
    <s v="0bdbef7d-e8ed-4e96-977d-e038a137e597"/>
    <s v="ремонт жилья"/>
    <s v="в ипотеке"/>
    <s v="долгосрочный"/>
    <x v="0"/>
    <b v="0"/>
    <m/>
    <n v="0.69696969696969702"/>
    <n v="0.15500049240559072"/>
  </r>
  <r>
    <n v="916"/>
    <n v="0"/>
    <n v="565840"/>
    <n v="734"/>
    <n v="1582377"/>
    <n v="0"/>
    <n v="39032.080000000002"/>
    <n v="15.4"/>
    <n v="12"/>
    <n v="434872"/>
    <n v="840620"/>
    <x v="7"/>
    <s v="e08c3d21-9329-4b19-a505-d8f287ccf5a7"/>
    <s v="консолидация кредитов"/>
    <s v="в ипотеке"/>
    <s v="краткосрочный"/>
    <x v="0"/>
    <b v="0"/>
    <n v="0.70902626447987149"/>
    <n v="0.89696969696969697"/>
    <n v="0.29600086452217139"/>
  </r>
  <r>
    <n v="917"/>
    <n v="0"/>
    <n v="155452"/>
    <n v="743"/>
    <n v="1726074"/>
    <n v="36"/>
    <n v="36822.949999999997"/>
    <n v="23"/>
    <n v="24"/>
    <n v="216999"/>
    <n v="370612"/>
    <x v="1"/>
    <s v="673bcab3-a781-4dc4-95e0-14a78276e6a2"/>
    <s v="консолидация кредитов"/>
    <s v="в ипотеке"/>
    <s v="краткосрочный"/>
    <x v="0"/>
    <b v="0"/>
    <n v="0.17415988072026609"/>
    <n v="0.95151515151515154"/>
    <n v="0.25600026418334321"/>
  </r>
  <r>
    <n v="918"/>
    <n v="0"/>
    <n v="134288"/>
    <n v="723"/>
    <n v="869801"/>
    <n v="0"/>
    <n v="13336.86"/>
    <n v="15.4"/>
    <n v="10"/>
    <n v="267007"/>
    <n v="411664"/>
    <x v="1"/>
    <s v="e53e2f03-33d4-4c4c-a387-578ebd999b1b"/>
    <s v="консолидация кредитов"/>
    <s v="в ипотеке"/>
    <s v="краткосрочный"/>
    <x v="0"/>
    <b v="0"/>
    <n v="0.1465764422525519"/>
    <n v="0.83030303030303032"/>
    <n v="0.18399877673168921"/>
  </r>
  <r>
    <n v="919"/>
    <n v="1"/>
    <n v="117084"/>
    <n v="723"/>
    <n v="1168044"/>
    <n v="0"/>
    <n v="12386.1"/>
    <n v="17.100000000000001"/>
    <n v="5"/>
    <n v="10184"/>
    <n v="92070"/>
    <x v="1"/>
    <s v="354fbe1e-b0b8-4a90-a78e-9efaf9b4cba5"/>
    <s v="консолидация кредитов"/>
    <s v="в аренде"/>
    <s v="краткосрочный"/>
    <x v="0"/>
    <b v="0"/>
    <n v="0.12415414611767404"/>
    <n v="0.83030303030303032"/>
    <n v="0.12724965840327934"/>
  </r>
  <r>
    <n v="920"/>
    <n v="0"/>
    <n v="285670"/>
    <n v="744"/>
    <n v="934515"/>
    <n v="0"/>
    <n v="6074.3"/>
    <n v="14.4"/>
    <n v="10"/>
    <n v="192907"/>
    <n v="474232"/>
    <x v="6"/>
    <s v="fad03dfc-cc27-4955-ba69-93fa069e3431"/>
    <s v="консолидация кредитов"/>
    <s v="в аренде"/>
    <s v="краткосрочный"/>
    <x v="0"/>
    <b v="0"/>
    <n v="0.34387544443170087"/>
    <n v="0.95757575757575752"/>
    <n v="7.7999390057944498E-2"/>
  </r>
  <r>
    <n v="921"/>
    <n v="1"/>
    <n v="519244"/>
    <n v="723"/>
    <n v="1168044"/>
    <n v="48"/>
    <n v="20140.57"/>
    <n v="20"/>
    <n v="8"/>
    <n v="414238"/>
    <n v="811580"/>
    <x v="0"/>
    <s v="5350b11d-39c5-4f56-9f46-d8105a481b73"/>
    <s v="консолидация кредитов"/>
    <s v="в ипотеке"/>
    <s v="долгосрочный"/>
    <x v="1"/>
    <b v="0"/>
    <n v="0.648296823030164"/>
    <n v="0.83030303030303032"/>
    <n v="0.20691586960765176"/>
  </r>
  <r>
    <n v="922"/>
    <n v="0"/>
    <n v="70136"/>
    <n v="705"/>
    <n v="946295"/>
    <n v="18"/>
    <n v="23814.98"/>
    <n v="23.1"/>
    <n v="9"/>
    <n v="77425"/>
    <n v="146740"/>
    <x v="1"/>
    <s v="6298e152-84e5-4dd3-a4cd-41cd40ef58c1"/>
    <s v="консолидация кредитов"/>
    <s v="в ипотеке"/>
    <s v="краткосрочный"/>
    <x v="0"/>
    <b v="0"/>
    <n v="6.2965936460603278E-2"/>
    <n v="0.72121212121212119"/>
    <n v="0.3019985945186226"/>
  </r>
  <r>
    <n v="923"/>
    <n v="0"/>
    <n v="594000"/>
    <n v="685"/>
    <n v="1069966"/>
    <n v="0"/>
    <n v="14979.41"/>
    <n v="8.5"/>
    <n v="10"/>
    <n v="360848"/>
    <n v="1001968"/>
    <x v="1"/>
    <s v="a992d10d-d4fb-4edf-8614-98b723f1b435"/>
    <s v="ремонт жилья"/>
    <s v="в ипотеке"/>
    <s v="краткосрочный"/>
    <x v="0"/>
    <b v="0"/>
    <n v="0.74572772106892993"/>
    <n v="0.6"/>
    <n v="0.16799872145470043"/>
  </r>
  <r>
    <n v="924"/>
    <n v="1"/>
    <n v="99704"/>
    <n v="723"/>
    <n v="1168044"/>
    <n v="0"/>
    <n v="3333.93"/>
    <n v="18.5"/>
    <n v="6"/>
    <n v="98211"/>
    <n v="190476"/>
    <x v="1"/>
    <s v="b6a65f31-489c-4f5c-8957-4f402f07a308"/>
    <s v="консолидация кредитов"/>
    <s v="в аренде"/>
    <s v="краткосрочный"/>
    <x v="1"/>
    <b v="0"/>
    <n v="0.10150246587911457"/>
    <n v="0.83030303030303032"/>
    <n v="3.4251415186414211E-2"/>
  </r>
  <r>
    <n v="925"/>
    <n v="0"/>
    <n v="268532"/>
    <n v="720"/>
    <n v="1855369"/>
    <n v="15"/>
    <n v="28912.87"/>
    <n v="11"/>
    <n v="13"/>
    <n v="159847"/>
    <n v="404998"/>
    <x v="3"/>
    <s v="916d95cf-2225-4ea8-a273-2ae5567be19d"/>
    <s v="консолидация кредитов"/>
    <s v="в ипотеке"/>
    <s v="краткосрочный"/>
    <x v="0"/>
    <b v="0"/>
    <n v="0.32153916733570365"/>
    <n v="0.81212121212121213"/>
    <n v="0.18700023553266221"/>
  </r>
  <r>
    <n v="926"/>
    <n v="0"/>
    <n v="335808"/>
    <n v="723"/>
    <n v="1168044"/>
    <n v="0"/>
    <n v="14210.86"/>
    <n v="17.7"/>
    <n v="11"/>
    <n v="376599"/>
    <n v="765006"/>
    <x v="9"/>
    <s v="d7d34b76-a9ea-40e8-a9bc-9075e9df4361"/>
    <s v="консолидация кредитов"/>
    <s v="в ипотеке"/>
    <s v="краткосрочный"/>
    <x v="0"/>
    <b v="0"/>
    <n v="0.40922124096800094"/>
    <n v="0.83030303030303032"/>
    <n v="0.14599648643373025"/>
  </r>
  <r>
    <n v="927"/>
    <n v="0"/>
    <n v="550770"/>
    <n v="715"/>
    <n v="4090719"/>
    <n v="43"/>
    <n v="40566.14"/>
    <n v="25.8"/>
    <n v="14"/>
    <n v="605226"/>
    <n v="1101848"/>
    <x v="0"/>
    <s v="c8568b7f-d4d2-4b1a-aa95-a1a4d4e8a3c5"/>
    <s v="ремонт жилья"/>
    <s v="в ипотеке"/>
    <s v="долгосрочный"/>
    <x v="0"/>
    <b v="0"/>
    <n v="0.68938525060213329"/>
    <n v="0.78181818181818186"/>
    <n v="0.11899954017863364"/>
  </r>
  <r>
    <n v="928"/>
    <n v="0"/>
    <n v="174548"/>
    <n v="723"/>
    <n v="1168044"/>
    <n v="0"/>
    <n v="6339.54"/>
    <n v="19.8"/>
    <n v="13"/>
    <n v="4902"/>
    <n v="1891032"/>
    <x v="10"/>
    <s v="5b0dbf1d-2ce6-4440-b473-3bf5d84cc720"/>
    <s v="путешествие"/>
    <s v="в аренде"/>
    <s v="краткосрочный"/>
    <x v="0"/>
    <b v="0"/>
    <n v="0.1990480559697213"/>
    <n v="0.83030303030303032"/>
    <n v="6.5129806753855157E-2"/>
  </r>
  <r>
    <n v="929"/>
    <n v="1"/>
    <n v="151096"/>
    <n v="747"/>
    <n v="1134642"/>
    <n v="0"/>
    <n v="18437.98"/>
    <n v="16.5"/>
    <n v="8"/>
    <n v="101004"/>
    <n v="622072"/>
    <x v="7"/>
    <s v="5a12f723-b483-4929-aaaf-30c2e840476c"/>
    <s v="консолидация кредитов"/>
    <s v="в аренде"/>
    <s v="краткосрочный"/>
    <x v="0"/>
    <b v="0"/>
    <n v="0.16848262415414611"/>
    <n v="0.97575757575757571"/>
    <n v="0.19500050236109714"/>
  </r>
  <r>
    <n v="930"/>
    <n v="0"/>
    <n v="460570"/>
    <n v="723"/>
    <n v="1168044"/>
    <n v="75"/>
    <n v="26730.53"/>
    <n v="15.5"/>
    <n v="10"/>
    <n v="316673"/>
    <n v="528330"/>
    <x v="4"/>
    <s v="36961187-b092-415f-9572-bcd46a1cfb9c"/>
    <s v="консолидация кредитов"/>
    <s v="в ипотеке"/>
    <s v="краткосрочный"/>
    <x v="0"/>
    <b v="0"/>
    <n v="0.57182589746530565"/>
    <n v="0.83030303030303032"/>
    <n v="0.2746183876634784"/>
  </r>
  <r>
    <n v="931"/>
    <n v="0"/>
    <n v="769780"/>
    <n v="702"/>
    <n v="1519544"/>
    <n v="0"/>
    <n v="26718.75"/>
    <n v="14.2"/>
    <n v="16"/>
    <n v="399152"/>
    <n v="1343518"/>
    <x v="10"/>
    <s v="32d06b3a-5a7d-4e40-aa83-c0c51d37cc51"/>
    <s v="консолидация кредитов"/>
    <s v="в ипотеке"/>
    <s v="долгосрочный"/>
    <x v="1"/>
    <b v="0"/>
    <n v="0.9748250946209428"/>
    <n v="0.70303030303030301"/>
    <n v="0.21100080024007201"/>
  </r>
  <r>
    <n v="932"/>
    <n v="0"/>
    <n v="171644"/>
    <n v="748"/>
    <n v="1111728"/>
    <n v="36"/>
    <n v="26959.48"/>
    <n v="17.2"/>
    <n v="10"/>
    <n v="183844"/>
    <n v="716738"/>
    <x v="1"/>
    <s v="86685553-f46b-492d-abad-06d2dc1bc370"/>
    <s v="консолидация кредитов"/>
    <s v="в аренде"/>
    <s v="краткосрочный"/>
    <x v="1"/>
    <b v="0"/>
    <n v="0.19526321825897466"/>
    <n v="0.98181818181818181"/>
    <n v="0.29100082034454472"/>
  </r>
  <r>
    <n v="933"/>
    <n v="3"/>
    <n v="220968"/>
    <n v="723"/>
    <n v="1168044"/>
    <n v="0"/>
    <n v="8667.23"/>
    <n v="30.4"/>
    <n v="6"/>
    <n v="333260"/>
    <n v="565818"/>
    <x v="1"/>
    <s v="1efb32da-81dc-489e-b01f-163afdb79fb0"/>
    <s v="консолидация кредитов"/>
    <s v="в аренде"/>
    <s v="краткосрочный"/>
    <x v="0"/>
    <b v="0"/>
    <n v="0.25954811331574723"/>
    <n v="0.83030303030303032"/>
    <n v="8.9043529182119843E-2"/>
  </r>
  <r>
    <n v="934"/>
    <n v="0"/>
    <n v="223762"/>
    <n v="734"/>
    <n v="618393"/>
    <n v="11"/>
    <n v="15408.24"/>
    <n v="28.2"/>
    <n v="19"/>
    <n v="469338"/>
    <n v="958452"/>
    <x v="1"/>
    <s v="e5865761-30b2-444c-8b07-1e44a57df561"/>
    <s v="консолидация кредитов"/>
    <s v="в собственности"/>
    <s v="краткосрочный"/>
    <x v="1"/>
    <b v="0"/>
    <n v="0.26318958596169284"/>
    <n v="0.89696969696969697"/>
    <n v="0.29899898608166653"/>
  </r>
  <r>
    <n v="935"/>
    <n v="0"/>
    <n v="522456"/>
    <n v="705"/>
    <n v="1302469"/>
    <n v="0"/>
    <n v="35492.19"/>
    <n v="35"/>
    <n v="15"/>
    <n v="589095"/>
    <n v="1188330"/>
    <x v="1"/>
    <s v="058f0963-9ad6-49b9-84c2-a50d2b283837"/>
    <s v="консолидация кредитов"/>
    <s v="в ипотеке"/>
    <s v="долгосрочный"/>
    <x v="1"/>
    <b v="0"/>
    <n v="0.65248308292235346"/>
    <n v="0.72121212121212119"/>
    <n v="0.326999168502283"/>
  </r>
  <r>
    <n v="936"/>
    <n v="0"/>
    <n v="448316"/>
    <n v="723"/>
    <n v="1168044"/>
    <n v="0"/>
    <n v="18487.95"/>
    <n v="19.5"/>
    <n v="5"/>
    <n v="64182"/>
    <n v="78474"/>
    <x v="0"/>
    <s v="6bc47024-31f2-4d20-b5aa-acb09e00b163"/>
    <s v="ремонт жилья"/>
    <s v="в ипотеке"/>
    <s v="долгосрочный"/>
    <x v="1"/>
    <b v="0"/>
    <n v="0.55585502924647323"/>
    <n v="0.83030303030303032"/>
    <n v="0.18993753659964865"/>
  </r>
  <r>
    <n v="937"/>
    <n v="0"/>
    <n v="616484"/>
    <n v="723"/>
    <n v="1168044"/>
    <n v="0"/>
    <n v="22659.78"/>
    <n v="20.6"/>
    <n v="10"/>
    <n v="407474"/>
    <n v="587554"/>
    <x v="1"/>
    <s v="c7179b65-9565-4c66-9a4d-03895d76e770"/>
    <s v="консолидация кредитов"/>
    <s v="в ипотеке"/>
    <s v="долгосрочный"/>
    <x v="0"/>
    <b v="0"/>
    <n v="0.77503154031425625"/>
    <n v="0.83030303030303032"/>
    <n v="0.23279718914698419"/>
  </r>
  <r>
    <n v="938"/>
    <n v="0"/>
    <n v="646206"/>
    <n v="714"/>
    <n v="3069488"/>
    <n v="31"/>
    <n v="50902.14"/>
    <n v="16.399999999999999"/>
    <n v="10"/>
    <n v="738834"/>
    <n v="911064"/>
    <x v="8"/>
    <s v="eabbf22d-6170-46ce-a511-d8cee63fc00f"/>
    <s v="бизнес"/>
    <s v="в ипотеке"/>
    <s v="краткосрочный"/>
    <x v="0"/>
    <b v="1"/>
    <n v="0.81376878082348891"/>
    <n v="0.77575757575757576"/>
    <n v="0.19899920768545112"/>
  </r>
  <r>
    <n v="939"/>
    <n v="0"/>
    <n v="522610"/>
    <n v="728"/>
    <n v="1067515"/>
    <n v="0"/>
    <n v="24997.54"/>
    <n v="30"/>
    <n v="15"/>
    <n v="759373"/>
    <n v="953656"/>
    <x v="4"/>
    <s v="10fad0e9-073d-460c-a41b-b3adf38ca369"/>
    <s v="консолидация кредитов"/>
    <s v="в ипотеке"/>
    <s v="краткосрочный"/>
    <x v="0"/>
    <b v="0"/>
    <n v="0.65268379401307486"/>
    <n v="0.8606060606060606"/>
    <n v="0.28099884310759105"/>
  </r>
  <r>
    <n v="940"/>
    <n v="0"/>
    <n v="325292"/>
    <n v="707"/>
    <n v="1217349"/>
    <n v="60"/>
    <n v="25361.39"/>
    <n v="16.7"/>
    <n v="10"/>
    <n v="298490"/>
    <n v="366498"/>
    <x v="4"/>
    <s v="e344c542-c88d-4067-8fca-c8c4ca3974d2"/>
    <s v="консолидация кредитов"/>
    <s v="в аренде"/>
    <s v="краткосрочный"/>
    <x v="0"/>
    <b v="0"/>
    <n v="0.39551554077302442"/>
    <n v="0.73333333333333328"/>
    <n v="0.24999953176944326"/>
  </r>
  <r>
    <n v="941"/>
    <n v="0"/>
    <n v="551166"/>
    <n v="725"/>
    <n v="2878842"/>
    <n v="0"/>
    <n v="35721.519999999997"/>
    <n v="23"/>
    <n v="9"/>
    <n v="243637"/>
    <n v="657602"/>
    <x v="1"/>
    <s v="af6f67a1-3a23-4b84-ad7f-716b9c09ef78"/>
    <s v="медицинские препараты"/>
    <s v="в ипотеке"/>
    <s v="долгосрочный"/>
    <x v="0"/>
    <b v="0"/>
    <n v="0.68990136483541686"/>
    <n v="0.84242424242424241"/>
    <n v="0.14889953668871023"/>
  </r>
  <r>
    <n v="942"/>
    <n v="0"/>
    <n v="375298"/>
    <n v="728"/>
    <n v="926041"/>
    <n v="17"/>
    <n v="17054.59"/>
    <n v="27.9"/>
    <n v="12"/>
    <n v="319751"/>
    <n v="433532"/>
    <x v="1"/>
    <s v="1299929d-cf69-401d-9e39-ab96c1ff8a66"/>
    <s v="консолидация кредитов"/>
    <s v="в ипотеке"/>
    <s v="краткосрочный"/>
    <x v="0"/>
    <b v="0"/>
    <n v="0.46068929923156327"/>
    <n v="0.8606060606060606"/>
    <n v="0.2210000205174501"/>
  </r>
  <r>
    <n v="943"/>
    <n v="0"/>
    <n v="349360"/>
    <n v="723"/>
    <n v="1168044"/>
    <n v="0"/>
    <n v="17254.66"/>
    <n v="19.899999999999999"/>
    <n v="17"/>
    <n v="497135"/>
    <n v="650452"/>
    <x v="5"/>
    <s v="7c06a279-9653-4185-961e-39d5fe242e4d"/>
    <s v="консолидация кредитов"/>
    <s v="в аренде"/>
    <s v="краткосрочный"/>
    <x v="1"/>
    <b v="0"/>
    <n v="0.42688381695148525"/>
    <n v="0.83030303030303032"/>
    <n v="0.17726722623462815"/>
  </r>
  <r>
    <n v="944"/>
    <n v="0"/>
    <m/>
    <n v="728"/>
    <n v="2362897"/>
    <n v="0"/>
    <n v="15752.52"/>
    <n v="26.1"/>
    <n v="6"/>
    <n v="62092"/>
    <n v="305976"/>
    <x v="4"/>
    <s v="526b6746-fe75-46ae-a699-ae298cd9c378"/>
    <s v="медицинские препараты"/>
    <s v="в ипотеке"/>
    <s v="краткосрочный"/>
    <x v="0"/>
    <b v="0"/>
    <m/>
    <n v="0.8606060606060606"/>
    <n v="7.999935672185457E-2"/>
  </r>
  <r>
    <n v="945"/>
    <n v="0"/>
    <n v="387970"/>
    <n v="723"/>
    <n v="1168044"/>
    <n v="12"/>
    <n v="12942.99"/>
    <n v="14.4"/>
    <n v="7"/>
    <n v="248121"/>
    <n v="355586"/>
    <x v="9"/>
    <s v="9b324cfb-905c-4cdc-92fb-fd84d475cc10"/>
    <s v="консолидация кредитов"/>
    <s v="в аренде"/>
    <s v="краткосрочный"/>
    <x v="0"/>
    <b v="0"/>
    <n v="0.47720495469663954"/>
    <n v="0.83030303030303032"/>
    <n v="0.13297091547921139"/>
  </r>
  <r>
    <n v="946"/>
    <n v="0"/>
    <n v="120670"/>
    <n v="742"/>
    <n v="654227"/>
    <n v="0"/>
    <n v="6324.15"/>
    <n v="18.3"/>
    <n v="8"/>
    <n v="282701"/>
    <n v="743952"/>
    <x v="5"/>
    <s v="887c4c97-0da1-44ca-872d-53c0c0ba04f3"/>
    <s v="консолидация кредитов"/>
    <s v="в ипотеке"/>
    <s v="краткосрочный"/>
    <x v="0"/>
    <b v="0"/>
    <n v="0.12882784723018695"/>
    <n v="0.94545454545454544"/>
    <n v="0.11599918682659077"/>
  </r>
  <r>
    <n v="947"/>
    <n v="0"/>
    <n v="162932"/>
    <n v="748"/>
    <n v="844227"/>
    <n v="0"/>
    <n v="13380.94"/>
    <n v="19.399999999999999"/>
    <n v="8"/>
    <n v="139555"/>
    <n v="299244"/>
    <x v="10"/>
    <s v="9a11bbae-5df7-4840-8364-ce28852805f7"/>
    <s v="ремонт жилья"/>
    <s v="в ипотеке"/>
    <s v="краткосрочный"/>
    <x v="0"/>
    <b v="0"/>
    <n v="0.18390870512673471"/>
    <n v="0.98181818181818181"/>
    <n v="0.19019917628789415"/>
  </r>
  <r>
    <n v="948"/>
    <n v="0"/>
    <n v="520542"/>
    <n v="743"/>
    <n v="1251435"/>
    <n v="0"/>
    <n v="25132.82"/>
    <n v="15.7"/>
    <n v="14"/>
    <n v="593769"/>
    <n v="887128"/>
    <x v="6"/>
    <s v="87efeab2-2997-4005-a7aa-9b2cc908c1c6"/>
    <s v="консолидация кредитов"/>
    <s v="в ипотеке"/>
    <s v="краткосрочный"/>
    <x v="0"/>
    <b v="0"/>
    <n v="0.64998853079481589"/>
    <n v="0.95151515151515154"/>
    <n v="0.24099840583010704"/>
  </r>
  <r>
    <n v="949"/>
    <n v="6"/>
    <n v="298760"/>
    <n v="723"/>
    <n v="1168044"/>
    <n v="63"/>
    <n v="11952.14"/>
    <n v="17.3"/>
    <n v="9"/>
    <n v="191786"/>
    <n v="329494"/>
    <x v="1"/>
    <s v="d33a364a-0d38-4af3-9011-dde304127abd"/>
    <s v="консолидация кредитов"/>
    <s v="в аренде"/>
    <s v="краткосрочный"/>
    <x v="1"/>
    <b v="0"/>
    <n v="0.36093588714302099"/>
    <n v="0.83030303030303032"/>
    <n v="0.12279133320320125"/>
  </r>
  <r>
    <n v="950"/>
    <n v="0"/>
    <n v="391248"/>
    <n v="669"/>
    <n v="1392719"/>
    <n v="0"/>
    <n v="33773.26"/>
    <n v="14.9"/>
    <n v="18"/>
    <n v="336775"/>
    <n v="432784"/>
    <x v="1"/>
    <s v="577ab45e-47ee-4be2-af61-2d944512c5fb"/>
    <s v="ремонт жилья"/>
    <s v="в ипотеке"/>
    <s v="долгосрочный"/>
    <x v="1"/>
    <b v="0"/>
    <n v="0.48147723362770961"/>
    <n v="0.50303030303030305"/>
    <n v="0.29099848569596598"/>
  </r>
  <r>
    <n v="951"/>
    <n v="0"/>
    <n v="523292"/>
    <n v="723"/>
    <n v="1168044"/>
    <n v="82"/>
    <n v="31635.95"/>
    <n v="27.4"/>
    <n v="15"/>
    <n v="634334"/>
    <n v="1268564"/>
    <x v="1"/>
    <s v="fd46e5bd-361b-4cb1-a1de-4f570524a605"/>
    <s v="консолидация кредитов"/>
    <s v="в ипотеке"/>
    <s v="долгосрочный"/>
    <x v="0"/>
    <b v="0"/>
    <n v="0.65357265741484116"/>
    <n v="0.83030303030303032"/>
    <n v="0.32501463985945733"/>
  </r>
  <r>
    <n v="952"/>
    <n v="0"/>
    <n v="108834"/>
    <n v="704"/>
    <n v="1447344"/>
    <n v="31"/>
    <n v="11168.58"/>
    <n v="11"/>
    <n v="4"/>
    <n v="48868"/>
    <n v="239778"/>
    <x v="0"/>
    <s v="10abd023-2f6d-4bc3-9ff1-fa84b3fc061d"/>
    <s v="иное"/>
    <s v="в аренде"/>
    <s v="долгосрочный"/>
    <x v="0"/>
    <b v="0"/>
    <n v="0.11340176625759835"/>
    <n v="0.7151515151515152"/>
    <n v="9.2599243856332697E-2"/>
  </r>
  <r>
    <n v="953"/>
    <n v="0"/>
    <n v="333608"/>
    <n v="723"/>
    <n v="1168044"/>
    <n v="0"/>
    <n v="9243.5"/>
    <n v="14.6"/>
    <n v="9"/>
    <n v="135394"/>
    <n v="875798"/>
    <x v="1"/>
    <s v="8ad11744-c94f-4f7b-8038-42bffadbedb7"/>
    <s v="консолидация кредитов"/>
    <s v="в ипотеке"/>
    <s v="краткосрочный"/>
    <x v="0"/>
    <b v="0"/>
    <n v="0.40635393967198075"/>
    <n v="0.83030303030303032"/>
    <n v="9.4963888346671868E-2"/>
  </r>
  <r>
    <n v="954"/>
    <n v="0"/>
    <n v="264616"/>
    <n v="731"/>
    <n v="1333059"/>
    <n v="0"/>
    <n v="23995.1"/>
    <n v="24"/>
    <n v="8"/>
    <n v="289864"/>
    <n v="509300"/>
    <x v="1"/>
    <s v="e8307e3f-f70f-4d02-b418-18734b746017"/>
    <s v="консолидация кредитов"/>
    <s v="в ипотеке"/>
    <s v="долгосрочный"/>
    <x v="1"/>
    <b v="0"/>
    <n v="0.31643537102878772"/>
    <n v="0.87878787878787878"/>
    <n v="0.21600034207038096"/>
  </r>
  <r>
    <n v="955"/>
    <n v="0"/>
    <m/>
    <n v="749"/>
    <n v="677635"/>
    <n v="0"/>
    <n v="16302.95"/>
    <n v="20.100000000000001"/>
    <n v="8"/>
    <n v="205428"/>
    <n v="376948"/>
    <x v="5"/>
    <s v="49e7490e-5847-4541-9d62-c8a2b757cfdd"/>
    <s v="консолидация кредитов"/>
    <s v="в ипотеке"/>
    <s v="краткосрочный"/>
    <x v="0"/>
    <b v="0"/>
    <m/>
    <n v="0.98787878787878791"/>
    <n v="0.28870321043039393"/>
  </r>
  <r>
    <n v="956"/>
    <n v="0"/>
    <n v="549516"/>
    <n v="723"/>
    <n v="1168044"/>
    <n v="69"/>
    <n v="30016.77"/>
    <n v="22.3"/>
    <n v="10"/>
    <n v="481232"/>
    <n v="1061390"/>
    <x v="2"/>
    <s v="2bdf4410-bfb6-448f-8337-63e6fd01a7e0"/>
    <s v="консолидация кредитов"/>
    <s v="в ипотеке"/>
    <s v="краткосрочный"/>
    <x v="0"/>
    <b v="0"/>
    <n v="0.68775088886340174"/>
    <n v="0.83030303030303032"/>
    <n v="0.30837985555338671"/>
  </r>
  <r>
    <n v="957"/>
    <n v="0"/>
    <n v="356290"/>
    <n v="723"/>
    <n v="1168044"/>
    <n v="0"/>
    <n v="26534.639999999999"/>
    <n v="13.8"/>
    <n v="9"/>
    <n v="334343"/>
    <n v="427768"/>
    <x v="10"/>
    <s v="f3cc5aae-b846-4e4d-a5c7-8bf25cf95c14"/>
    <s v="консолидация кредитов"/>
    <s v="в ипотеке"/>
    <s v="долгосрочный"/>
    <x v="0"/>
    <b v="0"/>
    <n v="0.43591581603394886"/>
    <n v="0.83030303030303032"/>
    <n v="0.27260589498340815"/>
  </r>
  <r>
    <n v="958"/>
    <n v="1"/>
    <n v="155254"/>
    <n v="730"/>
    <n v="1448028"/>
    <n v="0"/>
    <n v="15928.46"/>
    <n v="18.7"/>
    <n v="14"/>
    <n v="282131"/>
    <n v="540870"/>
    <x v="1"/>
    <s v="3319838f-c476-40ed-b142-a5ad9a2813d7"/>
    <s v="иное"/>
    <s v="в ипотеке"/>
    <s v="краткосрочный"/>
    <x v="0"/>
    <b v="0"/>
    <n v="0.17390182360362427"/>
    <n v="0.87272727272727268"/>
    <n v="0.13200125964415052"/>
  </r>
  <r>
    <n v="959"/>
    <n v="0"/>
    <n v="109692"/>
    <n v="735"/>
    <n v="625252"/>
    <n v="71"/>
    <n v="5679.29"/>
    <n v="17.399999999999999"/>
    <n v="9"/>
    <n v="99180"/>
    <n v="256916"/>
    <x v="3"/>
    <s v="47eadf69-2fea-43f2-885c-a76f7c92d7e1"/>
    <s v="консолидация кредитов"/>
    <s v="в аренде"/>
    <s v="краткосрочный"/>
    <x v="1"/>
    <b v="0"/>
    <n v="0.11452001376304623"/>
    <n v="0.90303030303030307"/>
    <n v="0.10899841983712166"/>
  </r>
  <r>
    <n v="960"/>
    <n v="0"/>
    <n v="312818"/>
    <n v="740"/>
    <n v="1088111"/>
    <n v="0"/>
    <n v="20220.75"/>
    <n v="11.3"/>
    <n v="6"/>
    <n v="356117"/>
    <n v="556468"/>
    <x v="10"/>
    <s v="cd85fc71-a410-492e-a260-dfd660a31b30"/>
    <s v="консолидация кредитов"/>
    <s v="в аренде"/>
    <s v="краткосрочный"/>
    <x v="0"/>
    <b v="0"/>
    <n v="0.37925794242458999"/>
    <n v="0.93333333333333335"/>
    <n v="0.2230002269988999"/>
  </r>
  <r>
    <n v="961"/>
    <n v="0"/>
    <n v="414414"/>
    <n v="740"/>
    <n v="813732"/>
    <n v="0"/>
    <n v="4428.1400000000003"/>
    <n v="9.1999999999999993"/>
    <n v="9"/>
    <n v="87286"/>
    <n v="279202"/>
    <x v="3"/>
    <s v="979675c7-4cb6-497d-9941-9ed2562c6c60"/>
    <s v="консолидация кредитов"/>
    <s v="в ипотеке"/>
    <s v="краткосрочный"/>
    <x v="1"/>
    <b v="0"/>
    <n v="0.51166991627480218"/>
    <n v="0.93333333333333335"/>
    <n v="6.530120481927712E-2"/>
  </r>
  <r>
    <n v="962"/>
    <n v="0"/>
    <n v="43824"/>
    <n v="720"/>
    <n v="408709"/>
    <n v="9"/>
    <n v="8106.16"/>
    <n v="26"/>
    <n v="7"/>
    <n v="227278"/>
    <n v="359502"/>
    <x v="1"/>
    <s v="278914f0-fe04-49cd-844d-a6dd8476b600"/>
    <s v="ремонт жилья"/>
    <s v="в ипотеке"/>
    <s v="краткосрочный"/>
    <x v="0"/>
    <b v="0"/>
    <n v="2.8673012960201857E-2"/>
    <n v="0.81212121212121213"/>
    <n v="0.23800288224629257"/>
  </r>
  <r>
    <n v="963"/>
    <n v="1"/>
    <n v="172700"/>
    <n v="723"/>
    <n v="775542"/>
    <n v="0"/>
    <n v="19840.939999999999"/>
    <n v="14.9"/>
    <n v="12"/>
    <n v="109269"/>
    <n v="213708"/>
    <x v="1"/>
    <s v="71a86951-50e3-43ab-9d06-87d7bc264e33"/>
    <s v="консолидация кредитов"/>
    <s v="в аренде"/>
    <s v="краткосрочный"/>
    <x v="0"/>
    <b v="0"/>
    <n v="0.19663952288106434"/>
    <n v="0.83030303030303032"/>
    <n v="0.30699985300602672"/>
  </r>
  <r>
    <n v="964"/>
    <n v="0"/>
    <n v="64988"/>
    <n v="723"/>
    <n v="1168044"/>
    <n v="0"/>
    <n v="7577.96"/>
    <n v="23.1"/>
    <n v="9"/>
    <n v="5833"/>
    <n v="1126620"/>
    <x v="1"/>
    <s v="e035819f-64aa-45a1-b86b-335bb4979f3f"/>
    <s v="консолидация кредитов"/>
    <s v="в аренде"/>
    <s v="краткосрочный"/>
    <x v="0"/>
    <b v="0"/>
    <n v="5.6256451427916049E-2"/>
    <n v="0.83030303030303032"/>
    <n v="7.7852820612922119E-2"/>
  </r>
  <r>
    <n v="965"/>
    <n v="1"/>
    <n v="269104"/>
    <n v="715"/>
    <n v="1297567"/>
    <n v="48"/>
    <n v="13624.52"/>
    <n v="20.3"/>
    <n v="20"/>
    <n v="182020"/>
    <n v="609158"/>
    <x v="1"/>
    <s v="480ecd21-b00e-4bf9-8547-7b5269d05ede"/>
    <s v="ремонт жилья"/>
    <s v="в ипотеке"/>
    <s v="долгосрочный"/>
    <x v="0"/>
    <b v="0"/>
    <n v="0.32228466567266889"/>
    <n v="0.78181818181818186"/>
    <n v="0.12600061499714466"/>
  </r>
  <r>
    <n v="966"/>
    <n v="2"/>
    <n v="327096"/>
    <n v="735"/>
    <n v="903982"/>
    <n v="0"/>
    <n v="25612.57"/>
    <n v="17.899999999999999"/>
    <n v="17"/>
    <n v="178524"/>
    <n v="410124"/>
    <x v="5"/>
    <s v="840763ec-bdab-4bb2-ab0a-87c037c3a378"/>
    <s v="консолидация кредитов"/>
    <s v="в ипотеке"/>
    <s v="краткосрочный"/>
    <x v="0"/>
    <b v="0"/>
    <n v="0.39786672783576099"/>
    <n v="0.90303030303030307"/>
    <n v="0.33999663710118122"/>
  </r>
  <r>
    <n v="967"/>
    <n v="0"/>
    <n v="449636"/>
    <n v="721"/>
    <n v="2524093"/>
    <n v="0"/>
    <n v="20339.88"/>
    <n v="16.399999999999999"/>
    <n v="17"/>
    <n v="523697"/>
    <n v="1295668"/>
    <x v="4"/>
    <s v="b2892b2c-c302-41a1-8a6a-1a52338fd2b1"/>
    <s v="консолидация кредитов"/>
    <s v="в аренде"/>
    <s v="краткосрочный"/>
    <x v="0"/>
    <b v="0"/>
    <n v="0.55757541002408528"/>
    <n v="0.81818181818181823"/>
    <n v="9.6699511468079827E-2"/>
  </r>
  <r>
    <n v="968"/>
    <n v="2"/>
    <m/>
    <n v="689"/>
    <n v="866799"/>
    <n v="7"/>
    <n v="3676.69"/>
    <n v="14.1"/>
    <n v="4"/>
    <n v="86051"/>
    <n v="167750"/>
    <x v="7"/>
    <s v="64dcd3aa-3c82-4c70-929a-a83d249d894a"/>
    <s v="консолидация кредитов"/>
    <s v="в ипотеке"/>
    <s v="долгосрочный"/>
    <x v="0"/>
    <b v="0"/>
    <m/>
    <n v="0.62424242424242427"/>
    <n v="5.0900243309002433E-2"/>
  </r>
  <r>
    <n v="969"/>
    <n v="1"/>
    <n v="214566"/>
    <n v="694"/>
    <n v="965105"/>
    <n v="0"/>
    <n v="8525.11"/>
    <n v="14.8"/>
    <n v="5"/>
    <n v="127452"/>
    <n v="163064"/>
    <x v="8"/>
    <s v="77c6b54a-a0a3-4dda-8ac2-2af5988846f5"/>
    <s v="консолидация кредитов"/>
    <s v="в аренде"/>
    <s v="краткосрочный"/>
    <x v="0"/>
    <b v="0"/>
    <n v="0.25120426654432848"/>
    <n v="0.65454545454545454"/>
    <n v="0.10600019686977065"/>
  </r>
  <r>
    <n v="970"/>
    <n v="0"/>
    <n v="306064"/>
    <n v="723"/>
    <n v="1168044"/>
    <n v="0"/>
    <n v="5997.92"/>
    <n v="18.3"/>
    <n v="3"/>
    <n v="321784"/>
    <n v="412610"/>
    <x v="6"/>
    <s v="4c7abe43-507b-4d01-b3ec-b46b82ecbe04"/>
    <s v="иное"/>
    <s v="в собственности"/>
    <s v="краткосрочный"/>
    <x v="0"/>
    <b v="0"/>
    <n v="0.370455327445808"/>
    <n v="0.83030303030303032"/>
    <n v="6.1620144446613311E-2"/>
  </r>
  <r>
    <n v="971"/>
    <n v="1"/>
    <n v="438636"/>
    <n v="723"/>
    <n v="1168044"/>
    <n v="0"/>
    <n v="21876.98"/>
    <n v="14"/>
    <n v="18"/>
    <n v="189601"/>
    <n v="359898"/>
    <x v="1"/>
    <s v="8c97d885-83ad-4b64-b5a6-92c4ccbeb48d"/>
    <s v="консолидация кредитов"/>
    <s v="в ипотеке"/>
    <s v="долгосрочный"/>
    <x v="1"/>
    <b v="0"/>
    <n v="0.54323890354398441"/>
    <n v="0.83030303030303032"/>
    <n v="0.22475502635174702"/>
  </r>
  <r>
    <n v="972"/>
    <n v="0"/>
    <n v="87252"/>
    <n v="746"/>
    <n v="1789667"/>
    <n v="0"/>
    <n v="16121.88"/>
    <n v="14.6"/>
    <n v="9"/>
    <n v="315609"/>
    <n v="609070"/>
    <x v="5"/>
    <s v="d11855a2-35f1-4370-bf82-1e1e7fe6d817"/>
    <s v="консолидация кредитов"/>
    <s v="в ипотеке"/>
    <s v="краткосрочный"/>
    <x v="0"/>
    <b v="0"/>
    <n v="8.5273540543640322E-2"/>
    <n v="0.96969696969696972"/>
    <n v="0.10809975263554616"/>
  </r>
  <r>
    <n v="973"/>
    <n v="1"/>
    <n v="143506"/>
    <n v="739"/>
    <n v="896135"/>
    <n v="0"/>
    <n v="13740.61"/>
    <n v="10.4"/>
    <n v="12"/>
    <n v="148504"/>
    <n v="428824"/>
    <x v="7"/>
    <s v="baf401b2-5313-499c-9ae3-1d9369c37d3a"/>
    <s v="консолидация кредитов"/>
    <s v="в аренде"/>
    <s v="краткосрочный"/>
    <x v="0"/>
    <b v="0"/>
    <n v="0.15859043468287648"/>
    <n v="0.92727272727272725"/>
    <n v="0.18399830382699034"/>
  </r>
  <r>
    <n v="974"/>
    <n v="0"/>
    <n v="183348"/>
    <n v="723"/>
    <n v="1168044"/>
    <n v="0"/>
    <n v="8708.65"/>
    <n v="19.399999999999999"/>
    <n v="5"/>
    <n v="154470"/>
    <n v="436260"/>
    <x v="5"/>
    <s v="47e8c33f-5923-45a9-b5b7-30fd03cf1543"/>
    <s v="консолидация кредитов"/>
    <s v="в аренде"/>
    <s v="краткосрочный"/>
    <x v="0"/>
    <b v="0"/>
    <n v="0.21051726115380204"/>
    <n v="0.83030303030303032"/>
    <n v="8.9469061097013469E-2"/>
  </r>
  <r>
    <n v="975"/>
    <n v="0"/>
    <n v="92642"/>
    <n v="689"/>
    <n v="571539"/>
    <n v="10"/>
    <n v="5924.96"/>
    <n v="12.1"/>
    <n v="6"/>
    <n v="26961"/>
    <n v="90464"/>
    <x v="5"/>
    <s v="6134f961-2dd3-4773-806c-33289517dddc"/>
    <s v="ремонт жилья"/>
    <s v="в аренде"/>
    <s v="долгосрочный"/>
    <x v="0"/>
    <b v="0"/>
    <n v="9.2298428718889783E-2"/>
    <n v="0.62424242424242427"/>
    <n v="0.12440011967687245"/>
  </r>
  <r>
    <n v="976"/>
    <n v="0"/>
    <n v="214874"/>
    <n v="731"/>
    <n v="1540254"/>
    <n v="2"/>
    <n v="19766.650000000001"/>
    <n v="13.5"/>
    <n v="10"/>
    <n v="155477"/>
    <n v="346214"/>
    <x v="1"/>
    <s v="8d25ce7b-92be-4ff0-a134-f3398fb4624e"/>
    <s v="консолидация кредитов"/>
    <s v="в аренде"/>
    <s v="долгосрочный"/>
    <x v="0"/>
    <b v="0"/>
    <n v="0.25160568872577133"/>
    <n v="0.87878787878787878"/>
    <n v="0.15400044408259939"/>
  </r>
  <r>
    <n v="977"/>
    <n v="0"/>
    <n v="372196"/>
    <n v="665"/>
    <n v="1243645"/>
    <n v="0"/>
    <n v="10778.13"/>
    <n v="16"/>
    <n v="6"/>
    <n v="147269"/>
    <n v="212608"/>
    <x v="3"/>
    <s v="deed9021-d878-4200-b8f4-94f4c63b9b01"/>
    <s v="консолидация кредитов"/>
    <s v="в ипотеке"/>
    <s v="долгосрочный"/>
    <x v="0"/>
    <b v="0"/>
    <n v="0.45664640440417481"/>
    <n v="0.47878787878787876"/>
    <n v="0.10399877778626537"/>
  </r>
  <r>
    <n v="978"/>
    <n v="0"/>
    <n v="153780"/>
    <n v="710"/>
    <n v="531202"/>
    <n v="0"/>
    <n v="8632.08"/>
    <n v="18"/>
    <n v="8"/>
    <n v="72637"/>
    <n v="426976"/>
    <x v="2"/>
    <s v="ab10e32a-c187-4313-b9cd-9e210ce93bdf"/>
    <s v="иное"/>
    <s v="в собственности"/>
    <s v="краткосрочный"/>
    <x v="0"/>
    <b v="0"/>
    <n v="0.17198073173529074"/>
    <n v="0.75151515151515147"/>
    <n v="0.19500107303812861"/>
  </r>
  <r>
    <n v="979"/>
    <n v="0"/>
    <n v="787644"/>
    <n v="683"/>
    <n v="1749159"/>
    <n v="5"/>
    <n v="24634.07"/>
    <n v="22.1"/>
    <n v="17"/>
    <n v="362406"/>
    <n v="670340"/>
    <x v="1"/>
    <s v="2d658da1-af60-4906-a23e-dcbac33d95b9"/>
    <s v="консолидация кредитов"/>
    <s v="в ипотеке"/>
    <s v="долгосрочный"/>
    <x v="0"/>
    <b v="0"/>
    <n v="0.99810758114462672"/>
    <n v="0.58787878787878789"/>
    <n v="0.16900055398051292"/>
  </r>
  <r>
    <n v="980"/>
    <n v="1"/>
    <n v="222816"/>
    <n v="725"/>
    <n v="1520209"/>
    <n v="28"/>
    <n v="12491.17"/>
    <n v="17.5"/>
    <n v="7"/>
    <n v="71079"/>
    <n v="104720"/>
    <x v="8"/>
    <s v="f70e194c-3df7-4ebe-acfb-388cac5fcfdd"/>
    <s v="консолидация кредитов"/>
    <s v="в аренде"/>
    <s v="краткосрочный"/>
    <x v="1"/>
    <b v="0"/>
    <n v="0.26195664640440419"/>
    <n v="0.84242424242424241"/>
    <n v="9.8600942370424077E-2"/>
  </r>
  <r>
    <n v="981"/>
    <n v="0"/>
    <m/>
    <n v="718"/>
    <n v="3186889"/>
    <n v="2"/>
    <n v="30540.98"/>
    <n v="26.9"/>
    <n v="14"/>
    <n v="598139"/>
    <n v="872256"/>
    <x v="1"/>
    <s v="2e958113-d15b-479c-a3bb-35ec85460817"/>
    <s v="консолидация кредитов"/>
    <s v="в ипотеке"/>
    <s v="долгосрочный"/>
    <x v="0"/>
    <b v="0"/>
    <m/>
    <n v="0.8"/>
    <n v="0.11499985095182168"/>
  </r>
  <r>
    <n v="982"/>
    <n v="0"/>
    <n v="268730"/>
    <n v="681"/>
    <n v="1218432"/>
    <n v="0"/>
    <n v="19819.66"/>
    <n v="16.3"/>
    <n v="6"/>
    <n v="265677"/>
    <n v="383086"/>
    <x v="5"/>
    <s v="5d4cc1e3-7890-401e-9760-2a1dafb7d00c"/>
    <s v="консолидация кредитов"/>
    <s v="в аренде"/>
    <s v="долгосрочный"/>
    <x v="1"/>
    <b v="0"/>
    <n v="0.32179722445234543"/>
    <n v="0.5757575757575758"/>
    <n v="0.19519835329341317"/>
  </r>
  <r>
    <n v="983"/>
    <n v="0"/>
    <n v="225214"/>
    <n v="723"/>
    <n v="1168044"/>
    <n v="0"/>
    <n v="18186.04"/>
    <n v="12.9"/>
    <n v="10"/>
    <n v="131917"/>
    <n v="669922"/>
    <x v="10"/>
    <s v="074de4c9-5e54-4934-a6a6-d7360b12f651"/>
    <s v="консолидация кредитов"/>
    <s v="в аренде"/>
    <s v="краткосрочный"/>
    <x v="0"/>
    <b v="0"/>
    <n v="0.26508200481706617"/>
    <n v="0.83030303030303032"/>
    <n v="0.18683583837595161"/>
  </r>
  <r>
    <n v="984"/>
    <n v="0"/>
    <n v="179432"/>
    <n v="723"/>
    <n v="1168044"/>
    <n v="68"/>
    <n v="22775.11"/>
    <n v="15.7"/>
    <n v="27"/>
    <n v="307154"/>
    <n v="545468"/>
    <x v="7"/>
    <s v="176596bc-30a8-4b95-8cb2-f4ff24e3bd7e"/>
    <s v="консолидация кредитов"/>
    <s v="в ипотеке"/>
    <s v="краткосрочный"/>
    <x v="1"/>
    <b v="0"/>
    <n v="0.20541346484688611"/>
    <n v="0.83030303030303032"/>
    <n v="0.23398204177239898"/>
  </r>
  <r>
    <n v="985"/>
    <n v="0"/>
    <n v="479490"/>
    <n v="680"/>
    <n v="2032924"/>
    <n v="0"/>
    <n v="29477.360000000001"/>
    <n v="12.8"/>
    <n v="16"/>
    <n v="674956"/>
    <n v="1289640"/>
    <x v="1"/>
    <s v="1278e0fd-cc5b-4e65-8282-f9ace5e87bf4"/>
    <s v="консолидация кредитов"/>
    <s v="в собственности"/>
    <s v="долгосрочный"/>
    <x v="0"/>
    <b v="0"/>
    <n v="0.59648468861107928"/>
    <n v="0.5696969696969697"/>
    <n v="0.17399977569254924"/>
  </r>
  <r>
    <n v="986"/>
    <n v="0"/>
    <n v="464904"/>
    <n v="723"/>
    <n v="1168044"/>
    <n v="0"/>
    <n v="19700.53"/>
    <n v="32.1"/>
    <n v="12"/>
    <n v="402173"/>
    <n v="1065592"/>
    <x v="4"/>
    <s v="da7d3376-3992-4068-bc29-a20929c64ed2"/>
    <s v="консолидация кредитов"/>
    <s v="в ипотеке"/>
    <s v="долгосрочный"/>
    <x v="1"/>
    <b v="0"/>
    <n v="0.57747448101846544"/>
    <n v="0.83030303030303032"/>
    <n v="0.20239508100722231"/>
  </r>
  <r>
    <n v="987"/>
    <n v="1"/>
    <n v="458700"/>
    <n v="723"/>
    <n v="1168044"/>
    <n v="28"/>
    <n v="13455.99"/>
    <n v="35.4"/>
    <n v="10"/>
    <n v="212173"/>
    <n v="486508"/>
    <x v="8"/>
    <s v="3720e858-cf85-4876-88c6-2d1662b2899f"/>
    <s v="консолидация кредитов"/>
    <s v="в ипотеке"/>
    <s v="долгосрочный"/>
    <x v="0"/>
    <b v="0"/>
    <n v="0.56938869136368853"/>
    <n v="0.83030303030303032"/>
    <n v="0.1382412648838571"/>
  </r>
  <r>
    <n v="988"/>
    <n v="0"/>
    <m/>
    <n v="726"/>
    <n v="1058167"/>
    <n v="5"/>
    <n v="14285.34"/>
    <n v="12"/>
    <n v="14"/>
    <n v="192584"/>
    <n v="665676"/>
    <x v="6"/>
    <s v="aabf4f9d-13ce-47f7-b65b-1930d66a1a33"/>
    <s v="консолидация кредитов"/>
    <s v="в ипотеке"/>
    <s v="краткосрочный"/>
    <x v="0"/>
    <b v="0"/>
    <m/>
    <n v="0.84848484848484851"/>
    <n v="0.16200096960120663"/>
  </r>
  <r>
    <n v="989"/>
    <n v="0"/>
    <n v="760298"/>
    <n v="654"/>
    <n v="2251272"/>
    <n v="0"/>
    <n v="20261.41"/>
    <n v="14.7"/>
    <n v="10"/>
    <n v="651358"/>
    <n v="836132"/>
    <x v="3"/>
    <s v="653ec81a-ef1d-4033-9b7e-cb17ac527ccf"/>
    <s v="иное"/>
    <s v="в аренде"/>
    <s v="долгосрочный"/>
    <x v="1"/>
    <b v="0"/>
    <n v="0.96246702603509582"/>
    <n v="0.41212121212121211"/>
    <n v="0.10799979744784281"/>
  </r>
  <r>
    <n v="990"/>
    <n v="0"/>
    <n v="151822"/>
    <n v="723"/>
    <n v="936605"/>
    <n v="28"/>
    <n v="7625.46"/>
    <n v="12.1"/>
    <n v="3"/>
    <n v="49495"/>
    <n v="119372"/>
    <x v="6"/>
    <s v="57edc3a9-1995-4333-b173-a45504ac7a1e"/>
    <s v="консолидация кредитов"/>
    <s v="в аренде"/>
    <s v="краткосрочный"/>
    <x v="0"/>
    <b v="0"/>
    <n v="0.16942883358183278"/>
    <n v="0.83030303030303032"/>
    <n v="9.7699158129627747E-2"/>
  </r>
  <r>
    <n v="991"/>
    <n v="0"/>
    <n v="46486"/>
    <n v="747"/>
    <n v="420679"/>
    <n v="0"/>
    <n v="8974.27"/>
    <n v="26.1"/>
    <n v="16"/>
    <n v="240103"/>
    <n v="476080"/>
    <x v="9"/>
    <s v="22e6fc82-11a7-4da1-939c-ec3c8101d698"/>
    <s v="консолидация кредитов"/>
    <s v="в ипотеке"/>
    <s v="краткосрочный"/>
    <x v="0"/>
    <b v="0"/>
    <n v="3.2142447528386284E-2"/>
    <n v="0.97575757575757571"/>
    <n v="0.25599385754934284"/>
  </r>
  <r>
    <n v="992"/>
    <n v="0"/>
    <m/>
    <n v="735"/>
    <n v="1575575"/>
    <n v="27"/>
    <n v="12000.59"/>
    <n v="14"/>
    <n v="16"/>
    <n v="137864"/>
    <n v="232364"/>
    <x v="3"/>
    <s v="e9e768e1-c7b5-464e-8c30-5edd4afcf4d7"/>
    <s v="консолидация кредитов"/>
    <s v="в ипотеке"/>
    <s v="краткосрочный"/>
    <x v="0"/>
    <b v="0"/>
    <m/>
    <n v="0.90303030303030307"/>
    <n v="9.1399698522761544E-2"/>
  </r>
  <r>
    <n v="993"/>
    <n v="0"/>
    <n v="562826"/>
    <n v="699"/>
    <n v="1060884"/>
    <n v="14"/>
    <n v="25107.74"/>
    <n v="21.4"/>
    <n v="12"/>
    <n v="442757"/>
    <n v="845988"/>
    <x v="1"/>
    <s v="6025af4b-cdab-4afc-9a6f-d54be33360b2"/>
    <s v="консолидация кредитов"/>
    <s v="в ипотеке"/>
    <s v="долгосрочный"/>
    <x v="1"/>
    <b v="0"/>
    <n v="0.70509806170432388"/>
    <n v="0.68484848484848482"/>
    <n v="0.28400171932086826"/>
  </r>
  <r>
    <n v="994"/>
    <n v="0"/>
    <n v="168102"/>
    <n v="714"/>
    <n v="427272"/>
    <n v="14"/>
    <n v="13815.28"/>
    <n v="9.9"/>
    <n v="18"/>
    <n v="122227"/>
    <n v="550660"/>
    <x v="3"/>
    <s v="e3c0b9f3-6eda-4c0f-adc8-2e11dc28ec6f"/>
    <s v="консолидация кредитов"/>
    <s v="в аренде"/>
    <s v="краткосрочный"/>
    <x v="0"/>
    <b v="0"/>
    <n v="0.19064686317238216"/>
    <n v="0.77575757575757576"/>
    <n v="0.38800426894343654"/>
  </r>
  <r>
    <n v="995"/>
    <n v="0"/>
    <m/>
    <n v="719"/>
    <n v="613415"/>
    <n v="0"/>
    <n v="14210.67"/>
    <n v="16.5"/>
    <n v="10"/>
    <n v="271928"/>
    <n v="511148"/>
    <x v="7"/>
    <s v="e9ad91de-370e-4ae5-bd9d-f7fc538a5a79"/>
    <s v="консолидация кредитов"/>
    <s v="в аренде"/>
    <s v="краткосрочный"/>
    <x v="0"/>
    <b v="0"/>
    <m/>
    <n v="0.80606060606060603"/>
    <n v="0.2779978318104383"/>
  </r>
  <r>
    <n v="996"/>
    <n v="0"/>
    <m/>
    <n v="726"/>
    <n v="742824"/>
    <n v="11"/>
    <n v="19127.68"/>
    <n v="18.899999999999999"/>
    <n v="15"/>
    <n v="265867"/>
    <n v="354662"/>
    <x v="1"/>
    <s v="c1498408-335b-4499-86a7-0c4760a29a5b"/>
    <s v="ремонт жилья"/>
    <s v="в ипотеке"/>
    <s v="краткосрочный"/>
    <x v="0"/>
    <b v="0"/>
    <m/>
    <n v="0.84848484848484851"/>
    <n v="0.30899938612645794"/>
  </r>
  <r>
    <n v="997"/>
    <n v="0"/>
    <n v="218284"/>
    <n v="721"/>
    <n v="1319626"/>
    <n v="0"/>
    <n v="13086.44"/>
    <n v="14.6"/>
    <n v="4"/>
    <n v="436012"/>
    <n v="873444"/>
    <x v="1"/>
    <s v="6dcac565-9aeb-4a3f-b1dc-b9e9ea2bfb08"/>
    <s v="консолидация кредитов"/>
    <s v="в аренде"/>
    <s v="долгосрочный"/>
    <x v="1"/>
    <b v="0"/>
    <n v="0.25605000573460257"/>
    <n v="0.81818181818181823"/>
    <n v="0.11900135341377027"/>
  </r>
  <r>
    <n v="998"/>
    <n v="0"/>
    <n v="387310"/>
    <n v="708"/>
    <n v="1368418"/>
    <n v="24"/>
    <n v="14368.37"/>
    <n v="22.9"/>
    <n v="3"/>
    <n v="234422"/>
    <n v="380688"/>
    <x v="1"/>
    <s v="2b38d634-6d1b-438e-b614-3b3dbac96d48"/>
    <s v="консолидация кредитов"/>
    <s v="в аренде"/>
    <s v="долгосрочный"/>
    <x v="0"/>
    <b v="0"/>
    <n v="0.47634476430783346"/>
    <n v="0.73939393939393938"/>
    <n v="0.12599983338424373"/>
  </r>
  <r>
    <n v="999"/>
    <n v="0"/>
    <m/>
    <n v="733"/>
    <n v="1383599"/>
    <n v="17"/>
    <n v="22944.59"/>
    <n v="17"/>
    <n v="9"/>
    <n v="108661"/>
    <n v="149072"/>
    <x v="1"/>
    <s v="dae190eb-1c33-4458-b34d-c14d915ab118"/>
    <s v="консолидация кредитов"/>
    <s v="в аренде"/>
    <s v="краткосрочный"/>
    <x v="0"/>
    <b v="0"/>
    <m/>
    <n v="0.89090909090909087"/>
    <n v="0.19899918979415279"/>
  </r>
  <r>
    <n v="1000"/>
    <n v="0"/>
    <n v="334092"/>
    <n v="737"/>
    <n v="1442670"/>
    <n v="21"/>
    <n v="16350.26"/>
    <n v="26.5"/>
    <n v="10"/>
    <n v="95950"/>
    <n v="178310"/>
    <x v="1"/>
    <s v="9377bdfc-c01a-4b7f-9dcd-6e6155cce7e8"/>
    <s v="ремонт жилья"/>
    <s v="в ипотеке"/>
    <s v="краткосрочный"/>
    <x v="0"/>
    <b v="0"/>
    <n v="0.40698474595710515"/>
    <n v="0.91515151515151516"/>
    <n v="0.13600000000000001"/>
  </r>
  <r>
    <n v="1001"/>
    <n v="0"/>
    <n v="776776"/>
    <n v="702"/>
    <n v="2491736"/>
    <n v="33"/>
    <n v="42774.89"/>
    <n v="29.9"/>
    <n v="14"/>
    <n v="941963"/>
    <n v="1076702"/>
    <x v="1"/>
    <s v="46c28ad4-17c7-4e10-9d9f-f36bfa3dc44f"/>
    <s v="консолидация кредитов"/>
    <s v="в ипотеке"/>
    <s v="долгосрочный"/>
    <x v="0"/>
    <b v="0"/>
    <n v="0.98394311274228696"/>
    <n v="0.70303030303030301"/>
    <n v="0.20600042701152932"/>
  </r>
  <r>
    <n v="1002"/>
    <n v="0"/>
    <n v="274274"/>
    <n v="747"/>
    <n v="1540672"/>
    <n v="0"/>
    <n v="8640.6299999999992"/>
    <n v="7.8"/>
    <n v="10"/>
    <n v="104538"/>
    <n v="500170"/>
    <x v="2"/>
    <s v="035d46fb-9903-4e90-9954-fb605622d539"/>
    <s v="консолидация кредитов"/>
    <s v="в аренде"/>
    <s v="краткосрочный"/>
    <x v="0"/>
    <b v="0"/>
    <n v="0.32902282371831632"/>
    <n v="0.97575757575757571"/>
    <n v="6.7300217048145219E-2"/>
  </r>
  <r>
    <n v="1003"/>
    <n v="0"/>
    <n v="268928"/>
    <n v="723"/>
    <n v="1168044"/>
    <n v="88"/>
    <n v="16369.83"/>
    <n v="25"/>
    <n v="14"/>
    <n v="253688"/>
    <n v="551122"/>
    <x v="3"/>
    <s v="5c9ece92-1798-4d26-8813-1b2094ac4624"/>
    <s v="консолидация кредитов"/>
    <s v="в собственности"/>
    <s v="долгосрочный"/>
    <x v="0"/>
    <b v="0"/>
    <n v="0.32205528156898727"/>
    <n v="0.83030303030303032"/>
    <n v="0.16817684950224479"/>
  </r>
  <r>
    <n v="1004"/>
    <n v="2"/>
    <n v="448712"/>
    <n v="696"/>
    <n v="1264602"/>
    <n v="22"/>
    <n v="33722.910000000003"/>
    <n v="16.7"/>
    <n v="28"/>
    <n v="328054"/>
    <n v="895906"/>
    <x v="1"/>
    <s v="a239a831-642f-4cf8-926c-beac6ee5f36d"/>
    <s v="консолидация кредитов"/>
    <s v="в ипотеке"/>
    <s v="долгосрочный"/>
    <x v="0"/>
    <b v="0"/>
    <n v="0.5563711434797568"/>
    <n v="0.66666666666666663"/>
    <n v="0.32000180293879027"/>
  </r>
  <r>
    <n v="1005"/>
    <n v="0"/>
    <n v="172040"/>
    <n v="705"/>
    <n v="722988"/>
    <n v="22"/>
    <n v="5850.1"/>
    <n v="11.4"/>
    <n v="8"/>
    <n v="142082"/>
    <n v="413358"/>
    <x v="2"/>
    <s v="9f971c03-73fa-4cb0-9b71-95eb9a8ff399"/>
    <s v="консолидация кредитов"/>
    <s v="в аренде"/>
    <s v="краткосрочный"/>
    <x v="0"/>
    <b v="0"/>
    <n v="0.19577933249225829"/>
    <n v="0.72121212121212119"/>
    <n v="9.7098707032481871E-2"/>
  </r>
  <r>
    <n v="1006"/>
    <n v="0"/>
    <n v="67584"/>
    <n v="716"/>
    <n v="856140"/>
    <n v="48"/>
    <n v="9417.5400000000009"/>
    <n v="12.3"/>
    <n v="9"/>
    <n v="198265"/>
    <n v="565422"/>
    <x v="1"/>
    <s v="70187894-7f5b-4101-90d4-62c4b925c1f0"/>
    <s v="консолидация кредитов"/>
    <s v="в ипотеке"/>
    <s v="краткосрочный"/>
    <x v="0"/>
    <b v="0"/>
    <n v="5.9639866957219866E-2"/>
    <n v="0.78787878787878785"/>
    <n v="0.13200000000000001"/>
  </r>
  <r>
    <n v="1007"/>
    <n v="2"/>
    <n v="258060"/>
    <n v="695"/>
    <n v="1634380"/>
    <n v="20"/>
    <n v="3895.19"/>
    <n v="19.399999999999999"/>
    <n v="8"/>
    <n v="50787"/>
    <n v="187308"/>
    <x v="1"/>
    <s v="f3aeb64c-5712-43d3-9896-6eab7adbdc6c"/>
    <s v="ремонт жилья"/>
    <s v="в ипотеке"/>
    <s v="краткосрочный"/>
    <x v="0"/>
    <b v="0"/>
    <n v="0.30789081316664757"/>
    <n v="0.66060606060606064"/>
    <n v="2.8599395489421062E-2"/>
  </r>
  <r>
    <n v="1008"/>
    <n v="0"/>
    <n v="188606"/>
    <n v="723"/>
    <n v="1168044"/>
    <n v="59"/>
    <n v="24487.01"/>
    <n v="26.3"/>
    <n v="11"/>
    <n v="638552"/>
    <n v="885456"/>
    <x v="0"/>
    <s v="1df19f58-466d-4753-b28f-4a67e833fa3f"/>
    <s v="консолидация кредитов"/>
    <s v="в ипотеке"/>
    <s v="краткосрочный"/>
    <x v="0"/>
    <b v="0"/>
    <n v="0.2173701112512903"/>
    <n v="0.83030303030303032"/>
    <n v="0.2515693929338278"/>
  </r>
  <r>
    <n v="1009"/>
    <n v="0"/>
    <n v="196658"/>
    <n v="732"/>
    <n v="650655"/>
    <n v="0"/>
    <n v="15073.46"/>
    <n v="15"/>
    <n v="7"/>
    <n v="190684"/>
    <n v="307934"/>
    <x v="4"/>
    <s v="aac67f72-fe21-4656-b675-af81e6d1c4ac"/>
    <s v="консолидация кредитов"/>
    <s v="в аренде"/>
    <s v="краткосрочный"/>
    <x v="0"/>
    <b v="0"/>
    <n v="0.22786443399472417"/>
    <n v="0.88484848484848488"/>
    <n v="0.27799912395970211"/>
  </r>
  <r>
    <n v="1010"/>
    <n v="0"/>
    <n v="552442"/>
    <n v="723"/>
    <n v="1168044"/>
    <n v="0"/>
    <n v="17821.240000000002"/>
    <n v="13.8"/>
    <n v="8"/>
    <n v="596486"/>
    <n v="845394"/>
    <x v="1"/>
    <s v="d507e397-ea02-479b-a9b4-db17514ad722"/>
    <s v="консолидация кредитов"/>
    <s v="в ипотеке"/>
    <s v="долгосрочный"/>
    <x v="1"/>
    <b v="0"/>
    <n v="0.69156439958710858"/>
    <n v="0.83030303030303032"/>
    <n v="0.1830880343548702"/>
  </r>
  <r>
    <n v="1011"/>
    <n v="1"/>
    <n v="267652"/>
    <n v="723"/>
    <n v="1168044"/>
    <n v="0"/>
    <n v="1035.31"/>
    <n v="14.5"/>
    <n v="5"/>
    <n v="40945"/>
    <n v="338712"/>
    <x v="6"/>
    <s v="aac6059a-0c38-43a0-ba58-f95367667bbc"/>
    <s v="иное"/>
    <s v="в ипотеке"/>
    <s v="краткосрочный"/>
    <x v="0"/>
    <b v="0"/>
    <n v="0.32039224681729556"/>
    <n v="0.83030303030303032"/>
    <n v="1.0636345891079445E-2"/>
  </r>
  <r>
    <n v="1012"/>
    <n v="0"/>
    <m/>
    <n v="743"/>
    <n v="774060"/>
    <n v="0"/>
    <n v="17093.73"/>
    <n v="16.7"/>
    <n v="12"/>
    <n v="486647"/>
    <n v="1006236"/>
    <x v="2"/>
    <s v="4b9c2fe5-8953-4cb4-8b40-610ad7223e8f"/>
    <s v="консолидация кредитов"/>
    <s v="в ипотеке"/>
    <s v="краткосрочный"/>
    <x v="0"/>
    <b v="0"/>
    <m/>
    <n v="0.95151515151515154"/>
    <n v="0.26499852724594991"/>
  </r>
  <r>
    <n v="1013"/>
    <n v="0"/>
    <n v="335720"/>
    <n v="728"/>
    <n v="966435"/>
    <n v="30"/>
    <n v="9181.18"/>
    <n v="8.6999999999999993"/>
    <n v="12"/>
    <n v="226974"/>
    <n v="722018"/>
    <x v="0"/>
    <s v="3bae464f-b995-470a-8f0d-29826f10756e"/>
    <s v="консолидация кредитов"/>
    <s v="в аренде"/>
    <s v="краткосрочный"/>
    <x v="0"/>
    <b v="0"/>
    <n v="0.40910654891616011"/>
    <n v="0.8606060606060606"/>
    <n v="0.11400058979652021"/>
  </r>
  <r>
    <n v="1014"/>
    <n v="0"/>
    <n v="178508"/>
    <n v="739"/>
    <n v="2312604"/>
    <n v="18"/>
    <n v="21777.040000000001"/>
    <n v="21.3"/>
    <n v="9"/>
    <n v="134216"/>
    <n v="636878"/>
    <x v="9"/>
    <s v="d05e0fef-0b8a-4f1b-bffe-24f3fe30bf42"/>
    <s v="консолидация кредитов"/>
    <s v="в собственности"/>
    <s v="краткосрочный"/>
    <x v="0"/>
    <b v="0"/>
    <n v="0.20420919830255763"/>
    <n v="0.92727272727272725"/>
    <n v="0.11300009859016071"/>
  </r>
  <r>
    <n v="1015"/>
    <n v="0"/>
    <n v="346258"/>
    <n v="742"/>
    <n v="1626058"/>
    <n v="74"/>
    <n v="4634.29"/>
    <n v="15"/>
    <n v="8"/>
    <n v="307724"/>
    <n v="525514"/>
    <x v="1"/>
    <s v="6bc91a19-3e02-4ac7-8951-914fa7c139c5"/>
    <s v="консолидация кредитов"/>
    <s v="в ипотеке"/>
    <s v="краткосрочный"/>
    <x v="0"/>
    <b v="0"/>
    <n v="0.4228409221240968"/>
    <n v="0.94545454545454544"/>
    <n v="3.4200182281320837E-2"/>
  </r>
  <r>
    <n v="1016"/>
    <n v="1"/>
    <n v="132968"/>
    <n v="728"/>
    <n v="880460"/>
    <n v="0"/>
    <n v="9465.0400000000009"/>
    <n v="21.9"/>
    <n v="9"/>
    <n v="107578"/>
    <n v="177936"/>
    <x v="1"/>
    <s v="7bed6288-37f6-473c-8a6f-6b76491aa4f3"/>
    <s v="консолидация кредитов"/>
    <s v="в аренде"/>
    <s v="краткосрочный"/>
    <x v="0"/>
    <b v="0"/>
    <n v="0.14485606147493979"/>
    <n v="0.8606060606060606"/>
    <n v="0.12900129477772981"/>
  </r>
  <r>
    <n v="1017"/>
    <n v="0"/>
    <n v="218900"/>
    <n v="748"/>
    <n v="1890500"/>
    <n v="39"/>
    <n v="12745.2"/>
    <n v="10.8"/>
    <n v="9"/>
    <n v="171551"/>
    <n v="928180"/>
    <x v="9"/>
    <s v="8f31d7d2-e50b-4071-97e5-718e956f3632"/>
    <s v="консолидация кредитов"/>
    <s v="в аренде"/>
    <s v="краткосрочный"/>
    <x v="0"/>
    <b v="0"/>
    <n v="0.25685285009748826"/>
    <n v="0.98181818181818181"/>
    <n v="8.0900502512562825E-2"/>
  </r>
  <r>
    <n v="1018"/>
    <n v="0"/>
    <n v="510334"/>
    <n v="718"/>
    <n v="900239"/>
    <n v="0"/>
    <n v="15266.5"/>
    <n v="23.6"/>
    <n v="8"/>
    <n v="361665"/>
    <n v="549582"/>
    <x v="9"/>
    <s v="9305ecb1-87c6-4046-8326-fd16ca5e5800"/>
    <s v="консолидация кредитов"/>
    <s v="в аренде"/>
    <s v="долгосрочный"/>
    <x v="0"/>
    <b v="0"/>
    <n v="0.63668425278128227"/>
    <n v="0.8"/>
    <n v="0.20349929296553471"/>
  </r>
  <r>
    <n v="1019"/>
    <n v="0"/>
    <n v="759308"/>
    <n v="680"/>
    <n v="2950909"/>
    <n v="0"/>
    <n v="30738.77"/>
    <n v="28.3"/>
    <n v="14"/>
    <n v="692075"/>
    <n v="1282138"/>
    <x v="4"/>
    <s v="4468f98f-a921-4524-bc8e-eded86ec4b10"/>
    <s v="ремонт жилья"/>
    <s v="в ипотеке"/>
    <s v="краткосрочный"/>
    <x v="0"/>
    <b v="0"/>
    <n v="0.96117674045188672"/>
    <n v="0.5696969696969697"/>
    <n v="0.12500054728898791"/>
  </r>
  <r>
    <n v="1020"/>
    <n v="1"/>
    <n v="132550"/>
    <n v="654"/>
    <n v="622478"/>
    <n v="19"/>
    <n v="14213.14"/>
    <n v="15.6"/>
    <n v="14"/>
    <n v="178391"/>
    <n v="320760"/>
    <x v="3"/>
    <s v="3bf47435-6990-439e-bd56-f0bcf7c913be"/>
    <s v="консолидация кредитов"/>
    <s v="в аренде"/>
    <s v="краткосрочный"/>
    <x v="0"/>
    <b v="0"/>
    <n v="0.14431127422869594"/>
    <n v="0.41212121212121211"/>
    <n v="0.27399792442463833"/>
  </r>
  <r>
    <n v="1021"/>
    <n v="0"/>
    <n v="307538"/>
    <n v="739"/>
    <n v="1043442"/>
    <n v="0"/>
    <n v="22259.83"/>
    <n v="9"/>
    <n v="10"/>
    <n v="170525"/>
    <n v="399674"/>
    <x v="10"/>
    <s v="93863691-c7ed-4af7-b53e-a85570383460"/>
    <s v="консолидация кредитов"/>
    <s v="в аренде"/>
    <s v="краткосрочный"/>
    <x v="0"/>
    <b v="0"/>
    <n v="0.3723764193141415"/>
    <n v="0.92727272727272725"/>
    <n v="0.25599694089369607"/>
  </r>
  <r>
    <n v="1022"/>
    <n v="0"/>
    <n v="582912"/>
    <n v="685"/>
    <n v="1411472"/>
    <n v="48"/>
    <n v="10162.530000000001"/>
    <n v="14.7"/>
    <n v="12"/>
    <n v="373255"/>
    <n v="1445422"/>
    <x v="10"/>
    <s v="9443557f-17dc-4de9-9eb5-621c3046dd24"/>
    <s v="консолидация кредитов"/>
    <s v="в ипотеке"/>
    <s v="долгосрочный"/>
    <x v="1"/>
    <b v="0"/>
    <n v="0.73127652253698816"/>
    <n v="0.6"/>
    <n v="8.6399418479431403E-2"/>
  </r>
  <r>
    <n v="1023"/>
    <n v="0"/>
    <n v="98252"/>
    <n v="725"/>
    <n v="1602897"/>
    <n v="0"/>
    <n v="34328.629999999997"/>
    <n v="34.299999999999997"/>
    <n v="15"/>
    <n v="335825"/>
    <n v="430144"/>
    <x v="1"/>
    <s v="d3945e29-69fd-4c57-8b07-e5152ebc33f0"/>
    <s v="ремонт жилья"/>
    <s v="в ипотеке"/>
    <s v="краткосрочный"/>
    <x v="0"/>
    <b v="0"/>
    <n v="9.9610047023741252E-2"/>
    <n v="0.84242424242424241"/>
    <n v="0.2569993954695779"/>
  </r>
  <r>
    <n v="1024"/>
    <n v="0"/>
    <n v="241538"/>
    <n v="723"/>
    <n v="1168044"/>
    <n v="0"/>
    <n v="12057.02"/>
    <n v="38.5"/>
    <n v="18"/>
    <n v="391837"/>
    <n v="790438"/>
    <x v="6"/>
    <s v="959ea3bc-40c4-41a1-a9c8-1546076db243"/>
    <s v="консолидация кредитов"/>
    <s v="в ипотеке"/>
    <s v="краткосрочный"/>
    <x v="1"/>
    <b v="0"/>
    <n v="0.28635738043353598"/>
    <n v="0.83030303030303032"/>
    <n v="0.12386882685926215"/>
  </r>
  <r>
    <n v="1025"/>
    <n v="0"/>
    <n v="751300"/>
    <n v="716"/>
    <n v="3614978"/>
    <n v="69"/>
    <n v="72600.710000000006"/>
    <n v="11.9"/>
    <n v="29"/>
    <n v="957752"/>
    <n v="2128522"/>
    <x v="10"/>
    <s v="e849b404-a91e-4ffe-92f1-2a06e99d65a6"/>
    <s v="консолидация кредитов"/>
    <s v="в ипотеке"/>
    <s v="краткосрочный"/>
    <x v="0"/>
    <b v="1"/>
    <n v="0.95073976373437319"/>
    <n v="0.78787878787878785"/>
    <n v="0.24099967413356319"/>
  </r>
  <r>
    <n v="1026"/>
    <n v="0"/>
    <n v="248248"/>
    <n v="710"/>
    <n v="618089"/>
    <n v="77"/>
    <n v="6953.62"/>
    <n v="12.8"/>
    <n v="6"/>
    <n v="51585"/>
    <n v="136378"/>
    <x v="1"/>
    <s v="328c2ba0-7bab-4cc6-839f-5b282bc7d38a"/>
    <s v="иное"/>
    <s v="в аренде"/>
    <s v="краткосрочный"/>
    <x v="0"/>
    <b v="0"/>
    <n v="0.29510264938639752"/>
    <n v="0.75151515151515147"/>
    <n v="0.13500230549322184"/>
  </r>
  <r>
    <n v="1027"/>
    <n v="0"/>
    <n v="82126"/>
    <n v="717"/>
    <n v="2015672"/>
    <n v="0"/>
    <n v="23180.38"/>
    <n v="24"/>
    <n v="8"/>
    <n v="157016"/>
    <n v="242088"/>
    <x v="9"/>
    <s v="4b0824a8-9ef4-4e93-889d-d120ebe5c5e1"/>
    <s v="консолидация кредитов"/>
    <s v="в аренде"/>
    <s v="краткосрочный"/>
    <x v="0"/>
    <b v="0"/>
    <n v="7.8592728523913288E-2"/>
    <n v="0.79393939393939394"/>
    <n v="0.13800090490913205"/>
  </r>
  <r>
    <n v="1028"/>
    <n v="0"/>
    <n v="108834"/>
    <n v="723"/>
    <n v="1168044"/>
    <n v="0"/>
    <n v="13392.72"/>
    <n v="16"/>
    <n v="10"/>
    <n v="224428"/>
    <n v="315766"/>
    <x v="4"/>
    <s v="b8eb74b6-c4b9-488c-93f7-e8ace0d5c2db"/>
    <s v="консолидация кредитов"/>
    <s v="в аренде"/>
    <s v="краткосрочный"/>
    <x v="1"/>
    <b v="0"/>
    <n v="0.11340176625759835"/>
    <n v="0.83030303030303032"/>
    <n v="0.13759125512395079"/>
  </r>
  <r>
    <n v="1029"/>
    <n v="0"/>
    <n v="523204"/>
    <n v="739"/>
    <n v="1694439"/>
    <n v="0"/>
    <n v="28240.65"/>
    <n v="19.600000000000001"/>
    <n v="10"/>
    <n v="339055"/>
    <n v="594836"/>
    <x v="1"/>
    <s v="84afbad5-a16f-4af3-b4d8-37d475b540fe"/>
    <s v="консолидация кредитов"/>
    <s v="в ипотеке"/>
    <s v="долгосрочный"/>
    <x v="1"/>
    <b v="0"/>
    <n v="0.65345796536300038"/>
    <n v="0.92727272727272725"/>
    <n v="0.2"/>
  </r>
  <r>
    <n v="1030"/>
    <n v="0"/>
    <n v="150744"/>
    <n v="723"/>
    <n v="1168044"/>
    <n v="76"/>
    <n v="17297.22"/>
    <n v="14.5"/>
    <n v="9"/>
    <n v="171893"/>
    <n v="318956"/>
    <x v="2"/>
    <s v="5fa9ee40-8421-4e44-92de-a7757ca04f8a"/>
    <s v="консолидация кредитов"/>
    <s v="в аренде"/>
    <s v="краткосрочный"/>
    <x v="0"/>
    <b v="0"/>
    <n v="0.1680238559467829"/>
    <n v="0.83030303030303032"/>
    <n v="0.17770447003708767"/>
  </r>
  <r>
    <n v="1031"/>
    <n v="0"/>
    <m/>
    <n v="749"/>
    <n v="800280"/>
    <n v="0"/>
    <n v="8336.06"/>
    <n v="16.899999999999999"/>
    <n v="7"/>
    <n v="288895"/>
    <n v="899228"/>
    <x v="1"/>
    <s v="194c82b6-29f1-4093-b80a-94469e3d395d"/>
    <s v="консолидация кредитов"/>
    <s v="в аренде"/>
    <s v="краткосрочный"/>
    <x v="0"/>
    <b v="0"/>
    <m/>
    <n v="0.98787878787878791"/>
    <n v="0.12499715099715099"/>
  </r>
  <r>
    <n v="1032"/>
    <n v="0"/>
    <n v="223784"/>
    <n v="723"/>
    <n v="1168044"/>
    <n v="14"/>
    <n v="18060.07"/>
    <n v="31"/>
    <n v="14"/>
    <n v="399000"/>
    <n v="1279784"/>
    <x v="0"/>
    <s v="40a57661-77a5-4732-8166-f2d081e8822b"/>
    <s v="консолидация кредитов"/>
    <s v="в собственности"/>
    <s v="краткосрочный"/>
    <x v="0"/>
    <b v="0"/>
    <n v="0.26321825897465306"/>
    <n v="0.83030303030303032"/>
    <n v="0.18554167479992192"/>
  </r>
  <r>
    <n v="1033"/>
    <n v="0"/>
    <n v="477818"/>
    <n v="723"/>
    <n v="1168044"/>
    <n v="0"/>
    <n v="8310.41"/>
    <n v="21.3"/>
    <n v="12"/>
    <n v="65265"/>
    <n v="469348"/>
    <x v="1"/>
    <s v="3d7b5458-384f-455f-a978-08c41a3f2856"/>
    <s v="иное"/>
    <s v="в аренде"/>
    <s v="долгосрочный"/>
    <x v="1"/>
    <b v="0"/>
    <n v="0.59430553962610388"/>
    <n v="0.83030303030303032"/>
    <n v="8.5377708373999606E-2"/>
  </r>
  <r>
    <n v="1034"/>
    <n v="0"/>
    <m/>
    <n v="740"/>
    <n v="2128152"/>
    <n v="0"/>
    <n v="43449.77"/>
    <n v="28.6"/>
    <n v="8"/>
    <n v="521759"/>
    <n v="808764"/>
    <x v="1"/>
    <s v="89a75574-61d1-41f9-90cc-738ada12ab9c"/>
    <s v="консолидация кредитов"/>
    <s v="в аренде"/>
    <s v="краткосрочный"/>
    <x v="0"/>
    <b v="0"/>
    <m/>
    <n v="0.93333333333333335"/>
    <n v="0.245"/>
  </r>
  <r>
    <n v="1035"/>
    <n v="0"/>
    <n v="332970"/>
    <n v="723"/>
    <n v="996892"/>
    <n v="0"/>
    <n v="19190.189999999999"/>
    <n v="12.8"/>
    <n v="14"/>
    <n v="209836"/>
    <n v="310684"/>
    <x v="4"/>
    <s v="df7bea99-4e87-4c5e-8f76-9c2c4d147e01"/>
    <s v="консолидация кредитов"/>
    <s v="в аренде"/>
    <s v="долгосрочный"/>
    <x v="0"/>
    <b v="0"/>
    <n v="0.40552242229613489"/>
    <n v="0.83030303030303032"/>
    <n v="0.23100022871083326"/>
  </r>
  <r>
    <n v="1036"/>
    <n v="0"/>
    <n v="267608"/>
    <n v="723"/>
    <n v="1168044"/>
    <n v="16"/>
    <n v="49354.59"/>
    <n v="16.2"/>
    <n v="12"/>
    <n v="374224"/>
    <n v="743270"/>
    <x v="2"/>
    <s v="3d2d4c23-a350-43f2-a0ef-97db8d22aea4"/>
    <s v="консолидация кредитов"/>
    <s v="в аренде"/>
    <s v="краткосрочный"/>
    <x v="0"/>
    <b v="1"/>
    <n v="0.32033490079137517"/>
    <n v="0.83030303030303032"/>
    <n v="0.50704860433339838"/>
  </r>
  <r>
    <n v="1037"/>
    <n v="0"/>
    <n v="216238"/>
    <n v="723"/>
    <n v="1168044"/>
    <n v="0"/>
    <n v="5168.38"/>
    <n v="31.7"/>
    <n v="2"/>
    <n v="155629"/>
    <n v="237710"/>
    <x v="1"/>
    <s v="ae8d0ebe-205f-48a3-90ca-fb64306c80a0"/>
    <s v="консолидация кредитов"/>
    <s v="в ипотеке"/>
    <s v="краткосрочный"/>
    <x v="1"/>
    <b v="0"/>
    <n v="0.25338341552930382"/>
    <n v="0.83030303030303032"/>
    <n v="5.3097794261175092E-2"/>
  </r>
  <r>
    <n v="1038"/>
    <n v="0"/>
    <n v="351516"/>
    <n v="723"/>
    <n v="1168044"/>
    <n v="0"/>
    <n v="38737.39"/>
    <n v="16"/>
    <n v="26"/>
    <n v="562419"/>
    <n v="1528736"/>
    <x v="7"/>
    <s v="d27046bf-979b-40ed-b0c6-4e43b4c24d6e"/>
    <s v="ремонт жилья"/>
    <s v="в ипотеке"/>
    <s v="краткосрочный"/>
    <x v="0"/>
    <b v="0"/>
    <n v="0.42969377222158506"/>
    <n v="0.83030303030303032"/>
    <n v="0.39797189146984191"/>
  </r>
  <r>
    <n v="1039"/>
    <n v="0"/>
    <n v="481470"/>
    <n v="722"/>
    <n v="717630"/>
    <n v="0"/>
    <n v="13850.43"/>
    <n v="18.5"/>
    <n v="13"/>
    <n v="326097"/>
    <n v="733172"/>
    <x v="6"/>
    <s v="ea3c5f6d-1d77-4d32-89ff-d31291001e7e"/>
    <s v="бизнес"/>
    <s v="в ипотеке"/>
    <s v="долгосрочный"/>
    <x v="1"/>
    <b v="0"/>
    <n v="0.59906525977749747"/>
    <n v="0.82424242424242422"/>
    <n v="0.23160285941223194"/>
  </r>
  <r>
    <n v="1040"/>
    <n v="0"/>
    <n v="215468"/>
    <n v="723"/>
    <n v="1168044"/>
    <n v="0"/>
    <n v="19353.02"/>
    <n v="14.5"/>
    <n v="10"/>
    <n v="235334"/>
    <n v="318714"/>
    <x v="2"/>
    <s v="bda04956-9b63-4c91-a93b-6e6b85f45483"/>
    <s v="консолидация кредитов"/>
    <s v="в аренде"/>
    <s v="краткосрочный"/>
    <x v="0"/>
    <b v="0"/>
    <n v="0.25237986007569674"/>
    <n v="0.83030303030303032"/>
    <n v="0.19882490728089011"/>
  </r>
  <r>
    <n v="1041"/>
    <n v="2"/>
    <n v="154594"/>
    <n v="722"/>
    <n v="434853"/>
    <n v="23"/>
    <n v="2290.2600000000002"/>
    <n v="33.700000000000003"/>
    <n v="8"/>
    <n v="67792"/>
    <n v="130372"/>
    <x v="1"/>
    <s v="710ccb54-2251-4dd0-a366-9c5777018558"/>
    <s v="консолидация кредитов"/>
    <s v="в ипотеке"/>
    <s v="краткосрочный"/>
    <x v="0"/>
    <b v="0"/>
    <n v="0.17304163321481822"/>
    <n v="0.82424242424242422"/>
    <n v="6.3200943767204101E-2"/>
  </r>
  <r>
    <n v="1042"/>
    <n v="0"/>
    <n v="367796"/>
    <n v="710"/>
    <n v="1172566"/>
    <n v="0"/>
    <n v="34101.96"/>
    <n v="11.5"/>
    <n v="12"/>
    <n v="338352"/>
    <n v="590018"/>
    <x v="3"/>
    <s v="db4a19fb-f3b0-4098-bc2b-23c7bc4d8d76"/>
    <s v="консолидация кредитов"/>
    <s v="в ипотеке"/>
    <s v="краткосрочный"/>
    <x v="1"/>
    <b v="0"/>
    <n v="0.45091180181213442"/>
    <n v="0.75151515151515147"/>
    <n v="0.34899828239945557"/>
  </r>
  <r>
    <n v="1043"/>
    <n v="0"/>
    <n v="769230"/>
    <n v="738"/>
    <n v="2694257"/>
    <n v="38"/>
    <n v="10081.02"/>
    <n v="27.1"/>
    <n v="6"/>
    <n v="210349"/>
    <n v="727056"/>
    <x v="1"/>
    <s v="53b0f0d1-f02e-4e23-8f8d-389313b665d3"/>
    <s v="консолидация кредитов"/>
    <s v="в ипотеке"/>
    <s v="долгосрочный"/>
    <x v="1"/>
    <b v="0"/>
    <n v="0.97410826929693772"/>
    <n v="0.92121212121212126"/>
    <n v="4.4900037375796002E-2"/>
  </r>
  <r>
    <n v="1044"/>
    <n v="1"/>
    <n v="108988"/>
    <n v="723"/>
    <n v="1168044"/>
    <n v="0"/>
    <n v="6395.78"/>
    <n v="22"/>
    <n v="13"/>
    <n v="94734"/>
    <n v="314270"/>
    <x v="1"/>
    <s v="217d696e-f89d-4b34-bb0e-671eaa8fdcf9"/>
    <s v="консолидация кредитов"/>
    <s v="в аренде"/>
    <s v="краткосрочный"/>
    <x v="0"/>
    <b v="0"/>
    <n v="0.11360247734831976"/>
    <n v="0.83030303030303032"/>
    <n v="6.5707593207105203E-2"/>
  </r>
  <r>
    <n v="1045"/>
    <n v="0"/>
    <n v="353826"/>
    <n v="723"/>
    <n v="1168044"/>
    <n v="16"/>
    <n v="13120.83"/>
    <n v="20"/>
    <n v="2"/>
    <n v="200355"/>
    <n v="245498"/>
    <x v="5"/>
    <s v="2191e828-577b-4210-a501-e7de13aac82d"/>
    <s v="консолидация кредитов"/>
    <s v="в собственности"/>
    <s v="долгосрочный"/>
    <x v="0"/>
    <b v="0"/>
    <n v="0.43270443858240626"/>
    <n v="0.83030303030303032"/>
    <n v="0.13479796993948859"/>
  </r>
  <r>
    <n v="1046"/>
    <n v="0"/>
    <n v="348722"/>
    <n v="723"/>
    <n v="1168044"/>
    <n v="72"/>
    <n v="5872.9"/>
    <n v="19"/>
    <n v="10"/>
    <n v="340860"/>
    <n v="568678"/>
    <x v="6"/>
    <s v="8cc45685-d0d8-4a7f-945b-5d703cd36dda"/>
    <s v="консолидация кредитов"/>
    <s v="в аренде"/>
    <s v="краткосрочный"/>
    <x v="1"/>
    <b v="0"/>
    <n v="0.42605229957563939"/>
    <n v="0.83030303030303032"/>
    <n v="6.0335740776888538E-2"/>
  </r>
  <r>
    <n v="1047"/>
    <n v="0"/>
    <n v="333168"/>
    <n v="682"/>
    <n v="1163750"/>
    <n v="0"/>
    <n v="24632.55"/>
    <n v="8.5"/>
    <n v="21"/>
    <n v="325109"/>
    <n v="484484"/>
    <x v="3"/>
    <s v="857ca84f-1696-49b2-91cb-a7e12a824a24"/>
    <s v="консолидация кредитов"/>
    <s v="в ипотеке"/>
    <s v="долгосрочный"/>
    <x v="0"/>
    <b v="0"/>
    <n v="0.40578047941277667"/>
    <n v="0.58181818181818179"/>
    <n v="0.25399836734693876"/>
  </r>
  <r>
    <n v="1048"/>
    <n v="0"/>
    <n v="752840"/>
    <n v="723"/>
    <n v="1168044"/>
    <n v="37"/>
    <n v="39159.949999999997"/>
    <n v="29.5"/>
    <n v="13"/>
    <n v="746624"/>
    <n v="979066"/>
    <x v="6"/>
    <s v="9379820c-d2ab-4433-93c9-576e1350a297"/>
    <s v="консолидация кредитов"/>
    <s v="в собственности"/>
    <s v="краткосрочный"/>
    <x v="1"/>
    <b v="0"/>
    <n v="0.95274687464158736"/>
    <n v="0.83030303030303032"/>
    <n v="0.40231309779426117"/>
  </r>
  <r>
    <n v="1049"/>
    <n v="0"/>
    <n v="180180"/>
    <n v="723"/>
    <n v="1168044"/>
    <n v="51"/>
    <n v="8597.1200000000008"/>
    <n v="25.9"/>
    <n v="4"/>
    <n v="169309"/>
    <n v="306328"/>
    <x v="3"/>
    <s v="30213973-3e39-4472-916a-06e375bd3fac"/>
    <s v="консолидация кредитов"/>
    <s v="в аренде"/>
    <s v="краткосрочный"/>
    <x v="1"/>
    <b v="0"/>
    <n v="0.20638834728753297"/>
    <n v="0.83030303030303032"/>
    <n v="8.8323248096818283E-2"/>
  </r>
  <r>
    <n v="1050"/>
    <n v="0"/>
    <n v="667062"/>
    <n v="725"/>
    <n v="1843513"/>
    <n v="0"/>
    <n v="31800.68"/>
    <n v="18.5"/>
    <n v="17"/>
    <n v="148200"/>
    <n v="1372734"/>
    <x v="1"/>
    <s v="967cf3f5-6e9c-4819-8a89-4b6e3ec6770f"/>
    <s v="ремонт жилья"/>
    <s v="в ипотеке"/>
    <s v="краткосрочный"/>
    <x v="0"/>
    <b v="0"/>
    <n v="0.84095079710976028"/>
    <n v="0.84242424242424241"/>
    <n v="0.20700052562688734"/>
  </r>
  <r>
    <n v="1051"/>
    <n v="1"/>
    <n v="181984"/>
    <n v="693"/>
    <n v="562932"/>
    <n v="4"/>
    <n v="15434.08"/>
    <n v="22.5"/>
    <n v="14"/>
    <n v="72257"/>
    <n v="228624"/>
    <x v="1"/>
    <s v="e9756027-6058-4a39-b52b-d2ac5f6646f3"/>
    <s v="консолидация кредитов"/>
    <s v="в ипотеке"/>
    <s v="краткосрочный"/>
    <x v="1"/>
    <b v="0"/>
    <n v="0.20873953435026954"/>
    <n v="0.64848484848484844"/>
    <n v="0.32900769542324826"/>
  </r>
  <r>
    <n v="1052"/>
    <n v="1"/>
    <n v="382690"/>
    <n v="730"/>
    <n v="756504"/>
    <n v="78"/>
    <n v="17147.5"/>
    <n v="13"/>
    <n v="10"/>
    <n v="165699"/>
    <n v="436018"/>
    <x v="5"/>
    <s v="c11b696d-457d-457f-94e2-daa36cd68831"/>
    <s v="консолидация кредитов"/>
    <s v="в аренде"/>
    <s v="краткосрочный"/>
    <x v="1"/>
    <b v="0"/>
    <n v="0.47032343158619105"/>
    <n v="0.87272727272727268"/>
    <n v="0.27200120554550933"/>
  </r>
  <r>
    <n v="1053"/>
    <n v="1"/>
    <n v="142186"/>
    <n v="705"/>
    <n v="793459"/>
    <n v="62"/>
    <n v="16464.07"/>
    <n v="28.9"/>
    <n v="8"/>
    <n v="85291"/>
    <n v="216590"/>
    <x v="9"/>
    <s v="e27b5bfc-6f93-48d0-970f-59341606062e"/>
    <s v="консолидация кредитов"/>
    <s v="в ипотеке"/>
    <s v="краткосрочный"/>
    <x v="0"/>
    <b v="0"/>
    <n v="0.15687005390526437"/>
    <n v="0.72121212121212119"/>
    <n v="0.24899691099351071"/>
  </r>
  <r>
    <n v="1054"/>
    <n v="1"/>
    <n v="225830"/>
    <n v="681"/>
    <n v="2250360"/>
    <n v="0"/>
    <n v="27004.32"/>
    <n v="18.899999999999999"/>
    <n v="11"/>
    <n v="270579"/>
    <n v="417758"/>
    <x v="8"/>
    <s v="04777e65-e65b-4149-85fc-89556cbcec96"/>
    <s v="консолидация кредитов"/>
    <s v="в ипотеке"/>
    <s v="долгосрочный"/>
    <x v="0"/>
    <b v="0"/>
    <n v="0.26588484917995181"/>
    <n v="0.5757575757575758"/>
    <n v="0.14399999999999999"/>
  </r>
  <r>
    <n v="1055"/>
    <n v="0"/>
    <n v="469898"/>
    <n v="723"/>
    <n v="1168044"/>
    <n v="0"/>
    <n v="19131.669999999998"/>
    <n v="38.9"/>
    <n v="21"/>
    <n v="478743"/>
    <n v="1047882"/>
    <x v="8"/>
    <s v="9ea59c8a-5b3a-44a0-90ce-a6f2fe804463"/>
    <s v="консолидация кредитов"/>
    <s v="в ипотеке"/>
    <s v="долгосрочный"/>
    <x v="1"/>
    <b v="0"/>
    <n v="0.58398325496043124"/>
    <n v="0.83030303030303032"/>
    <n v="0.1965508491118485"/>
  </r>
  <r>
    <n v="1056"/>
    <n v="0"/>
    <n v="466884"/>
    <n v="723"/>
    <n v="1168044"/>
    <n v="0"/>
    <n v="15157.06"/>
    <n v="8.3000000000000007"/>
    <n v="11"/>
    <n v="287375"/>
    <n v="458964"/>
    <x v="5"/>
    <s v="47119274-b8d3-4d74-9d75-76133ad54025"/>
    <s v="консолидация кредитов"/>
    <s v="в аренде"/>
    <s v="долгосрочный"/>
    <x v="1"/>
    <b v="0"/>
    <n v="0.58005505218488362"/>
    <n v="0.83030303030303032"/>
    <n v="0.15571735311341012"/>
  </r>
  <r>
    <n v="1057"/>
    <n v="0"/>
    <m/>
    <n v="721"/>
    <n v="976942"/>
    <n v="7"/>
    <n v="9280.93"/>
    <n v="15.2"/>
    <n v="11"/>
    <n v="130891"/>
    <n v="315744"/>
    <x v="3"/>
    <s v="e2e5e73d-e22c-469d-809c-8a33f2efb493"/>
    <s v="консолидация кредитов"/>
    <s v="в ипотеке"/>
    <s v="краткосрочный"/>
    <x v="0"/>
    <b v="0"/>
    <m/>
    <n v="0.81818181818181823"/>
    <n v="0.11399976661869385"/>
  </r>
  <r>
    <n v="1058"/>
    <n v="0"/>
    <m/>
    <n v="737"/>
    <n v="764712"/>
    <n v="11"/>
    <n v="9272.19"/>
    <n v="18"/>
    <n v="10"/>
    <n v="23218"/>
    <n v="312488"/>
    <x v="1"/>
    <s v="b760d32b-ef0b-4a56-89fb-256637ba5488"/>
    <s v="иное"/>
    <s v="в собственности"/>
    <s v="краткосрочный"/>
    <x v="0"/>
    <b v="0"/>
    <m/>
    <n v="0.91515151515151516"/>
    <n v="0.14550089445438283"/>
  </r>
  <r>
    <n v="1059"/>
    <n v="0"/>
    <m/>
    <n v="723"/>
    <n v="1729323"/>
    <n v="43"/>
    <n v="22625.39"/>
    <n v="22.2"/>
    <n v="19"/>
    <n v="197562"/>
    <n v="1906322"/>
    <x v="0"/>
    <s v="b8b310d6-accc-42fa-8f4d-4a8481c4b7cc"/>
    <s v="консолидация кредитов"/>
    <s v="в ипотеке"/>
    <s v="долгосрочный"/>
    <x v="0"/>
    <b v="0"/>
    <m/>
    <n v="0.83030303030303032"/>
    <n v="0.15700056033488249"/>
  </r>
  <r>
    <n v="1060"/>
    <n v="0"/>
    <n v="403810"/>
    <n v="674"/>
    <n v="1375581"/>
    <n v="6"/>
    <n v="13182.58"/>
    <n v="28.4"/>
    <n v="9"/>
    <n v="215422"/>
    <n v="376794"/>
    <x v="5"/>
    <s v="0f58de51-9c4a-4a09-9ebf-25b35fccb543"/>
    <s v="консолидация кредитов"/>
    <s v="в аренде"/>
    <s v="долгосрочный"/>
    <x v="0"/>
    <b v="0"/>
    <n v="0.49784952402798488"/>
    <n v="0.53333333333333333"/>
    <n v="0.11499937844445365"/>
  </r>
  <r>
    <n v="1061"/>
    <n v="0"/>
    <n v="133496"/>
    <n v="709"/>
    <n v="480415"/>
    <n v="40"/>
    <n v="11209.62"/>
    <n v="17.5"/>
    <n v="12"/>
    <n v="65018"/>
    <n v="173448"/>
    <x v="10"/>
    <s v="078f7f4d-bdb9-4c11-944e-657bf9b5a333"/>
    <s v="консолидация кредитов"/>
    <s v="в аренде"/>
    <s v="краткосрочный"/>
    <x v="0"/>
    <b v="0"/>
    <n v="0.14554421378598464"/>
    <n v="0.74545454545454548"/>
    <n v="0.27999841803440778"/>
  </r>
  <r>
    <n v="1062"/>
    <n v="1"/>
    <n v="40524"/>
    <n v="719"/>
    <n v="671194"/>
    <n v="0"/>
    <n v="10515.17"/>
    <n v="11"/>
    <n v="14"/>
    <n v="380"/>
    <n v="450296"/>
    <x v="1"/>
    <s v="18672bb4-e1e4-4e7c-aa98-2fde18bf316c"/>
    <s v="крупная покупка"/>
    <s v="в аренде"/>
    <s v="краткосрочный"/>
    <x v="0"/>
    <b v="0"/>
    <n v="2.4372061016171578E-2"/>
    <n v="0.80606060606060603"/>
    <n v="0.18799637660646548"/>
  </r>
  <r>
    <n v="1063"/>
    <n v="0"/>
    <n v="455400"/>
    <n v="732"/>
    <n v="1375581"/>
    <n v="69"/>
    <n v="23384.82"/>
    <n v="19.7"/>
    <n v="7"/>
    <n v="186352"/>
    <n v="242198"/>
    <x v="1"/>
    <s v="fe6a921b-f70f-4901-ad30-1c15b6bf5f27"/>
    <s v="консолидация кредитов"/>
    <s v="в ипотеке"/>
    <s v="краткосрочный"/>
    <x v="0"/>
    <b v="0"/>
    <n v="0.56508773941965817"/>
    <n v="0.88484848484848488"/>
    <n v="0.20399950275556292"/>
  </r>
  <r>
    <n v="1064"/>
    <n v="0"/>
    <n v="540430"/>
    <n v="740"/>
    <n v="1493552"/>
    <n v="0"/>
    <n v="16130.43"/>
    <n v="20.5"/>
    <n v="11"/>
    <n v="314222"/>
    <n v="1467092"/>
    <x v="1"/>
    <s v="9a92cfc9-0786-4873-adeb-67991ee049dc"/>
    <s v="консолидация кредитов"/>
    <s v="в ипотеке"/>
    <s v="краткосрочный"/>
    <x v="0"/>
    <b v="0"/>
    <n v="0.67590893451083844"/>
    <n v="0.93333333333333335"/>
    <n v="0.12960054956238551"/>
  </r>
  <r>
    <n v="1065"/>
    <n v="2"/>
    <n v="299420"/>
    <n v="677"/>
    <n v="836589"/>
    <n v="39"/>
    <n v="6748.42"/>
    <n v="22.8"/>
    <n v="7"/>
    <n v="99142"/>
    <n v="204622"/>
    <x v="8"/>
    <s v="fae73d75-089a-4406-9c2b-94c37baa8009"/>
    <s v="консолидация кредитов"/>
    <s v="в ипотеке"/>
    <s v="долгосрочный"/>
    <x v="0"/>
    <b v="0"/>
    <n v="0.36179607753182702"/>
    <n v="0.55151515151515151"/>
    <n v="9.6799073380118547E-2"/>
  </r>
  <r>
    <n v="1066"/>
    <n v="0"/>
    <n v="451462"/>
    <n v="698"/>
    <n v="2228016"/>
    <n v="0"/>
    <n v="14890.49"/>
    <n v="13"/>
    <n v="8"/>
    <n v="333051"/>
    <n v="494406"/>
    <x v="1"/>
    <s v="3e904b87-dd61-411f-9d1e-7383e632e7c3"/>
    <s v="консолидация кредитов"/>
    <s v="в ипотеке"/>
    <s v="долгосрочный"/>
    <x v="0"/>
    <b v="0"/>
    <n v="0.55995527009978208"/>
    <n v="0.67878787878787883"/>
    <n v="8.0199549733933687E-2"/>
  </r>
  <r>
    <n v="1067"/>
    <n v="0"/>
    <n v="203544"/>
    <n v="728"/>
    <n v="532114"/>
    <n v="0"/>
    <n v="9045.9"/>
    <n v="17.899999999999999"/>
    <n v="6"/>
    <n v="237728"/>
    <n v="277200"/>
    <x v="5"/>
    <s v="d0e52082-50bd-4742-8af7-13819832fac9"/>
    <s v="консолидация кредитов"/>
    <s v="в аренде"/>
    <s v="краткосрочный"/>
    <x v="1"/>
    <b v="0"/>
    <n v="0.23683908705126736"/>
    <n v="0.8606060606060606"/>
    <n v="0.20399914304077696"/>
  </r>
  <r>
    <n v="1068"/>
    <n v="0"/>
    <m/>
    <n v="703"/>
    <n v="1000540"/>
    <n v="0"/>
    <n v="15758.6"/>
    <n v="12.3"/>
    <n v="9"/>
    <n v="556244"/>
    <n v="1141976"/>
    <x v="1"/>
    <s v="ebf4c9ca-b7fd-4d73-b2b1-4186ee386a1f"/>
    <s v="консолидация кредитов"/>
    <s v="в аренде"/>
    <s v="долгосрочный"/>
    <x v="0"/>
    <b v="0"/>
    <m/>
    <n v="0.70909090909090911"/>
    <n v="0.18900113938473226"/>
  </r>
  <r>
    <n v="1069"/>
    <n v="0"/>
    <n v="399410"/>
    <n v="723"/>
    <n v="1168044"/>
    <n v="0"/>
    <n v="25316.36"/>
    <n v="18.600000000000001"/>
    <n v="10"/>
    <n v="265259"/>
    <n v="933570"/>
    <x v="1"/>
    <s v="855ea063-a403-4f50-92e3-32717107bd31"/>
    <s v="ремонт жилья"/>
    <s v="в ипотеке"/>
    <s v="долгосрочный"/>
    <x v="0"/>
    <b v="0"/>
    <n v="0.49211492143594449"/>
    <n v="0.83030303030303032"/>
    <n v="0.26008979113800507"/>
  </r>
  <r>
    <n v="1070"/>
    <n v="0"/>
    <n v="217734"/>
    <n v="731"/>
    <n v="1222289"/>
    <n v="5"/>
    <n v="25158.66"/>
    <n v="33.4"/>
    <n v="13"/>
    <n v="533691"/>
    <n v="1407626"/>
    <x v="1"/>
    <s v="79f991de-7a20-4f7a-8663-60f8758a590b"/>
    <s v="консолидация кредитов"/>
    <s v="в ипотеке"/>
    <s v="краткосрочный"/>
    <x v="1"/>
    <b v="0"/>
    <n v="0.25533318041059755"/>
    <n v="0.87878787878787878"/>
    <n v="0.24699880306539615"/>
  </r>
  <r>
    <n v="1071"/>
    <n v="0"/>
    <n v="111496"/>
    <n v="741"/>
    <n v="1328822"/>
    <n v="0"/>
    <n v="20264.64"/>
    <n v="13.9"/>
    <n v="20"/>
    <n v="578778"/>
    <n v="820270"/>
    <x v="8"/>
    <s v="2065177a-fe64-4039-9ccc-048fd32b2bc2"/>
    <s v="иное"/>
    <s v="в ипотеке"/>
    <s v="краткосрочный"/>
    <x v="0"/>
    <b v="0"/>
    <n v="0.11687120082578277"/>
    <n v="0.93939393939393945"/>
    <n v="0.1830009436929852"/>
  </r>
  <r>
    <n v="1072"/>
    <n v="2"/>
    <n v="268840"/>
    <n v="738"/>
    <n v="1528474"/>
    <n v="59"/>
    <n v="30187.200000000001"/>
    <n v="27.4"/>
    <n v="11"/>
    <n v="250268"/>
    <n v="434456"/>
    <x v="1"/>
    <s v="c86ed289-e22e-48ea-bbb4-b5d5da20c3c0"/>
    <s v="консолидация кредитов"/>
    <s v="в аренде"/>
    <s v="краткосрочный"/>
    <x v="0"/>
    <b v="0"/>
    <n v="0.32194058951714644"/>
    <n v="0.92121212121212126"/>
    <n v="0.23699873206871691"/>
  </r>
  <r>
    <n v="1073"/>
    <n v="0"/>
    <n v="216876"/>
    <n v="723"/>
    <n v="1168044"/>
    <n v="66"/>
    <n v="20322.21"/>
    <n v="19.2"/>
    <n v="20"/>
    <n v="309225"/>
    <n v="494516"/>
    <x v="8"/>
    <s v="1dc38dc3-33c8-42b4-977d-2be50672f729"/>
    <s v="консолидация кредитов"/>
    <s v="в ипотеке"/>
    <s v="краткосрочный"/>
    <x v="1"/>
    <b v="0"/>
    <n v="0.25421493290514968"/>
    <n v="0.83030303030303032"/>
    <n v="0.20878196369314853"/>
  </r>
  <r>
    <n v="1074"/>
    <n v="0"/>
    <n v="533126"/>
    <n v="744"/>
    <n v="3069488"/>
    <n v="0"/>
    <n v="27369.69"/>
    <n v="16.7"/>
    <n v="11"/>
    <n v="631161"/>
    <n v="1163734"/>
    <x v="1"/>
    <s v="1406f826-a4af-4f0e-b4b2-f2dda2fa1623"/>
    <s v="консолидация кредитов"/>
    <s v="в ипотеке"/>
    <s v="долгосрочный"/>
    <x v="0"/>
    <b v="0"/>
    <n v="0.66638949420805138"/>
    <n v="0.95757575757575752"/>
    <n v="0.10700034663761514"/>
  </r>
  <r>
    <n v="1075"/>
    <n v="0"/>
    <n v="456918"/>
    <n v="723"/>
    <n v="1168044"/>
    <n v="28"/>
    <n v="58126.7"/>
    <n v="13.4"/>
    <n v="11"/>
    <n v="110333"/>
    <n v="271854"/>
    <x v="1"/>
    <s v="9072669a-741c-487c-8a87-37bd74dc2373"/>
    <s v="консолидация кредитов"/>
    <s v="в ипотеке"/>
    <s v="краткосрочный"/>
    <x v="0"/>
    <b v="1"/>
    <n v="0.56706617731391218"/>
    <n v="0.83030303030303032"/>
    <n v="0.59716962717157918"/>
  </r>
  <r>
    <n v="1076"/>
    <n v="0"/>
    <n v="183326"/>
    <n v="707"/>
    <n v="1248053"/>
    <n v="0"/>
    <n v="15392.47"/>
    <n v="11.4"/>
    <n v="13"/>
    <n v="266361"/>
    <n v="403172"/>
    <x v="5"/>
    <s v="f554efff-6a6f-4c68-8627-e2a9f4641af6"/>
    <s v="консолидация кредитов"/>
    <s v="в собственности"/>
    <s v="краткосрочный"/>
    <x v="0"/>
    <b v="0"/>
    <n v="0.21048858814084184"/>
    <n v="0.73333333333333328"/>
    <n v="0.14799823404935528"/>
  </r>
  <r>
    <n v="1077"/>
    <n v="1"/>
    <n v="104390"/>
    <n v="739"/>
    <n v="1059497"/>
    <n v="0"/>
    <n v="3920.08"/>
    <n v="39.4"/>
    <n v="4"/>
    <n v="25536"/>
    <n v="42856"/>
    <x v="1"/>
    <s v="8837e9f1-de9e-43fb-86ac-9f7540c1d7ac"/>
    <s v="консолидация кредитов"/>
    <s v="в ипотеке"/>
    <s v="краткосрочный"/>
    <x v="0"/>
    <b v="0"/>
    <n v="0.10760981763963758"/>
    <n v="0.92727272727272725"/>
    <n v="4.4399332890985056E-2"/>
  </r>
  <r>
    <n v="1078"/>
    <n v="0"/>
    <m/>
    <n v="702"/>
    <n v="1532920"/>
    <n v="76"/>
    <n v="12442.15"/>
    <n v="15"/>
    <n v="9"/>
    <n v="256652"/>
    <n v="639078"/>
    <x v="9"/>
    <s v="ed884917-1142-4286-8c3e-5b2704bd25c8"/>
    <s v="иное"/>
    <s v="в аренде"/>
    <s v="долгосрочный"/>
    <x v="0"/>
    <b v="0"/>
    <m/>
    <n v="0.70303030303030301"/>
    <n v="9.7399603371343582E-2"/>
  </r>
  <r>
    <n v="1079"/>
    <n v="0"/>
    <n v="330792"/>
    <n v="723"/>
    <n v="1168044"/>
    <n v="53"/>
    <n v="8173.04"/>
    <n v="22.6"/>
    <n v="7"/>
    <n v="293816"/>
    <n v="483956"/>
    <x v="6"/>
    <s v="dd7414bd-295b-42da-9649-f4d90a0eb206"/>
    <s v="консолидация кредитов"/>
    <s v="в ипотеке"/>
    <s v="краткосрочный"/>
    <x v="0"/>
    <b v="0"/>
    <n v="0.40268379401307491"/>
    <n v="0.83030303030303032"/>
    <n v="8.3966425922311141E-2"/>
  </r>
  <r>
    <n v="1080"/>
    <n v="0"/>
    <n v="98406"/>
    <n v="684"/>
    <n v="660953"/>
    <n v="0"/>
    <n v="4742.3999999999996"/>
    <n v="17.399999999999999"/>
    <n v="8"/>
    <n v="153121"/>
    <n v="244882"/>
    <x v="2"/>
    <s v="5e4a0a10-4dfd-4f9f-85c2-abfbd448a5c0"/>
    <s v="консолидация кредитов"/>
    <s v="в аренде"/>
    <s v="краткосрочный"/>
    <x v="1"/>
    <b v="0"/>
    <n v="9.9810758114462661E-2"/>
    <n v="0.59393939393939399"/>
    <n v="8.6101129732371287E-2"/>
  </r>
  <r>
    <n v="1081"/>
    <n v="0"/>
    <n v="217338"/>
    <n v="746"/>
    <n v="1595468"/>
    <n v="0"/>
    <n v="33504.6"/>
    <n v="12.7"/>
    <n v="11"/>
    <n v="104462"/>
    <n v="326018"/>
    <x v="9"/>
    <s v="c776cd24-04e5-4040-b5dd-4eea0f1aff00"/>
    <s v="консолидация кредитов"/>
    <s v="в ипотеке"/>
    <s v="краткосрочный"/>
    <x v="0"/>
    <b v="0"/>
    <n v="0.25481706617731392"/>
    <n v="0.96969696969696972"/>
    <n v="0.25199828514266659"/>
  </r>
  <r>
    <n v="1082"/>
    <n v="0"/>
    <n v="683848"/>
    <n v="723"/>
    <n v="1168044"/>
    <n v="71"/>
    <n v="31104.9"/>
    <n v="13.2"/>
    <n v="28"/>
    <n v="791407"/>
    <n v="1905134"/>
    <x v="4"/>
    <s v="cfdb6b8e-64a7-4ff2-86da-127e6ac480b3"/>
    <s v="консолидация кредитов"/>
    <s v="в аренде"/>
    <s v="долгосрочный"/>
    <x v="1"/>
    <b v="0"/>
    <n v="0.86282830599839433"/>
    <n v="0.83030303030303032"/>
    <n v="0.31955885223501856"/>
  </r>
  <r>
    <n v="1083"/>
    <n v="0"/>
    <n v="140910"/>
    <n v="723"/>
    <n v="1168044"/>
    <n v="0"/>
    <n v="6180.13"/>
    <n v="14.8"/>
    <n v="3"/>
    <n v="148067"/>
    <n v="179740"/>
    <x v="5"/>
    <s v="a58f5106-c2da-4877-8c87-ff3ddf97fce8"/>
    <s v="консолидация кредитов"/>
    <s v="в собственности"/>
    <s v="краткосрочный"/>
    <x v="0"/>
    <b v="0"/>
    <n v="0.15520701915357266"/>
    <n v="0.83030303030303032"/>
    <n v="6.3492094475893032E-2"/>
  </r>
  <r>
    <n v="1084"/>
    <n v="0"/>
    <n v="367598"/>
    <n v="708"/>
    <n v="821712"/>
    <n v="0"/>
    <n v="22870.87"/>
    <n v="9.9"/>
    <n v="12"/>
    <n v="262295"/>
    <n v="560340"/>
    <x v="10"/>
    <s v="e01e2fc6-3811-48e3-ab85-95e125b4a617"/>
    <s v="консолидация кредитов"/>
    <s v="в аренде"/>
    <s v="долгосрочный"/>
    <x v="0"/>
    <b v="0"/>
    <n v="0.45065374469549258"/>
    <n v="0.73939393939393938"/>
    <n v="0.33399833518312982"/>
  </r>
  <r>
    <n v="1085"/>
    <n v="0"/>
    <n v="120472"/>
    <n v="723"/>
    <n v="1168044"/>
    <n v="0"/>
    <n v="15783.49"/>
    <n v="15.6"/>
    <n v="15"/>
    <n v="208202"/>
    <n v="572616"/>
    <x v="9"/>
    <s v="bfadb5c4-7647-4ca7-a0bf-2aadae01e80c"/>
    <s v="консолидация кредитов"/>
    <s v="в ипотеке"/>
    <s v="краткосрочный"/>
    <x v="1"/>
    <b v="0"/>
    <n v="0.12856979011354513"/>
    <n v="0.83030303030303032"/>
    <n v="0.16215303533086081"/>
  </r>
  <r>
    <n v="1086"/>
    <n v="1"/>
    <n v="230318"/>
    <n v="707"/>
    <n v="1338778"/>
    <n v="0"/>
    <n v="18631.400000000001"/>
    <n v="10.199999999999999"/>
    <n v="14"/>
    <n v="181013"/>
    <n v="671814"/>
    <x v="3"/>
    <s v="4c216b6b-acf7-4d78-8d42-ab29b9e7930b"/>
    <s v="консолидация кредитов"/>
    <s v="в аренде"/>
    <s v="долгосрочный"/>
    <x v="1"/>
    <b v="0"/>
    <n v="0.27173414382383299"/>
    <n v="0.73333333333333328"/>
    <n v="0.16700065283415177"/>
  </r>
  <r>
    <n v="1087"/>
    <n v="0"/>
    <n v="439692"/>
    <n v="744"/>
    <n v="2278404"/>
    <n v="20"/>
    <n v="26201.57"/>
    <n v="30.5"/>
    <n v="15"/>
    <n v="565307"/>
    <n v="1228084"/>
    <x v="10"/>
    <s v="047408bc-a739-445c-bf15-78e78e5dd412"/>
    <s v="консолидация кредитов"/>
    <s v="в ипотеке"/>
    <s v="краткосрочный"/>
    <x v="0"/>
    <b v="0"/>
    <n v="0.54461520816607412"/>
    <n v="0.95757575757575752"/>
    <n v="0.13799959971980386"/>
  </r>
  <r>
    <n v="1088"/>
    <n v="0"/>
    <n v="48246"/>
    <n v="655"/>
    <n v="787797"/>
    <n v="0"/>
    <n v="2934.55"/>
    <n v="10"/>
    <n v="14"/>
    <n v="117686"/>
    <n v="293700"/>
    <x v="2"/>
    <s v="d7cf94ac-982c-49b7-9ff0-2cbda3c67f93"/>
    <s v="ремонт жилья"/>
    <s v="в ипотеке"/>
    <s v="краткосрочный"/>
    <x v="0"/>
    <b v="0"/>
    <n v="3.4436288565202429E-2"/>
    <n v="0.41818181818181815"/>
    <n v="4.4700094059764127E-2"/>
  </r>
  <r>
    <n v="1089"/>
    <n v="0"/>
    <n v="216304"/>
    <n v="723"/>
    <n v="1168044"/>
    <n v="34"/>
    <n v="34123.620000000003"/>
    <n v="27"/>
    <n v="18"/>
    <n v="372058"/>
    <n v="596706"/>
    <x v="4"/>
    <s v="08d428d5-00d2-4bbe-9b66-430831f65972"/>
    <s v="консолидация кредитов"/>
    <s v="в собственности"/>
    <s v="краткосрочный"/>
    <x v="0"/>
    <b v="0"/>
    <n v="0.25346943456818444"/>
    <n v="0.83030303030303032"/>
    <n v="0.35057193050946711"/>
  </r>
  <r>
    <n v="1090"/>
    <n v="0"/>
    <m/>
    <n v="741"/>
    <n v="716718"/>
    <n v="0"/>
    <n v="14573"/>
    <n v="11.6"/>
    <n v="7"/>
    <n v="115178"/>
    <n v="322916"/>
    <x v="4"/>
    <s v="5f9a77ab-afec-4fb2-949f-8d1282e1e7ce"/>
    <s v="консолидация кредитов"/>
    <s v="в ипотеке"/>
    <s v="краткосрочный"/>
    <x v="0"/>
    <b v="0"/>
    <m/>
    <n v="0.93939393939393945"/>
    <n v="0.24399554636551615"/>
  </r>
  <r>
    <n v="1091"/>
    <n v="0"/>
    <n v="564498"/>
    <n v="742"/>
    <n v="1875110"/>
    <n v="75"/>
    <n v="20001.3"/>
    <n v="32.700000000000003"/>
    <n v="20"/>
    <n v="434131"/>
    <n v="672914"/>
    <x v="1"/>
    <s v="32bf9369-54dc-4138-993b-89773ccf470a"/>
    <s v="консолидация кредитов"/>
    <s v="в ипотеке"/>
    <s v="краткосрочный"/>
    <x v="0"/>
    <b v="0"/>
    <n v="0.70727721068929927"/>
    <n v="0.94545454545454544"/>
    <n v="0.12800081061911034"/>
  </r>
  <r>
    <n v="1092"/>
    <n v="0"/>
    <n v="360404"/>
    <n v="738"/>
    <n v="875444"/>
    <n v="0"/>
    <n v="14809.36"/>
    <n v="10.1"/>
    <n v="10"/>
    <n v="235277"/>
    <n v="574750"/>
    <x v="5"/>
    <s v="282cc900-5994-4524-842d-7434fd38fc50"/>
    <s v="иное"/>
    <s v="в аренде"/>
    <s v="краткосрочный"/>
    <x v="0"/>
    <b v="0"/>
    <n v="0.44127766945750657"/>
    <n v="0.92121212121212126"/>
    <n v="0.20299678791561768"/>
  </r>
  <r>
    <n v="1093"/>
    <n v="0"/>
    <n v="250866"/>
    <n v="741"/>
    <n v="965105"/>
    <n v="0"/>
    <n v="8444.74"/>
    <n v="10.8"/>
    <n v="10"/>
    <n v="285361"/>
    <n v="569690"/>
    <x v="5"/>
    <s v="1a450add-37fa-45e6-be63-976ef50d98c4"/>
    <s v="консолидация кредитов"/>
    <s v="в ипотеке"/>
    <s v="краткосрочный"/>
    <x v="1"/>
    <b v="0"/>
    <n v="0.29851473792866157"/>
    <n v="0.93939393939393945"/>
    <n v="0.1050008859139679"/>
  </r>
  <r>
    <n v="1094"/>
    <n v="0"/>
    <n v="612260"/>
    <n v="678"/>
    <n v="1665692"/>
    <n v="0"/>
    <n v="20821.34"/>
    <n v="16"/>
    <n v="13"/>
    <n v="310289"/>
    <n v="650870"/>
    <x v="1"/>
    <s v="00bfbeb5-3807-4afa-a66f-244ca100b986"/>
    <s v="иное"/>
    <s v="в аренде"/>
    <s v="краткосрочный"/>
    <x v="0"/>
    <b v="0"/>
    <n v="0.76952632182589742"/>
    <n v="0.55757575757575761"/>
    <n v="0.15000136880047452"/>
  </r>
  <r>
    <n v="1095"/>
    <n v="0"/>
    <n v="80982"/>
    <n v="701"/>
    <n v="738245"/>
    <n v="40"/>
    <n v="14082.23"/>
    <n v="12.3"/>
    <n v="7"/>
    <n v="52383"/>
    <n v="101288"/>
    <x v="3"/>
    <s v="2e97377f-8e54-4f67-acac-1743397c547f"/>
    <s v="консолидация кредитов"/>
    <s v="в аренде"/>
    <s v="долгосрочный"/>
    <x v="1"/>
    <b v="0"/>
    <n v="7.7101731849982799E-2"/>
    <n v="0.69696969696969702"/>
    <n v="0.22890335864110153"/>
  </r>
  <r>
    <n v="1096"/>
    <n v="0"/>
    <n v="110440"/>
    <n v="750"/>
    <n v="1068142"/>
    <n v="0"/>
    <n v="8144.73"/>
    <n v="18.5"/>
    <n v="14"/>
    <n v="98154"/>
    <n v="1148026"/>
    <x v="1"/>
    <s v="5a3155c1-ef6e-4e7f-a149-73fe87028dfa"/>
    <s v="консолидация кредитов"/>
    <s v="в ипотеке"/>
    <s v="краткосрочный"/>
    <x v="0"/>
    <b v="0"/>
    <n v="0.11549489620369309"/>
    <n v="0.9939393939393939"/>
    <n v="9.1501654274431674E-2"/>
  </r>
  <r>
    <n v="1097"/>
    <n v="0"/>
    <n v="131956"/>
    <n v="737"/>
    <n v="569829"/>
    <n v="54"/>
    <n v="13723.32"/>
    <n v="11.4"/>
    <n v="10"/>
    <n v="184243"/>
    <n v="237578"/>
    <x v="10"/>
    <s v="d0b91e68-6d24-4a62-8b89-155620a21f8d"/>
    <s v="консолидация кредитов"/>
    <s v="в аренде"/>
    <s v="краткосрочный"/>
    <x v="0"/>
    <b v="0"/>
    <n v="0.1435371028787705"/>
    <n v="0.91515151515151516"/>
    <n v="0.28899869960988295"/>
  </r>
  <r>
    <n v="1098"/>
    <n v="1"/>
    <n v="420684"/>
    <n v="723"/>
    <n v="1168044"/>
    <n v="0"/>
    <n v="9391.89"/>
    <n v="17.5"/>
    <n v="7"/>
    <n v="161310"/>
    <n v="415976"/>
    <x v="1"/>
    <s v="6d9b754e-086a-4176-924b-25306bac63ce"/>
    <s v="консолидация кредитов"/>
    <s v="в ипотеке"/>
    <s v="долгосрочный"/>
    <x v="0"/>
    <b v="0"/>
    <n v="0.51984172496845971"/>
    <n v="0.83030303030303032"/>
    <n v="9.6488385711497163E-2"/>
  </r>
  <r>
    <n v="1099"/>
    <n v="0"/>
    <m/>
    <n v="710"/>
    <n v="2200219"/>
    <n v="0"/>
    <n v="20902.09"/>
    <n v="7.8"/>
    <n v="11"/>
    <n v="433827"/>
    <n v="835824"/>
    <x v="2"/>
    <s v="91784ec5-9fc7-465f-891f-9178b4b2cd02"/>
    <s v="консолидация кредитов"/>
    <s v="в ипотеке"/>
    <s v="долгосрочный"/>
    <x v="0"/>
    <b v="0"/>
    <m/>
    <n v="0.75151515151515147"/>
    <n v="0.11400005181302406"/>
  </r>
  <r>
    <n v="1100"/>
    <n v="0"/>
    <n v="52932"/>
    <n v="704"/>
    <n v="2247377"/>
    <n v="45"/>
    <n v="54124.35"/>
    <n v="21.1"/>
    <n v="17"/>
    <n v="684019"/>
    <n v="1001308"/>
    <x v="5"/>
    <s v="ce0d05e9-62e8-48d0-b4cd-6b1c1d78eb2e"/>
    <s v="иное"/>
    <s v="в ипотеке"/>
    <s v="краткосрочный"/>
    <x v="0"/>
    <b v="1"/>
    <n v="4.0543640325725425E-2"/>
    <n v="0.7151515151515152"/>
    <n v="0.28900010990590363"/>
  </r>
  <r>
    <n v="1101"/>
    <n v="0"/>
    <n v="437580"/>
    <n v="747"/>
    <n v="982566"/>
    <n v="72"/>
    <n v="17931.82"/>
    <n v="14.1"/>
    <n v="11"/>
    <n v="78926"/>
    <n v="613360"/>
    <x v="4"/>
    <s v="a9d21c1b-d737-4ede-b121-958b02aea759"/>
    <s v="бизнес"/>
    <s v="в аренде"/>
    <s v="краткосрочный"/>
    <x v="0"/>
    <b v="0"/>
    <n v="0.5418625989218947"/>
    <n v="0.97575757575757571"/>
    <n v="0.21899988397725953"/>
  </r>
  <r>
    <n v="1102"/>
    <n v="1"/>
    <n v="268598"/>
    <n v="723"/>
    <n v="1168044"/>
    <n v="35"/>
    <n v="1997.47"/>
    <n v="14.5"/>
    <n v="6"/>
    <n v="56620"/>
    <n v="286286"/>
    <x v="1"/>
    <s v="f35eabf6-3510-4dbb-9720-8bbb7cb7f778"/>
    <s v="ремонт жилья"/>
    <s v="в ипотеке"/>
    <s v="краткосрочный"/>
    <x v="0"/>
    <b v="0"/>
    <n v="0.32162518637458426"/>
    <n v="0.83030303030303032"/>
    <n v="2.0521178996681631E-2"/>
  </r>
  <r>
    <n v="1103"/>
    <n v="0"/>
    <n v="425524"/>
    <n v="726"/>
    <n v="827032"/>
    <n v="0"/>
    <n v="20813.36"/>
    <n v="31.4"/>
    <n v="12"/>
    <n v="389367"/>
    <n v="1022318"/>
    <x v="1"/>
    <s v="50d9a522-3780-4ddb-8158-10d4cc9a00ed"/>
    <s v="консолидация кредитов"/>
    <s v="в ипотеке"/>
    <s v="долгосрочный"/>
    <x v="1"/>
    <b v="0"/>
    <n v="0.52614978781970412"/>
    <n v="0.84848484848484851"/>
    <n v="0.30199595662562034"/>
  </r>
  <r>
    <n v="1104"/>
    <n v="0"/>
    <n v="525910"/>
    <n v="723"/>
    <n v="1168044"/>
    <n v="0"/>
    <n v="26756.37"/>
    <n v="20.6"/>
    <n v="11"/>
    <n v="480567"/>
    <n v="877690"/>
    <x v="1"/>
    <s v="04a845da-7c56-43f1-9be5-64c55ead8c2c"/>
    <s v="консолидация кредитов"/>
    <s v="в аренде"/>
    <s v="долгосрочный"/>
    <x v="1"/>
    <b v="0"/>
    <n v="0.65698474595710521"/>
    <n v="0.83030303030303032"/>
    <n v="0.27488385711497171"/>
  </r>
  <r>
    <n v="1105"/>
    <n v="0"/>
    <n v="467126"/>
    <n v="737"/>
    <n v="3487640"/>
    <n v="0"/>
    <n v="24064.639999999999"/>
    <n v="22.1"/>
    <n v="11"/>
    <n v="890302"/>
    <n v="1285394"/>
    <x v="8"/>
    <s v="6fe407e0-0b9b-4356-8fd7-0c52f828a559"/>
    <s v="консолидация кредитов"/>
    <s v="в аренде"/>
    <s v="краткосрочный"/>
    <x v="0"/>
    <b v="0"/>
    <n v="0.5803704553274458"/>
    <n v="0.91515151515151516"/>
    <n v="8.2799738505120929E-2"/>
  </r>
  <r>
    <n v="1106"/>
    <n v="0"/>
    <n v="577764"/>
    <n v="715"/>
    <n v="1135098"/>
    <n v="34"/>
    <n v="10688.83"/>
    <n v="17.8"/>
    <n v="4"/>
    <n v="46987"/>
    <n v="591448"/>
    <x v="2"/>
    <s v="b7f6c39f-26a9-4c99-b4ab-7a8222835753"/>
    <s v="ремонт жилья"/>
    <s v="в ипотеке"/>
    <s v="долгосрочный"/>
    <x v="0"/>
    <b v="0"/>
    <n v="0.72456703750430096"/>
    <n v="0.78181818181818186"/>
    <n v="0.11299989956814302"/>
  </r>
  <r>
    <n v="1107"/>
    <n v="0"/>
    <n v="234740"/>
    <n v="723"/>
    <n v="1168044"/>
    <n v="0"/>
    <n v="14366.09"/>
    <n v="12.3"/>
    <n v="6"/>
    <n v="120004"/>
    <n v="300124"/>
    <x v="6"/>
    <s v="4cd10387-f511-4827-83f5-1e0ad8b47495"/>
    <s v="консолидация кредитов"/>
    <s v="в аренде"/>
    <s v="краткосрочный"/>
    <x v="0"/>
    <b v="0"/>
    <n v="0.2774974194288336"/>
    <n v="0.83030303030303032"/>
    <n v="0.1475912551239508"/>
  </r>
  <r>
    <n v="1108"/>
    <n v="0"/>
    <n v="390038"/>
    <n v="708"/>
    <n v="1039433"/>
    <n v="13"/>
    <n v="27631.89"/>
    <n v="14.4"/>
    <n v="16"/>
    <n v="384389"/>
    <n v="883080"/>
    <x v="1"/>
    <s v="16dea61c-e055-4790-b466-2abdc8e839c6"/>
    <s v="консолидация кредитов"/>
    <s v="в аренде"/>
    <s v="долгосрочный"/>
    <x v="0"/>
    <b v="0"/>
    <n v="0.47990021791489851"/>
    <n v="0.73939393939393938"/>
    <n v="0.31900341820973549"/>
  </r>
  <r>
    <n v="1109"/>
    <n v="1"/>
    <n v="111364"/>
    <n v="732"/>
    <n v="1250200"/>
    <n v="0"/>
    <n v="23336.75"/>
    <n v="19.8"/>
    <n v="21"/>
    <n v="280193"/>
    <n v="688820"/>
    <x v="1"/>
    <s v="602b0ed8-728b-4330-908e-30b006916239"/>
    <s v="консолидация кредитов"/>
    <s v="в ипотеке"/>
    <s v="краткосрочный"/>
    <x v="0"/>
    <b v="0"/>
    <n v="0.11669916274802156"/>
    <n v="0.88484848484848488"/>
    <n v="0.2239969604863222"/>
  </r>
  <r>
    <n v="1110"/>
    <n v="0"/>
    <n v="222750"/>
    <n v="744"/>
    <n v="1442822"/>
    <n v="31"/>
    <n v="21161.25"/>
    <n v="29"/>
    <n v="12"/>
    <n v="528390"/>
    <n v="1477828"/>
    <x v="10"/>
    <s v="13ce2659-2f0c-4ef0-b607-4b591052a666"/>
    <s v="консолидация кредитов"/>
    <s v="в ипотеке"/>
    <s v="краткосрочный"/>
    <x v="0"/>
    <b v="0"/>
    <n v="0.26187062736552358"/>
    <n v="0.95757575757575752"/>
    <n v="0.17599884115989359"/>
  </r>
  <r>
    <n v="1111"/>
    <n v="0"/>
    <n v="44748"/>
    <n v="736"/>
    <n v="734274"/>
    <n v="0"/>
    <n v="10035.040000000001"/>
    <n v="8.3000000000000007"/>
    <n v="9"/>
    <n v="97052"/>
    <n v="597784"/>
    <x v="10"/>
    <s v="28918fca-f642-469b-a04d-c7f1082de76e"/>
    <s v="консолидация кредитов"/>
    <s v="в собственности"/>
    <s v="краткосрочный"/>
    <x v="0"/>
    <b v="0"/>
    <n v="2.9877279504530337E-2"/>
    <n v="0.90909090909090906"/>
    <n v="0.16399937897841951"/>
  </r>
  <r>
    <n v="1112"/>
    <n v="0"/>
    <n v="21934"/>
    <n v="702"/>
    <n v="729087"/>
    <n v="0"/>
    <n v="16039.8"/>
    <n v="15.3"/>
    <n v="10"/>
    <n v="135166"/>
    <n v="256586"/>
    <x v="3"/>
    <s v="3e1dfda5-8c2b-4cae-9a5d-e7a3dc8be311"/>
    <s v="иное"/>
    <s v="в аренде"/>
    <s v="краткосрочный"/>
    <x v="0"/>
    <b v="0"/>
    <n v="1.4336506480100929E-4"/>
    <n v="0.70303030303030301"/>
    <n v="0.26399812368071301"/>
  </r>
  <r>
    <n v="1113"/>
    <n v="1"/>
    <n v="252648"/>
    <n v="743"/>
    <n v="1626951"/>
    <n v="0"/>
    <n v="32810.15"/>
    <n v="17.8"/>
    <n v="19"/>
    <n v="182457"/>
    <n v="800206"/>
    <x v="1"/>
    <s v="b31c5fee-2153-4cc4-9834-74e924468c1b"/>
    <s v="консолидация кредитов"/>
    <s v="в собственности"/>
    <s v="краткосрочный"/>
    <x v="0"/>
    <b v="0"/>
    <n v="0.30083725197843791"/>
    <n v="0.95151515151515154"/>
    <n v="0.24199978979084188"/>
  </r>
  <r>
    <n v="1114"/>
    <n v="0"/>
    <n v="215314"/>
    <n v="732"/>
    <n v="843125"/>
    <n v="69"/>
    <n v="15667.97"/>
    <n v="18.3"/>
    <n v="14"/>
    <n v="192907"/>
    <n v="279906"/>
    <x v="10"/>
    <s v="4d0dae14-74e4-4038-b07f-affbb5d72dd2"/>
    <s v="консолидация кредитов"/>
    <s v="в аренде"/>
    <s v="краткосрочный"/>
    <x v="1"/>
    <b v="0"/>
    <n v="0.25217914898497534"/>
    <n v="0.88484848484848488"/>
    <n v="0.22299853521126758"/>
  </r>
  <r>
    <n v="1115"/>
    <n v="0"/>
    <n v="130746"/>
    <n v="742"/>
    <n v="1674945"/>
    <n v="10"/>
    <n v="11780.38"/>
    <n v="14.2"/>
    <n v="6"/>
    <n v="54245"/>
    <n v="106788"/>
    <x v="3"/>
    <s v="62194645-4f3a-4f41-b592-d18784346be3"/>
    <s v="консолидация кредитов"/>
    <s v="в ипотеке"/>
    <s v="краткосрочный"/>
    <x v="0"/>
    <b v="0"/>
    <n v="0.1419600871659594"/>
    <n v="0.94545454545454544"/>
    <n v="8.4399523566445464E-2"/>
  </r>
  <r>
    <n v="1116"/>
    <n v="1"/>
    <n v="115566"/>
    <n v="723"/>
    <n v="1168044"/>
    <n v="0"/>
    <n v="17219.13"/>
    <n v="15.2"/>
    <n v="13"/>
    <n v="116375"/>
    <n v="383878"/>
    <x v="0"/>
    <s v="655fe105-0c6b-4f85-b1b0-e63abcb64c29"/>
    <s v="консолидация кредитов"/>
    <s v="в ипотеке"/>
    <s v="краткосрочный"/>
    <x v="0"/>
    <b v="0"/>
    <n v="0.12217570822342012"/>
    <n v="0.83030303030303032"/>
    <n v="0.17690220573882492"/>
  </r>
  <r>
    <n v="1117"/>
    <n v="0"/>
    <n v="52074"/>
    <n v="737"/>
    <n v="877021"/>
    <n v="0"/>
    <n v="4743.16"/>
    <n v="16.7"/>
    <n v="7"/>
    <n v="127889"/>
    <n v="315766"/>
    <x v="8"/>
    <s v="5398f0c1-60ee-4434-9279-9f20997c27e6"/>
    <s v="консолидация кредитов"/>
    <s v="в аренде"/>
    <s v="краткосрочный"/>
    <x v="1"/>
    <b v="0"/>
    <n v="3.9425392820277558E-2"/>
    <n v="0.91515151515151516"/>
    <n v="6.4899152927923046E-2"/>
  </r>
  <r>
    <n v="1118"/>
    <n v="0"/>
    <n v="55286"/>
    <n v="704"/>
    <n v="1909880"/>
    <n v="33"/>
    <n v="14737.92"/>
    <n v="16.899999999999999"/>
    <n v="7"/>
    <n v="131290"/>
    <n v="191224"/>
    <x v="4"/>
    <s v="f8a4e585-6a0c-49b7-8664-3294433f6c5f"/>
    <s v="иное"/>
    <s v="в ипотеке"/>
    <s v="краткосрочный"/>
    <x v="1"/>
    <b v="0"/>
    <n v="4.3611652712467024E-2"/>
    <n v="0.7151515151515152"/>
    <n v="9.2600079586152018E-2"/>
  </r>
  <r>
    <n v="1119"/>
    <n v="0"/>
    <n v="121572"/>
    <n v="710"/>
    <n v="1349798"/>
    <n v="0"/>
    <n v="20809.560000000001"/>
    <n v="9.1"/>
    <n v="17"/>
    <n v="206986"/>
    <n v="544698"/>
    <x v="10"/>
    <s v="971bf336-dc0c-4087-801b-37622569659c"/>
    <s v="приобретение автомобиля"/>
    <s v="в аренде"/>
    <s v="краткосрочный"/>
    <x v="0"/>
    <b v="0"/>
    <n v="0.13000344076155523"/>
    <n v="0.75151515151515147"/>
    <n v="0.18500154837983165"/>
  </r>
  <r>
    <n v="1120"/>
    <n v="0"/>
    <n v="78694"/>
    <n v="723"/>
    <n v="1168044"/>
    <n v="7"/>
    <n v="12015.98"/>
    <n v="7.8"/>
    <n v="5"/>
    <n v="3363"/>
    <n v="79398"/>
    <x v="6"/>
    <s v="6e1778e9-47a8-45a8-96cc-15cb5d7d0421"/>
    <s v="консолидация кредитов"/>
    <s v="в аренде"/>
    <s v="краткосрочный"/>
    <x v="1"/>
    <b v="0"/>
    <n v="7.4119738502121807E-2"/>
    <n v="0.83030303030303032"/>
    <n v="0.12344719890689049"/>
  </r>
  <r>
    <n v="1121"/>
    <n v="0"/>
    <n v="269324"/>
    <n v="723"/>
    <n v="1168044"/>
    <n v="30"/>
    <n v="45745.73"/>
    <n v="25.8"/>
    <n v="13"/>
    <n v="563958"/>
    <n v="1329944"/>
    <x v="1"/>
    <s v="7bdca1a0-abbb-4f80-9d36-a6079de3b59d"/>
    <s v="консолидация кредитов"/>
    <s v="в ипотеке"/>
    <s v="краткосрочный"/>
    <x v="0"/>
    <b v="1"/>
    <n v="0.3225713958022709"/>
    <n v="0.83030303030303032"/>
    <n v="0.46997267226234629"/>
  </r>
  <r>
    <n v="1122"/>
    <n v="1"/>
    <n v="116138"/>
    <n v="721"/>
    <n v="928720"/>
    <n v="15"/>
    <n v="5758.14"/>
    <n v="16"/>
    <n v="9"/>
    <n v="88426"/>
    <n v="167860"/>
    <x v="9"/>
    <s v="83301fda-d1cf-49f4-a92a-5ff7385ec05e"/>
    <s v="консолидация кредитов"/>
    <s v="в аренде"/>
    <s v="краткосрочный"/>
    <x v="0"/>
    <b v="0"/>
    <n v="0.12292120656038537"/>
    <n v="0.81818181818181823"/>
    <n v="7.4400981996726692E-2"/>
  </r>
  <r>
    <n v="1123"/>
    <n v="0"/>
    <n v="65516"/>
    <n v="716"/>
    <n v="1131564"/>
    <n v="21"/>
    <n v="15936.25"/>
    <n v="21.3"/>
    <n v="6"/>
    <n v="322715"/>
    <n v="423654"/>
    <x v="1"/>
    <s v="a09815c0-ed19-4e3f-89a4-c6c69437a869"/>
    <s v="консолидация кредитов"/>
    <s v="в аренде"/>
    <s v="краткосрочный"/>
    <x v="0"/>
    <b v="0"/>
    <n v="5.6944603738960889E-2"/>
    <n v="0.78787878787878785"/>
    <n v="0.16900060447310095"/>
  </r>
  <r>
    <n v="1124"/>
    <n v="1"/>
    <n v="261140"/>
    <n v="731"/>
    <n v="1597558"/>
    <n v="0"/>
    <n v="10490.66"/>
    <n v="18.8"/>
    <n v="8"/>
    <n v="138567"/>
    <n v="348040"/>
    <x v="1"/>
    <s v="cd0b815b-28fe-44f2-8621-696419628213"/>
    <s v="консолидация кредитов"/>
    <s v="в аренде"/>
    <s v="краткосрочный"/>
    <x v="0"/>
    <b v="0"/>
    <n v="0.3119050349810758"/>
    <n v="0.87878787878787878"/>
    <n v="7.8800218833995378E-2"/>
  </r>
  <r>
    <n v="1125"/>
    <n v="0"/>
    <n v="131582"/>
    <n v="736"/>
    <n v="1704699"/>
    <n v="0"/>
    <n v="22303.15"/>
    <n v="14.9"/>
    <n v="14"/>
    <n v="777024"/>
    <n v="945054"/>
    <x v="6"/>
    <s v="17b3a950-d9a4-4a65-8468-e5f8b92c826b"/>
    <s v="консолидация кредитов"/>
    <s v="в аренде"/>
    <s v="краткосрочный"/>
    <x v="1"/>
    <b v="0"/>
    <n v="0.14304966165844707"/>
    <n v="0.90909090909090906"/>
    <n v="0.15700003343698801"/>
  </r>
  <r>
    <n v="1126"/>
    <n v="1"/>
    <n v="214698"/>
    <n v="743"/>
    <n v="1446280"/>
    <n v="54"/>
    <n v="9666.06"/>
    <n v="21"/>
    <n v="9"/>
    <n v="210577"/>
    <n v="315436"/>
    <x v="1"/>
    <s v="8b2b7db8-80f3-43f0-a71a-5adf7f79ef43"/>
    <s v="консолидация кредитов"/>
    <s v="в собственности"/>
    <s v="краткосрочный"/>
    <x v="0"/>
    <b v="0"/>
    <n v="0.25137630462208971"/>
    <n v="0.95151515151515154"/>
    <n v="8.0200735680504467E-2"/>
  </r>
  <r>
    <n v="1127"/>
    <n v="0"/>
    <n v="85844"/>
    <n v="716"/>
    <n v="688218"/>
    <n v="0"/>
    <n v="6882.18"/>
    <n v="13.7"/>
    <n v="13"/>
    <n v="209703"/>
    <n v="341022"/>
    <x v="3"/>
    <s v="c2e8c7a6-7578-45d7-9407-39ae9bf21521"/>
    <s v="консолидация кредитов"/>
    <s v="в аренде"/>
    <s v="краткосрочный"/>
    <x v="0"/>
    <b v="0"/>
    <n v="8.3438467714187406E-2"/>
    <n v="0.78787878787878785"/>
    <n v="0.12000000000000001"/>
  </r>
  <r>
    <n v="1128"/>
    <n v="0"/>
    <n v="445940"/>
    <n v="653"/>
    <n v="1116877"/>
    <n v="12"/>
    <n v="27549.62"/>
    <n v="28.8"/>
    <n v="17"/>
    <n v="239818"/>
    <n v="793386"/>
    <x v="6"/>
    <s v="2001cb68-b7a1-4863-9b03-db9595ccabf6"/>
    <s v="консолидация кредитов"/>
    <s v="в аренде"/>
    <s v="долгосрочный"/>
    <x v="1"/>
    <b v="0"/>
    <n v="0.55275834384677147"/>
    <n v="0.40606060606060607"/>
    <n v="0.2959998639062314"/>
  </r>
  <r>
    <n v="1129"/>
    <n v="0"/>
    <m/>
    <n v="744"/>
    <n v="3387510"/>
    <n v="0"/>
    <n v="32745.93"/>
    <n v="16"/>
    <n v="12"/>
    <n v="377758"/>
    <n v="669834"/>
    <x v="8"/>
    <s v="05f9b1ab-4d3f-4794-9bf6-aecf472e6fcb"/>
    <s v="консолидация кредитов"/>
    <s v="в ипотеке"/>
    <s v="краткосрочный"/>
    <x v="0"/>
    <b v="0"/>
    <m/>
    <n v="0.95757575757575752"/>
    <n v="0.11600000000000001"/>
  </r>
  <r>
    <n v="1130"/>
    <n v="0"/>
    <n v="212366"/>
    <n v="712"/>
    <n v="872917"/>
    <n v="42"/>
    <n v="19931.38"/>
    <n v="19"/>
    <n v="20"/>
    <n v="200944"/>
    <n v="257928"/>
    <x v="4"/>
    <s v="e9577b96-ac54-40af-b20c-0cc40dd9a4a8"/>
    <s v="консолидация кредитов"/>
    <s v="в аренде"/>
    <s v="краткосрочный"/>
    <x v="0"/>
    <b v="0"/>
    <n v="0.24833696524830828"/>
    <n v="0.76363636363636367"/>
    <n v="0.27399690921359077"/>
  </r>
  <r>
    <n v="1131"/>
    <n v="1"/>
    <m/>
    <n v="678"/>
    <n v="888763"/>
    <n v="0"/>
    <n v="12146.51"/>
    <n v="12"/>
    <n v="7"/>
    <n v="159562"/>
    <n v="190080"/>
    <x v="9"/>
    <s v="fffc6027-7506-4a93-bf58-6346730f2602"/>
    <s v="консолидация кредитов"/>
    <s v="в аренде"/>
    <s v="долгосрочный"/>
    <x v="0"/>
    <b v="0"/>
    <m/>
    <n v="0.55757575757575761"/>
    <n v="0.1640011116574385"/>
  </r>
  <r>
    <n v="1132"/>
    <n v="0"/>
    <n v="471152"/>
    <n v="723"/>
    <n v="1168044"/>
    <n v="0"/>
    <n v="18969.22"/>
    <n v="18"/>
    <n v="8"/>
    <n v="712462"/>
    <n v="1076966"/>
    <x v="3"/>
    <s v="39140d88-8ee1-4431-b252-339bd7d65259"/>
    <s v="консолидация кредитов"/>
    <s v="в ипотеке"/>
    <s v="краткосрочный"/>
    <x v="0"/>
    <b v="0"/>
    <n v="0.58561761669916279"/>
    <n v="0.83030303030303032"/>
    <n v="0.19488190513371073"/>
  </r>
  <r>
    <n v="1133"/>
    <n v="0"/>
    <n v="336798"/>
    <n v="691"/>
    <n v="1260441"/>
    <n v="38"/>
    <n v="13129.57"/>
    <n v="39.4"/>
    <n v="18"/>
    <n v="124089"/>
    <n v="733062"/>
    <x v="1"/>
    <s v="7e4f7f54-1d18-425c-aa67-8e40fd4b38a2"/>
    <s v="консолидация кредитов"/>
    <s v="в ипотеке"/>
    <s v="краткосрочный"/>
    <x v="0"/>
    <b v="0"/>
    <n v="0.41051152655120998"/>
    <n v="0.63636363636363635"/>
    <n v="0.12499977388866278"/>
  </r>
  <r>
    <n v="1134"/>
    <n v="0"/>
    <n v="335192"/>
    <n v="702"/>
    <n v="2508779"/>
    <n v="63"/>
    <n v="14446.27"/>
    <n v="16.8"/>
    <n v="8"/>
    <n v="317642"/>
    <n v="511544"/>
    <x v="9"/>
    <s v="03ead93f-4a1e-40f2-a515-38ad3501c373"/>
    <s v="консолидация кредитов"/>
    <s v="в аренде"/>
    <s v="краткосрочный"/>
    <x v="0"/>
    <b v="0"/>
    <n v="0.40841839660511525"/>
    <n v="0.70303030303030301"/>
    <n v="6.9099446384077681E-2"/>
  </r>
  <r>
    <n v="1135"/>
    <n v="0"/>
    <n v="172348"/>
    <n v="719"/>
    <n v="753692"/>
    <n v="34"/>
    <n v="8102.17"/>
    <n v="14.1"/>
    <n v="5"/>
    <n v="74100"/>
    <n v="135344"/>
    <x v="2"/>
    <s v="8e2c334e-025d-4f1b-905f-34cb098caf14"/>
    <s v="консолидация кредитов"/>
    <s v="в аренде"/>
    <s v="краткосрочный"/>
    <x v="0"/>
    <b v="0"/>
    <n v="0.19618075467370111"/>
    <n v="0.80606060606060603"/>
    <n v="0.12899969748916004"/>
  </r>
  <r>
    <n v="1136"/>
    <n v="0"/>
    <n v="67342"/>
    <n v="723"/>
    <n v="1168044"/>
    <n v="20"/>
    <n v="9884.3700000000008"/>
    <n v="19.7"/>
    <n v="4"/>
    <n v="11552"/>
    <n v="0"/>
    <x v="10"/>
    <s v="38db54a0-5206-41c8-b730-9bc412f82f4b"/>
    <s v="консолидация кредитов"/>
    <s v="в аренде"/>
    <s v="краткосрочный"/>
    <x v="0"/>
    <b v="0"/>
    <n v="5.9324463814657641E-2"/>
    <n v="0.83030303030303032"/>
    <n v="0.10154792113995706"/>
  </r>
  <r>
    <n v="1137"/>
    <n v="0"/>
    <n v="110902"/>
    <n v="723"/>
    <n v="1168044"/>
    <n v="0"/>
    <n v="15150.79"/>
    <n v="16.5"/>
    <n v="8"/>
    <n v="139878"/>
    <n v="495286"/>
    <x v="1"/>
    <s v="5d5e6bab-fc43-4388-b70a-96ccf974669a"/>
    <s v="медицинские препараты"/>
    <s v="в аренде"/>
    <s v="краткосрочный"/>
    <x v="1"/>
    <b v="0"/>
    <n v="0.11609702947585732"/>
    <n v="0.83030303030303032"/>
    <n v="0.15565293773179778"/>
  </r>
  <r>
    <n v="1138"/>
    <n v="0"/>
    <n v="348172"/>
    <n v="723"/>
    <n v="1168044"/>
    <n v="8"/>
    <n v="4044.15"/>
    <n v="22.7"/>
    <n v="5"/>
    <n v="160607"/>
    <n v="715242"/>
    <x v="1"/>
    <s v="14b275c1-e3bb-4795-b9b0-bc643c4bd38e"/>
    <s v="консолидация кредитов"/>
    <s v="в ипотеке"/>
    <s v="долгосрочный"/>
    <x v="1"/>
    <b v="0"/>
    <n v="0.42533547425163437"/>
    <n v="0.83030303030303032"/>
    <n v="4.1547921139957054E-2"/>
  </r>
  <r>
    <n v="1139"/>
    <n v="1"/>
    <n v="306592"/>
    <n v="688"/>
    <n v="1032878"/>
    <n v="78"/>
    <n v="19022.23"/>
    <n v="15.6"/>
    <n v="12"/>
    <n v="179265"/>
    <n v="411048"/>
    <x v="9"/>
    <s v="41efe084-10a2-421e-887d-a7bdcac12bf7"/>
    <s v="консолидация кредитов"/>
    <s v="в ипотеке"/>
    <s v="долгосрочный"/>
    <x v="0"/>
    <b v="0"/>
    <n v="0.37114347975685286"/>
    <n v="0.61818181818181817"/>
    <n v="0.22100069901769617"/>
  </r>
  <r>
    <n v="1140"/>
    <n v="0"/>
    <n v="440000"/>
    <n v="680"/>
    <n v="1425000"/>
    <n v="0"/>
    <n v="6234.47"/>
    <n v="8.8000000000000007"/>
    <n v="7"/>
    <n v="361703"/>
    <n v="594066"/>
    <x v="4"/>
    <s v="93e27a0a-2578-4e93-be99-ee7d6bbc55f5"/>
    <s v="консолидация кредитов"/>
    <s v="в аренде"/>
    <s v="краткосрочный"/>
    <x v="0"/>
    <b v="0"/>
    <n v="0.54501663034751691"/>
    <n v="0.5696969696969697"/>
    <n v="5.25008E-2"/>
  </r>
  <r>
    <n v="1141"/>
    <n v="0"/>
    <n v="133034"/>
    <n v="723"/>
    <n v="1168044"/>
    <n v="0"/>
    <n v="14541.08"/>
    <n v="12.4"/>
    <n v="9"/>
    <n v="576840"/>
    <n v="905036"/>
    <x v="4"/>
    <s v="2bda88fe-19fd-4e76-a82b-dc94ebd073d3"/>
    <s v="приобретение автомобиля"/>
    <s v="в аренде"/>
    <s v="краткосрочный"/>
    <x v="0"/>
    <b v="0"/>
    <n v="0.1449420805138204"/>
    <n v="0.83030303030303032"/>
    <n v="0.1493890298653133"/>
  </r>
  <r>
    <n v="1142"/>
    <n v="0"/>
    <n v="212454"/>
    <n v="708"/>
    <n v="1146042"/>
    <n v="0"/>
    <n v="18403.400000000001"/>
    <n v="15.6"/>
    <n v="9"/>
    <n v="345876"/>
    <n v="422906"/>
    <x v="8"/>
    <s v="a28b8613-1a56-4488-b144-17a0b398d0a0"/>
    <s v="консолидация кредитов"/>
    <s v="в аренде"/>
    <s v="долгосрочный"/>
    <x v="0"/>
    <b v="0"/>
    <n v="0.24845165730014909"/>
    <n v="0.73939393939393938"/>
    <n v="0.19269869690639613"/>
  </r>
  <r>
    <n v="1143"/>
    <n v="0"/>
    <n v="264418"/>
    <n v="723"/>
    <n v="1168044"/>
    <n v="0"/>
    <n v="21499.45"/>
    <n v="15"/>
    <n v="13"/>
    <n v="256462"/>
    <n v="363440"/>
    <x v="1"/>
    <s v="9e7c1911-e2c6-4868-b3ce-fa77d759ad90"/>
    <s v="консолидация кредитов"/>
    <s v="в собственности"/>
    <s v="долгосрочный"/>
    <x v="0"/>
    <b v="0"/>
    <n v="0.31617731391214587"/>
    <n v="0.83030303030303032"/>
    <n v="0.22087643958617997"/>
  </r>
  <r>
    <n v="1144"/>
    <n v="0"/>
    <n v="262922"/>
    <n v="714"/>
    <n v="2895087"/>
    <n v="19"/>
    <n v="44632.52"/>
    <n v="23.9"/>
    <n v="27"/>
    <n v="521835"/>
    <n v="1405184"/>
    <x v="7"/>
    <s v="61a450f6-180d-48ae-9ccc-1f8e8a873afc"/>
    <s v="консолидация кредитов"/>
    <s v="в ипотеке"/>
    <s v="долгосрочный"/>
    <x v="0"/>
    <b v="1"/>
    <n v="0.31422754903085215"/>
    <n v="0.77575757575757576"/>
    <n v="0.18499970467208757"/>
  </r>
  <r>
    <n v="1145"/>
    <n v="0"/>
    <m/>
    <n v="740"/>
    <n v="575852"/>
    <n v="0"/>
    <n v="3987.91"/>
    <n v="15.9"/>
    <n v="10"/>
    <n v="60800"/>
    <n v="372460"/>
    <x v="5"/>
    <s v="b17e908e-2685-48ad-b4eb-aba50b941e45"/>
    <s v="консолидация кредитов"/>
    <s v="в аренде"/>
    <s v="краткосрочный"/>
    <x v="0"/>
    <b v="0"/>
    <m/>
    <n v="0.93333333333333335"/>
    <n v="8.3102811138973207E-2"/>
  </r>
  <r>
    <n v="1146"/>
    <n v="0"/>
    <n v="556160"/>
    <n v="708"/>
    <n v="3266176"/>
    <n v="0"/>
    <n v="51034"/>
    <n v="29.5"/>
    <n v="8"/>
    <n v="1122254"/>
    <n v="1353594"/>
    <x v="4"/>
    <s v="b7c9cf87-28d8-4733-9676-4f168c938b9e"/>
    <s v="консолидация кредитов"/>
    <s v="в ипотеке"/>
    <s v="долгосрочный"/>
    <x v="0"/>
    <b v="1"/>
    <n v="0.69641013877738278"/>
    <n v="0.73939393939393938"/>
    <n v="0.1875"/>
  </r>
  <r>
    <n v="1147"/>
    <n v="1"/>
    <n v="360162"/>
    <n v="738"/>
    <n v="738986"/>
    <n v="0"/>
    <n v="18228.41"/>
    <n v="26.2"/>
    <n v="11"/>
    <n v="204820"/>
    <n v="307604"/>
    <x v="1"/>
    <s v="5f2f3ec8-45e0-4506-961c-d37ed6ffd3b4"/>
    <s v="консолидация кредитов"/>
    <s v="в аренде"/>
    <s v="краткосрочный"/>
    <x v="1"/>
    <b v="0"/>
    <n v="0.4409622663149444"/>
    <n v="0.92121212121212126"/>
    <n v="0.29600143981076776"/>
  </r>
  <r>
    <n v="1148"/>
    <n v="0"/>
    <n v="476498"/>
    <n v="737"/>
    <n v="1215867"/>
    <n v="0"/>
    <n v="16718.099999999999"/>
    <n v="21.6"/>
    <n v="18"/>
    <n v="239875"/>
    <n v="1310166"/>
    <x v="1"/>
    <s v="442eacdb-5cef-4093-ab03-1d1c561eef1b"/>
    <s v="консолидация кредитов"/>
    <s v="в аренде"/>
    <s v="долгосрочный"/>
    <x v="0"/>
    <b v="0"/>
    <n v="0.59258515884849183"/>
    <n v="0.91515151515151516"/>
    <n v="0.16499929679808728"/>
  </r>
  <r>
    <n v="1149"/>
    <n v="0"/>
    <n v="288552"/>
    <n v="695"/>
    <n v="1015968"/>
    <n v="0"/>
    <n v="15493.36"/>
    <n v="6.2"/>
    <n v="11"/>
    <n v="191007"/>
    <n v="410322"/>
    <x v="6"/>
    <s v="66cce1d8-9e3d-484f-8849-971ee395e4d4"/>
    <s v="консолидация кредитов"/>
    <s v="в аренде"/>
    <s v="долгосрочный"/>
    <x v="0"/>
    <b v="0"/>
    <n v="0.34763160912948732"/>
    <n v="0.66060606060606064"/>
    <n v="0.18299820466786357"/>
  </r>
  <r>
    <n v="1150"/>
    <n v="0"/>
    <n v="155782"/>
    <n v="723"/>
    <n v="1168044"/>
    <n v="0"/>
    <n v="5823.69"/>
    <n v="19"/>
    <n v="13"/>
    <n v="62472"/>
    <n v="556490"/>
    <x v="1"/>
    <s v="49a5379c-0655-427c-864a-7fb82f46f7b0"/>
    <s v="консолидация кредитов"/>
    <s v="в аренде"/>
    <s v="краткосрочный"/>
    <x v="0"/>
    <b v="0"/>
    <n v="0.17458997591466913"/>
    <n v="0.83030303030303032"/>
    <n v="5.9830177630294745E-2"/>
  </r>
  <r>
    <n v="1151"/>
    <n v="0"/>
    <n v="287408"/>
    <n v="747"/>
    <n v="754566"/>
    <n v="0"/>
    <n v="5652.88"/>
    <n v="15.4"/>
    <n v="6"/>
    <n v="217493"/>
    <n v="431222"/>
    <x v="6"/>
    <s v="2f5a2f24-52b0-4ff4-a6b6-12902fc04c19"/>
    <s v="консолидация кредитов"/>
    <s v="в аренде"/>
    <s v="краткосрочный"/>
    <x v="0"/>
    <b v="0"/>
    <n v="0.34614061245555683"/>
    <n v="0.97575757575757571"/>
    <n v="8.9898776250188855E-2"/>
  </r>
  <r>
    <n v="1152"/>
    <n v="0"/>
    <n v="108240"/>
    <n v="723"/>
    <n v="1168044"/>
    <n v="30"/>
    <n v="12202.37"/>
    <n v="27.2"/>
    <n v="10"/>
    <n v="68951"/>
    <n v="201102"/>
    <x v="1"/>
    <s v="d9c79be8-4a3a-4e26-bee2-a3dfe20c6893"/>
    <s v="иное"/>
    <s v="в ипотеке"/>
    <s v="краткосрочный"/>
    <x v="0"/>
    <b v="0"/>
    <n v="0.11262759490767289"/>
    <n v="0.83030303030303032"/>
    <n v="0.12536209252391178"/>
  </r>
  <r>
    <n v="1153"/>
    <n v="0"/>
    <n v="249546"/>
    <n v="724"/>
    <n v="2309184"/>
    <n v="18"/>
    <n v="16279.77"/>
    <n v="18.8"/>
    <n v="8"/>
    <n v="60743"/>
    <n v="265430"/>
    <x v="9"/>
    <s v="48378452-205b-44ad-aefc-ec2a217af9e2"/>
    <s v="консолидация кредитов"/>
    <s v="в ипотеке"/>
    <s v="долгосрочный"/>
    <x v="0"/>
    <b v="0"/>
    <n v="0.29679435715104946"/>
    <n v="0.83636363636363631"/>
    <n v="8.4600118483412326E-2"/>
  </r>
  <r>
    <n v="1154"/>
    <n v="0"/>
    <n v="201146"/>
    <n v="702"/>
    <n v="778297"/>
    <n v="0"/>
    <n v="16279.2"/>
    <n v="10"/>
    <n v="14"/>
    <n v="350512"/>
    <n v="737924"/>
    <x v="7"/>
    <s v="2719fe1b-0ab4-4dfe-9a9e-69bfa365cbbd"/>
    <s v="консолидация кредитов"/>
    <s v="в аренде"/>
    <s v="краткосрочный"/>
    <x v="0"/>
    <b v="0"/>
    <n v="0.23371372863860534"/>
    <n v="0.70303030303030301"/>
    <n v="0.25099724141298246"/>
  </r>
  <r>
    <n v="1155"/>
    <n v="0"/>
    <n v="220726"/>
    <n v="723"/>
    <n v="1168044"/>
    <n v="18"/>
    <n v="1120.24"/>
    <n v="16"/>
    <n v="4"/>
    <n v="0"/>
    <n v="0"/>
    <x v="6"/>
    <s v="438488f1-7f32-4f99-9647-831ce785efae"/>
    <s v="бизнес"/>
    <s v="в ипотеке"/>
    <s v="краткосрочный"/>
    <x v="0"/>
    <b v="0"/>
    <n v="0.259232710173185"/>
    <n v="0.83030303030303032"/>
    <n v="1.1508881514737458E-2"/>
  </r>
  <r>
    <n v="1156"/>
    <n v="0"/>
    <n v="758450"/>
    <n v="723"/>
    <n v="2245800"/>
    <n v="0"/>
    <n v="20960.8"/>
    <n v="18.2"/>
    <n v="7"/>
    <n v="641725"/>
    <n v="762872"/>
    <x v="1"/>
    <s v="12213715-551a-4afd-9a27-7ba91a2dc460"/>
    <s v="консолидация кредитов"/>
    <s v="в собственности"/>
    <s v="долгосрочный"/>
    <x v="0"/>
    <b v="0"/>
    <n v="0.96005849294643886"/>
    <n v="0.83030303030303032"/>
    <n v="0.112"/>
  </r>
  <r>
    <n v="1157"/>
    <n v="1"/>
    <n v="86262"/>
    <n v="738"/>
    <n v="863208"/>
    <n v="46"/>
    <n v="19997.88"/>
    <n v="20.399999999999999"/>
    <n v="21"/>
    <n v="269021"/>
    <n v="1207338"/>
    <x v="2"/>
    <s v="656de0ac-9b9f-4c47-9b9f-bb460de2204b"/>
    <s v="консолидация кредитов"/>
    <s v="в собственности"/>
    <s v="краткосрочный"/>
    <x v="0"/>
    <b v="0"/>
    <n v="8.3983254960431242E-2"/>
    <n v="0.92121212121212126"/>
    <n v="0.2780031695721078"/>
  </r>
  <r>
    <n v="1158"/>
    <n v="0"/>
    <n v="134112"/>
    <n v="723"/>
    <n v="1168044"/>
    <n v="12"/>
    <n v="17952.72"/>
    <n v="8.1999999999999993"/>
    <n v="14"/>
    <n v="137332"/>
    <n v="333366"/>
    <x v="9"/>
    <s v="8e3a2e28-511b-4e41-b726-84cc6d614e92"/>
    <s v="консолидация кредитов"/>
    <s v="в аренде"/>
    <s v="краткосрочный"/>
    <x v="0"/>
    <b v="0"/>
    <n v="0.14634705814887028"/>
    <n v="0.83030303030303032"/>
    <n v="0.18443880538746829"/>
  </r>
  <r>
    <n v="1159"/>
    <n v="0"/>
    <n v="178860"/>
    <n v="704"/>
    <n v="1062043"/>
    <n v="0"/>
    <n v="13983.43"/>
    <n v="7"/>
    <n v="6"/>
    <n v="145730"/>
    <n v="268268"/>
    <x v="6"/>
    <s v="aaabd1d3-ca88-4655-b234-09941a699a89"/>
    <s v="консолидация кредитов"/>
    <s v="в аренде"/>
    <s v="краткосрочный"/>
    <x v="1"/>
    <b v="0"/>
    <n v="0.20466796650992086"/>
    <n v="0.7151515151515152"/>
    <n v="0.15799846145589211"/>
  </r>
  <r>
    <n v="1160"/>
    <n v="0"/>
    <n v="224752"/>
    <n v="723"/>
    <n v="1168044"/>
    <n v="0"/>
    <n v="1536.72"/>
    <n v="13.6"/>
    <n v="3"/>
    <n v="75107"/>
    <n v="526988"/>
    <x v="2"/>
    <s v="2ab51ba5-4665-479a-a619-1557b539d63a"/>
    <s v="путешествие"/>
    <s v="в аренде"/>
    <s v="краткосрочный"/>
    <x v="0"/>
    <b v="0"/>
    <n v="0.26447987154490193"/>
    <n v="0.83030303030303032"/>
    <n v="1.5787624438805388E-2"/>
  </r>
  <r>
    <n v="1161"/>
    <n v="1"/>
    <n v="215270"/>
    <n v="726"/>
    <n v="855209"/>
    <n v="10"/>
    <n v="6841.71"/>
    <n v="25.6"/>
    <n v="10"/>
    <n v="82536"/>
    <n v="264704"/>
    <x v="1"/>
    <s v="d5218d6b-9db2-4fc9-872d-ec5fa358f9dd"/>
    <s v="консолидация кредитов"/>
    <s v="в аренде"/>
    <s v="краткосрочный"/>
    <x v="1"/>
    <b v="0"/>
    <n v="0.25212180295905495"/>
    <n v="0.84848484848484851"/>
    <n v="9.6000533202994814E-2"/>
  </r>
  <r>
    <n v="1162"/>
    <n v="0"/>
    <n v="625372"/>
    <n v="723"/>
    <n v="1168044"/>
    <n v="0"/>
    <n v="43587.9"/>
    <n v="9.6"/>
    <n v="22"/>
    <n v="818045"/>
    <n v="1473098"/>
    <x v="4"/>
    <s v="3e434acd-09fd-490f-b4c3-aba614ee5e22"/>
    <s v="консолидация кредитов"/>
    <s v="в аренде"/>
    <s v="долгосрочный"/>
    <x v="0"/>
    <b v="0"/>
    <n v="0.78661543755017782"/>
    <n v="0.83030303030303032"/>
    <n v="0.44780402108139761"/>
  </r>
  <r>
    <n v="1163"/>
    <n v="0"/>
    <n v="171820"/>
    <n v="742"/>
    <n v="797639"/>
    <n v="0"/>
    <n v="14025.04"/>
    <n v="11.9"/>
    <n v="12"/>
    <n v="173660"/>
    <n v="305118"/>
    <x v="8"/>
    <s v="226e350f-e782-4ae3-876b-4d2b676afc19"/>
    <s v="консолидация кредитов"/>
    <s v="в аренде"/>
    <s v="краткосрочный"/>
    <x v="0"/>
    <b v="0"/>
    <n v="0.19549260236265628"/>
    <n v="0.94545454545454544"/>
    <n v="0.21099830875872419"/>
  </r>
  <r>
    <n v="1164"/>
    <n v="0"/>
    <n v="536602"/>
    <n v="723"/>
    <n v="1168044"/>
    <n v="0"/>
    <n v="10057.08"/>
    <n v="5.4"/>
    <n v="8"/>
    <n v="50388"/>
    <n v="136290"/>
    <x v="4"/>
    <s v="5ab88861-ca91-4371-af9f-da338dab4807"/>
    <s v="иное"/>
    <s v="в аренде"/>
    <s v="краткосрочный"/>
    <x v="0"/>
    <b v="0"/>
    <n v="0.67091983025576329"/>
    <n v="0.83030303030303032"/>
    <n v="0.10332227210618777"/>
  </r>
  <r>
    <n v="1165"/>
    <n v="0"/>
    <n v="110396"/>
    <n v="723"/>
    <n v="1168044"/>
    <n v="26"/>
    <n v="19505.02"/>
    <n v="17.8"/>
    <n v="15"/>
    <n v="30305"/>
    <n v="178970"/>
    <x v="10"/>
    <s v="35aea42b-4456-40f8-9e4a-7b93b4947bf2"/>
    <s v="иное"/>
    <s v="в аренде"/>
    <s v="краткосрочный"/>
    <x v="1"/>
    <b v="0"/>
    <n v="0.11543755017777269"/>
    <n v="0.83030303030303032"/>
    <n v="0.20038649228967403"/>
  </r>
  <r>
    <n v="1166"/>
    <n v="0"/>
    <n v="778316"/>
    <n v="709"/>
    <n v="2016546"/>
    <n v="0"/>
    <n v="52262.16"/>
    <n v="22.5"/>
    <n v="28"/>
    <n v="1009375"/>
    <n v="2557412"/>
    <x v="8"/>
    <s v="93e2bda9-b01a-429d-b4e9-00485f49fbf3"/>
    <s v="консолидация кредитов"/>
    <s v="в ипотеке"/>
    <s v="долгосрочный"/>
    <x v="1"/>
    <b v="1"/>
    <n v="0.98595022364950113"/>
    <n v="0.74545454545454548"/>
    <n v="0.31100005653230822"/>
  </r>
  <r>
    <n v="1167"/>
    <n v="0"/>
    <n v="184690"/>
    <n v="736"/>
    <n v="945535"/>
    <n v="46"/>
    <n v="8903.9699999999993"/>
    <n v="16.100000000000001"/>
    <n v="7"/>
    <n v="57038"/>
    <n v="293546"/>
    <x v="6"/>
    <s v="3be3170c-f4cc-4160-9329-3bdcfe4e2344"/>
    <s v="консолидация кредитов"/>
    <s v="в аренде"/>
    <s v="краткосрочный"/>
    <x v="1"/>
    <b v="0"/>
    <n v="0.21226631494437437"/>
    <n v="0.90909090909090906"/>
    <n v="0.11300231086104692"/>
  </r>
  <r>
    <n v="1168"/>
    <n v="0"/>
    <n v="216040"/>
    <n v="727"/>
    <n v="932881"/>
    <n v="0"/>
    <n v="16014.53"/>
    <n v="14.4"/>
    <n v="8"/>
    <n v="195054"/>
    <n v="276782"/>
    <x v="4"/>
    <s v="49b32f45-ca26-4fa3-9ec6-2bf05e7bd3f8"/>
    <s v="консолидация кредитов"/>
    <s v="в аренде"/>
    <s v="краткосрочный"/>
    <x v="0"/>
    <b v="0"/>
    <n v="0.25312535841266198"/>
    <n v="0.8545454545454545"/>
    <n v="0.20600093688262491"/>
  </r>
  <r>
    <n v="1169"/>
    <n v="1"/>
    <m/>
    <n v="729"/>
    <n v="975251"/>
    <n v="49"/>
    <n v="8777.24"/>
    <n v="23.4"/>
    <n v="7"/>
    <n v="110732"/>
    <n v="208472"/>
    <x v="2"/>
    <s v="c72aa52e-d987-4eec-abd8-bd1d29efb1d0"/>
    <s v="консолидация кредитов"/>
    <s v="в аренде"/>
    <s v="краткосрочный"/>
    <x v="0"/>
    <b v="0"/>
    <m/>
    <n v="0.8666666666666667"/>
    <n v="0.10799976621403104"/>
  </r>
  <r>
    <n v="1170"/>
    <n v="0"/>
    <n v="668976"/>
    <n v="691"/>
    <n v="2311008"/>
    <n v="14"/>
    <n v="35242.910000000003"/>
    <n v="30"/>
    <n v="13"/>
    <n v="184889"/>
    <n v="601326"/>
    <x v="1"/>
    <s v="c33eb25a-f3ea-438f-b348-2d5fbb68b761"/>
    <s v="консолидация кредитов"/>
    <s v="в ипотеке"/>
    <s v="долгосрочный"/>
    <x v="1"/>
    <b v="0"/>
    <n v="0.84344534923729786"/>
    <n v="0.63636363636363635"/>
    <n v="0.18300019731649567"/>
  </r>
  <r>
    <n v="1171"/>
    <n v="0"/>
    <n v="107316"/>
    <n v="723"/>
    <n v="1168044"/>
    <n v="29"/>
    <n v="4077.97"/>
    <n v="40.1"/>
    <n v="8"/>
    <n v="119472"/>
    <n v="423016"/>
    <x v="4"/>
    <s v="1a28f176-5918-494d-9e61-ddbac7c3e678"/>
    <s v="иное"/>
    <s v="в аренде"/>
    <s v="краткосрочный"/>
    <x v="1"/>
    <b v="0"/>
    <n v="0.11142332836334443"/>
    <n v="0.83030303030303032"/>
    <n v="4.1895373804411475E-2"/>
  </r>
  <r>
    <n v="1172"/>
    <n v="0"/>
    <n v="417164"/>
    <n v="709"/>
    <n v="1002364"/>
    <n v="45"/>
    <n v="9271.81"/>
    <n v="21.7"/>
    <n v="8"/>
    <n v="136705"/>
    <n v="205832"/>
    <x v="1"/>
    <s v="6b27a3e6-9c2d-42f3-b14f-b6eeddf6394d"/>
    <s v="консолидация кредитов"/>
    <s v="в ипотеке"/>
    <s v="краткосрочный"/>
    <x v="0"/>
    <b v="0"/>
    <n v="0.51525404289482735"/>
    <n v="0.74545454545454548"/>
    <n v="0.11099931761316248"/>
  </r>
  <r>
    <n v="1173"/>
    <n v="0"/>
    <n v="60962"/>
    <n v="746"/>
    <n v="285893"/>
    <n v="0"/>
    <n v="5396.38"/>
    <n v="10.4"/>
    <n v="5"/>
    <n v="144818"/>
    <n v="574222"/>
    <x v="1"/>
    <s v="575d5aba-ad45-49a1-9b21-19026bd6c2c7"/>
    <s v="иное"/>
    <s v="в ипотеке"/>
    <s v="краткосрочный"/>
    <x v="1"/>
    <b v="0"/>
    <n v="5.1009290056199107E-2"/>
    <n v="0.96969696969696972"/>
    <n v="0.22650628032165879"/>
  </r>
  <r>
    <n v="1174"/>
    <n v="0"/>
    <n v="525096"/>
    <n v="748"/>
    <n v="1011028"/>
    <n v="42"/>
    <n v="13985.71"/>
    <n v="22.4"/>
    <n v="7"/>
    <n v="172140"/>
    <n v="476872"/>
    <x v="10"/>
    <s v="828e215d-dd59-4ed1-be52-6b9d0d6027a2"/>
    <s v="консолидация кредитов"/>
    <s v="в ипотеке"/>
    <s v="краткосрочный"/>
    <x v="1"/>
    <b v="0"/>
    <n v="0.65592384447757768"/>
    <n v="0.98181818181818181"/>
    <n v="0.16599789521160641"/>
  </r>
  <r>
    <n v="1175"/>
    <n v="0"/>
    <n v="158136"/>
    <n v="690"/>
    <n v="866476"/>
    <n v="36"/>
    <n v="2729.35"/>
    <n v="14.1"/>
    <n v="15"/>
    <n v="63156"/>
    <n v="115522"/>
    <x v="5"/>
    <s v="5c821f35-7ee0-4d75-9daf-f7c49085c3d0"/>
    <s v="иное"/>
    <s v="в аренде"/>
    <s v="краткосрочный"/>
    <x v="0"/>
    <b v="0"/>
    <n v="0.17765798830141072"/>
    <n v="0.63030303030303025"/>
    <n v="3.7799315849486891E-2"/>
  </r>
  <r>
    <n v="1176"/>
    <n v="1"/>
    <n v="225126"/>
    <n v="720"/>
    <n v="731044"/>
    <n v="15"/>
    <n v="7188.46"/>
    <n v="19.399999999999999"/>
    <n v="10"/>
    <n v="200013"/>
    <n v="238744"/>
    <x v="7"/>
    <s v="118ec4b7-c76c-4df6-9f7e-9e2951ccc30b"/>
    <s v="консолидация кредитов"/>
    <s v="в аренде"/>
    <s v="краткосрочный"/>
    <x v="0"/>
    <b v="0"/>
    <n v="0.26496731276522539"/>
    <n v="0.81212121212121213"/>
    <n v="0.11799771285996465"/>
  </r>
  <r>
    <n v="1177"/>
    <n v="0"/>
    <n v="26400"/>
    <n v="659"/>
    <n v="1330532"/>
    <n v="0"/>
    <n v="24392.959999999999"/>
    <n v="15.7"/>
    <n v="16"/>
    <n v="602699"/>
    <n v="1166968"/>
    <x v="6"/>
    <s v="4a2db08b-579c-4d44-b3fa-e8e7d258d7b4"/>
    <s v="ремонт жилья"/>
    <s v="в ипотеке"/>
    <s v="краткосрочный"/>
    <x v="0"/>
    <b v="0"/>
    <n v="5.9639866957219862E-3"/>
    <n v="0.44242424242424244"/>
    <n v="0.21999885759981719"/>
  </r>
  <r>
    <n v="1178"/>
    <n v="0"/>
    <n v="296274"/>
    <n v="725"/>
    <n v="583737"/>
    <n v="0"/>
    <n v="13815.09"/>
    <n v="23.2"/>
    <n v="16"/>
    <n v="436943"/>
    <n v="869308"/>
    <x v="0"/>
    <s v="40a36fd0-2874-4734-85b1-c445a89feaf8"/>
    <s v="консолидация кредитов"/>
    <s v="в аренде"/>
    <s v="краткосрочный"/>
    <x v="0"/>
    <b v="0"/>
    <n v="0.35769583667851818"/>
    <n v="0.84242424242424241"/>
    <n v="0.28399960941314323"/>
  </r>
  <r>
    <n v="1179"/>
    <n v="0"/>
    <n v="393976"/>
    <n v="630"/>
    <n v="1455533"/>
    <n v="32"/>
    <n v="21347.83"/>
    <n v="21.5"/>
    <n v="14"/>
    <n v="282264"/>
    <n v="415800"/>
    <x v="1"/>
    <s v="0b63b0da-eb15-489c-9a9e-2d6ca233207c"/>
    <s v="консолидация кредитов"/>
    <s v="в ипотеке"/>
    <s v="долгосрочный"/>
    <x v="0"/>
    <b v="0"/>
    <n v="0.48503268723477461"/>
    <n v="0.26666666666666666"/>
    <n v="0.17600010442909916"/>
  </r>
  <r>
    <n v="1180"/>
    <n v="0"/>
    <m/>
    <n v="744"/>
    <n v="751564"/>
    <n v="0"/>
    <n v="16283.95"/>
    <n v="12"/>
    <n v="6"/>
    <n v="281751"/>
    <n v="520300"/>
    <x v="7"/>
    <s v="ba4a0090-50e3-4f9f-9be2-572190fe4429"/>
    <s v="консолидация кредитов"/>
    <s v="в аренде"/>
    <s v="краткосрочный"/>
    <x v="0"/>
    <b v="0"/>
    <m/>
    <n v="0.95757575757575752"/>
    <n v="0.26000101122459296"/>
  </r>
  <r>
    <n v="1181"/>
    <n v="0"/>
    <n v="55946"/>
    <n v="727"/>
    <n v="501771"/>
    <n v="0"/>
    <n v="8655.4500000000007"/>
    <n v="16.8"/>
    <n v="6"/>
    <n v="40432"/>
    <n v="212828"/>
    <x v="5"/>
    <s v="6c855362-32f5-4639-bbbb-b040821488de"/>
    <s v="консолидация кредитов"/>
    <s v="в аренде"/>
    <s v="краткосрочный"/>
    <x v="1"/>
    <b v="0"/>
    <n v="4.4471843101273084E-2"/>
    <n v="0.8545454545454545"/>
    <n v="0.20699761444961948"/>
  </r>
  <r>
    <n v="1182"/>
    <n v="0"/>
    <n v="272646"/>
    <n v="744"/>
    <n v="1506928"/>
    <n v="40"/>
    <n v="26120.06"/>
    <n v="21.3"/>
    <n v="10"/>
    <n v="965903"/>
    <n v="1686894"/>
    <x v="1"/>
    <s v="d9f81f39-8908-4939-8724-2902b1aa2e35"/>
    <s v="консолидация кредитов"/>
    <s v="в ипотеке"/>
    <s v="краткосрочный"/>
    <x v="0"/>
    <b v="0"/>
    <n v="0.32690102075926136"/>
    <n v="0.95757575757575752"/>
    <n v="0.20799979826507969"/>
  </r>
  <r>
    <n v="1183"/>
    <n v="0"/>
    <n v="725406"/>
    <n v="724"/>
    <n v="2432000"/>
    <n v="0"/>
    <n v="36480"/>
    <n v="14.4"/>
    <n v="9"/>
    <n v="411331"/>
    <n v="862840"/>
    <x v="7"/>
    <s v="bca21dc6-1316-4d73-99ba-f527dc2f2328"/>
    <s v="консолидация кредитов"/>
    <s v="в ипотеке"/>
    <s v="долгосрочный"/>
    <x v="0"/>
    <b v="0"/>
    <n v="0.91699162748021568"/>
    <n v="0.83636363636363631"/>
    <n v="0.18000000000000002"/>
  </r>
  <r>
    <n v="1184"/>
    <n v="0"/>
    <n v="129844"/>
    <n v="735"/>
    <n v="2990144"/>
    <n v="16"/>
    <n v="33888.21"/>
    <n v="28.9"/>
    <n v="9"/>
    <n v="391400"/>
    <n v="538868"/>
    <x v="1"/>
    <s v="8cf8ffd1-870f-43f0-bec1-e4a5d3d5f70a"/>
    <s v="иное"/>
    <s v="в ипотеке"/>
    <s v="краткосрочный"/>
    <x v="0"/>
    <b v="0"/>
    <n v="0.14078449363459111"/>
    <n v="0.90303030303030307"/>
    <n v="0.13599964416429444"/>
  </r>
  <r>
    <n v="1185"/>
    <n v="0"/>
    <n v="612304"/>
    <n v="747"/>
    <n v="1794170"/>
    <n v="24"/>
    <n v="14248.67"/>
    <n v="29.9"/>
    <n v="9"/>
    <n v="510720"/>
    <n v="1411344"/>
    <x v="6"/>
    <s v="450fa09c-d15f-4103-a767-78ec95c89072"/>
    <s v="консолидация кредитов"/>
    <s v="в ипотеке"/>
    <s v="краткосрочный"/>
    <x v="0"/>
    <b v="0"/>
    <n v="0.76958366785181787"/>
    <n v="0.97575757575757571"/>
    <n v="9.5299798792756546E-2"/>
  </r>
  <r>
    <n v="1186"/>
    <n v="0"/>
    <n v="257400"/>
    <n v="720"/>
    <n v="703950"/>
    <n v="0"/>
    <n v="3132.53"/>
    <n v="11.4"/>
    <n v="5"/>
    <n v="93233"/>
    <n v="175824"/>
    <x v="2"/>
    <s v="bf242e3e-66ac-43ae-bfc0-73c9c556b9d0"/>
    <s v="иное"/>
    <s v="в аренде"/>
    <s v="краткосрочный"/>
    <x v="0"/>
    <b v="0"/>
    <n v="0.30703062277784149"/>
    <n v="0.81212121212121213"/>
    <n v="5.3399190283400816E-2"/>
  </r>
  <r>
    <n v="1187"/>
    <n v="0"/>
    <m/>
    <n v="751"/>
    <n v="3715260"/>
    <n v="0"/>
    <n v="21486.720000000001"/>
    <n v="28.5"/>
    <n v="6"/>
    <n v="1193827"/>
    <n v="2273568"/>
    <x v="1"/>
    <s v="cb9f0979-7c81-4c89-b37b-880febd4953b"/>
    <s v="приобретение автомобиля"/>
    <s v="в собственности"/>
    <s v="краткосрочный"/>
    <x v="0"/>
    <b v="0"/>
    <m/>
    <n v="1"/>
    <n v="6.9400429579625653E-2"/>
  </r>
  <r>
    <n v="1188"/>
    <n v="0"/>
    <n v="279488"/>
    <n v="700"/>
    <n v="626373"/>
    <n v="60"/>
    <n v="6837.91"/>
    <n v="12.1"/>
    <n v="9"/>
    <n v="235239"/>
    <n v="315986"/>
    <x v="2"/>
    <s v="6ce7e08c-2852-431a-8c6e-630215246b06"/>
    <s v="консолидация кредитов"/>
    <s v="в аренде"/>
    <s v="краткосрочный"/>
    <x v="1"/>
    <b v="0"/>
    <n v="0.33581832778988419"/>
    <n v="0.69090909090909092"/>
    <n v="0.131000091000091"/>
  </r>
  <r>
    <n v="1189"/>
    <n v="0"/>
    <n v="485408"/>
    <n v="721"/>
    <n v="3601412"/>
    <n v="0"/>
    <n v="24789.68"/>
    <n v="15.2"/>
    <n v="3"/>
    <n v="296609"/>
    <n v="364210"/>
    <x v="6"/>
    <s v="c8353a98-95d7-4142-8b97-4e6b8adad954"/>
    <s v="медицинские препараты"/>
    <s v="в аренде"/>
    <s v="краткосрочный"/>
    <x v="1"/>
    <b v="0"/>
    <n v="0.60419772909737357"/>
    <n v="0.81818181818181823"/>
    <n v="8.2599869162428508E-2"/>
  </r>
  <r>
    <n v="1190"/>
    <n v="0"/>
    <n v="324368"/>
    <n v="741"/>
    <n v="1792802"/>
    <n v="41"/>
    <n v="6797.82"/>
    <n v="16"/>
    <n v="7"/>
    <n v="87381"/>
    <n v="346500"/>
    <x v="6"/>
    <s v="a885cac6-1500-44df-9f7d-9e4c6841be39"/>
    <s v="консолидация кредитов"/>
    <s v="в аренде"/>
    <s v="краткосрочный"/>
    <x v="1"/>
    <b v="0"/>
    <n v="0.39431127422869594"/>
    <n v="0.93939393939393945"/>
    <n v="4.5500752453422076E-2"/>
  </r>
  <r>
    <n v="1191"/>
    <n v="0"/>
    <m/>
    <n v="741"/>
    <n v="1874920"/>
    <n v="27"/>
    <n v="42341.88"/>
    <n v="13.1"/>
    <n v="12"/>
    <n v="429837"/>
    <n v="577390"/>
    <x v="1"/>
    <s v="3237ac11-f53e-47f2-b08b-5997a79c1506"/>
    <s v="консолидация кредитов"/>
    <s v="в ипотеке"/>
    <s v="краткосрочный"/>
    <x v="0"/>
    <b v="0"/>
    <m/>
    <n v="0.93939393939393945"/>
    <n v="0.27099959464937168"/>
  </r>
  <r>
    <n v="1192"/>
    <n v="0"/>
    <m/>
    <n v="741"/>
    <n v="865811"/>
    <n v="25"/>
    <n v="18759.27"/>
    <n v="15.1"/>
    <n v="15"/>
    <n v="230907"/>
    <n v="1036354"/>
    <x v="4"/>
    <s v="220c5eab-701c-4fa9-8f8b-df03dd549304"/>
    <s v="консолидация кредитов"/>
    <s v="в аренде"/>
    <s v="краткосрочный"/>
    <x v="0"/>
    <b v="0"/>
    <m/>
    <n v="0.93939393939393945"/>
    <n v="0.26000043889486274"/>
  </r>
  <r>
    <n v="1193"/>
    <n v="0"/>
    <n v="264286"/>
    <n v="723"/>
    <n v="1168044"/>
    <n v="0"/>
    <n v="14784.85"/>
    <n v="10.9"/>
    <n v="15"/>
    <n v="322221"/>
    <n v="495484"/>
    <x v="2"/>
    <s v="067e8864-ada5-4989-858b-f5a9463d73e7"/>
    <s v="консолидация кредитов"/>
    <s v="в аренде"/>
    <s v="краткосрочный"/>
    <x v="0"/>
    <b v="0"/>
    <n v="0.3160052758343847"/>
    <n v="0.83030303030303032"/>
    <n v="0.15189342182315049"/>
  </r>
  <r>
    <n v="1194"/>
    <n v="0"/>
    <n v="605836"/>
    <n v="746"/>
    <n v="1950863"/>
    <n v="0"/>
    <n v="39505.18"/>
    <n v="14"/>
    <n v="10"/>
    <n v="972154"/>
    <n v="1437612"/>
    <x v="1"/>
    <s v="dbe8e6bb-392c-4873-bfd8-1c1f4b41c8d2"/>
    <s v="консолидация кредитов"/>
    <s v="в ипотеке"/>
    <s v="краткосрочный"/>
    <x v="0"/>
    <b v="0"/>
    <n v="0.7611538020415185"/>
    <n v="0.96969696969696972"/>
    <n v="0.24300125636705397"/>
  </r>
  <r>
    <n v="1195"/>
    <n v="0"/>
    <m/>
    <n v="724"/>
    <n v="1246362"/>
    <n v="0"/>
    <n v="19007.03"/>
    <n v="9.8000000000000007"/>
    <n v="12"/>
    <n v="271111"/>
    <n v="346500"/>
    <x v="10"/>
    <s v="419e7529-dc25-443c-b3c0-00f7ab12d10e"/>
    <s v="консолидация кредитов"/>
    <s v="в ипотеке"/>
    <s v="краткосрочный"/>
    <x v="0"/>
    <b v="0"/>
    <m/>
    <n v="0.83636363636363631"/>
    <n v="0.18300009146620322"/>
  </r>
  <r>
    <n v="1196"/>
    <n v="0"/>
    <n v="223168"/>
    <n v="705"/>
    <n v="1252784"/>
    <n v="29"/>
    <n v="20566.55"/>
    <n v="17.8"/>
    <n v="26"/>
    <n v="236379"/>
    <n v="918434"/>
    <x v="8"/>
    <s v="020dd440-42ea-47c0-8fd1-4ce13904f5c8"/>
    <s v="медицинские препараты"/>
    <s v="в ипотеке"/>
    <s v="долгосрочный"/>
    <x v="0"/>
    <b v="0"/>
    <n v="0.26241541461176743"/>
    <n v="0.72121212121212119"/>
    <n v="0.19700012132977432"/>
  </r>
  <r>
    <n v="1197"/>
    <n v="0"/>
    <n v="359392"/>
    <n v="723"/>
    <n v="1168044"/>
    <n v="7"/>
    <n v="19534.849999999999"/>
    <n v="12"/>
    <n v="7"/>
    <n v="58539"/>
    <n v="396440"/>
    <x v="1"/>
    <s v="0d31509a-b754-46dd-8d97-649e98a2b234"/>
    <s v="иное"/>
    <s v="в ипотеке"/>
    <s v="долгосрочный"/>
    <x v="1"/>
    <b v="0"/>
    <n v="0.43995871086133731"/>
    <n v="0.83030303030303032"/>
    <n v="0.20069295334764783"/>
  </r>
  <r>
    <n v="1198"/>
    <n v="0"/>
    <m/>
    <n v="741"/>
    <n v="1652316"/>
    <n v="0"/>
    <n v="29879.21"/>
    <n v="13.7"/>
    <n v="14"/>
    <n v="286520"/>
    <n v="713482"/>
    <x v="5"/>
    <s v="59586d6f-a669-40df-b228-4b642130b0b3"/>
    <s v="консолидация кредитов"/>
    <s v="в аренде"/>
    <s v="краткосрочный"/>
    <x v="0"/>
    <b v="0"/>
    <m/>
    <n v="0.93939393939393945"/>
    <n v="0.2169987581068028"/>
  </r>
  <r>
    <n v="1199"/>
    <n v="0"/>
    <m/>
    <n v="744"/>
    <n v="2009573"/>
    <n v="57"/>
    <n v="4471.46"/>
    <n v="19"/>
    <n v="3"/>
    <n v="136800"/>
    <n v="477114"/>
    <x v="1"/>
    <s v="07326dcb-8d39-4822-a0f5-fe36ceba5d31"/>
    <s v="консолидация кредитов"/>
    <s v="в аренде"/>
    <s v="краткосрочный"/>
    <x v="0"/>
    <b v="0"/>
    <m/>
    <n v="0.95757575757575752"/>
    <n v="2.6700955874705723E-2"/>
  </r>
  <r>
    <n v="1200"/>
    <n v="0"/>
    <n v="343552"/>
    <n v="723"/>
    <n v="1168044"/>
    <n v="41"/>
    <n v="12334.23"/>
    <n v="18"/>
    <n v="7"/>
    <n v="160550"/>
    <n v="242704"/>
    <x v="10"/>
    <s v="ef838dab-52d7-419c-b66e-b16a2c051ddd"/>
    <s v="консолидация кредитов"/>
    <s v="в ипотеке"/>
    <s v="краткосрочный"/>
    <x v="0"/>
    <b v="0"/>
    <n v="0.41931414152999197"/>
    <n v="0.83030303030303032"/>
    <n v="0.12671676751903183"/>
  </r>
  <r>
    <n v="1201"/>
    <n v="0"/>
    <n v="415910"/>
    <n v="693"/>
    <n v="1126890"/>
    <n v="17"/>
    <n v="12301.93"/>
    <n v="12.2"/>
    <n v="7"/>
    <n v="221635"/>
    <n v="263230"/>
    <x v="10"/>
    <s v="fbf0a5bc-1f06-4e05-9b0b-cc6a4caf1f6c"/>
    <s v="ремонт жилья"/>
    <s v="в ипотеке"/>
    <s v="краткосрочный"/>
    <x v="1"/>
    <b v="0"/>
    <n v="0.51361968115609591"/>
    <n v="0.64848484848484844"/>
    <n v="0.13100050581689429"/>
  </r>
  <r>
    <n v="1202"/>
    <n v="0"/>
    <n v="424468"/>
    <n v="723"/>
    <n v="1168044"/>
    <n v="0"/>
    <n v="23842.53"/>
    <n v="13"/>
    <n v="11"/>
    <n v="192014"/>
    <n v="274164"/>
    <x v="3"/>
    <s v="073a3d8f-82c0-451c-8d7d-8a5ca3304dea"/>
    <s v="консолидация кредитов"/>
    <s v="в ипотеке"/>
    <s v="краткосрочный"/>
    <x v="1"/>
    <b v="0"/>
    <n v="0.52477348319761441"/>
    <n v="0.83030303030303032"/>
    <n v="0.24494827249658402"/>
  </r>
  <r>
    <n v="1203"/>
    <n v="0"/>
    <n v="324060"/>
    <n v="683"/>
    <n v="699656"/>
    <n v="78"/>
    <n v="15509.13"/>
    <n v="22"/>
    <n v="9"/>
    <n v="247646"/>
    <n v="669966"/>
    <x v="1"/>
    <s v="066064a0-41e5-42af-9824-a240adbcd8e6"/>
    <s v="консолидация кредитов"/>
    <s v="в собственности"/>
    <s v="долгосрочный"/>
    <x v="0"/>
    <b v="0"/>
    <n v="0.39390985204725315"/>
    <n v="0.58787878787878789"/>
    <n v="0.26600152074733868"/>
  </r>
  <r>
    <n v="1204"/>
    <n v="0"/>
    <m/>
    <n v="742"/>
    <n v="1400186"/>
    <n v="0"/>
    <n v="25203.119999999999"/>
    <n v="32.6"/>
    <n v="24"/>
    <n v="1021231"/>
    <n v="1504426"/>
    <x v="1"/>
    <s v="a1d70c6b-1a4d-45cf-a8fb-13eb137ce881"/>
    <s v="иное"/>
    <s v="в ипотеке"/>
    <s v="краткосрочный"/>
    <x v="0"/>
    <b v="0"/>
    <m/>
    <n v="0.94545454545454544"/>
    <n v="0.21599804597389202"/>
  </r>
  <r>
    <n v="1205"/>
    <n v="0"/>
    <n v="251614"/>
    <n v="723"/>
    <n v="1168044"/>
    <n v="63"/>
    <n v="5009.7299999999996"/>
    <n v="14"/>
    <n v="6"/>
    <n v="237424"/>
    <n v="356554"/>
    <x v="1"/>
    <s v="0df4174c-5242-470f-8f08-819da60b7ecc"/>
    <s v="консолидация кредитов"/>
    <s v="в аренде"/>
    <s v="краткосрочный"/>
    <x v="0"/>
    <b v="0"/>
    <n v="0.29948962036930843"/>
    <n v="0.83030303030303032"/>
    <n v="5.1467889908256875E-2"/>
  </r>
  <r>
    <n v="1206"/>
    <n v="1"/>
    <n v="412060"/>
    <n v="723"/>
    <n v="1168044"/>
    <n v="0"/>
    <n v="15418.5"/>
    <n v="25.5"/>
    <n v="11"/>
    <n v="270883"/>
    <n v="472384"/>
    <x v="1"/>
    <s v="618c7824-626c-49b2-b07c-d8c25eccee0f"/>
    <s v="консолидация кредитов"/>
    <s v="в ипотеке"/>
    <s v="долгосрочный"/>
    <x v="1"/>
    <b v="0"/>
    <n v="0.50860190388806059"/>
    <n v="0.83030303030303032"/>
    <n v="0.15840327932851844"/>
  </r>
  <r>
    <n v="1207"/>
    <n v="1"/>
    <n v="39006"/>
    <n v="717"/>
    <n v="291992"/>
    <n v="43"/>
    <n v="6034.4"/>
    <n v="22"/>
    <n v="8"/>
    <n v="27512"/>
    <n v="201630"/>
    <x v="1"/>
    <s v="de4d30d6-70ed-4189-82b2-41a9ab4824bc"/>
    <s v="консолидация кредитов"/>
    <s v="в аренде"/>
    <s v="краткосрочный"/>
    <x v="0"/>
    <b v="0"/>
    <n v="2.2393623121917651E-2"/>
    <n v="0.79393939393939394"/>
    <n v="0.2479958355023425"/>
  </r>
  <r>
    <n v="1208"/>
    <n v="0"/>
    <n v="67276"/>
    <n v="723"/>
    <n v="1168044"/>
    <n v="46"/>
    <n v="402.8"/>
    <n v="17.100000000000001"/>
    <n v="16"/>
    <n v="16283"/>
    <n v="38104"/>
    <x v="4"/>
    <s v="ae282cf8-130f-4d22-8165-0183b843543c"/>
    <s v="иное"/>
    <s v="в аренде"/>
    <s v="краткосрочный"/>
    <x v="0"/>
    <b v="0"/>
    <n v="5.9238444775777041E-2"/>
    <n v="0.83030303030303032"/>
    <n v="4.1382002732773763E-3"/>
  </r>
  <r>
    <n v="1209"/>
    <n v="0"/>
    <n v="175010"/>
    <n v="723"/>
    <n v="1168044"/>
    <n v="59"/>
    <n v="23390.33"/>
    <n v="24"/>
    <n v="10"/>
    <n v="677521"/>
    <n v="809600"/>
    <x v="6"/>
    <s v="95f14d81-ce05-44d8-9417-7fd20736d7b6"/>
    <s v="консолидация кредитов"/>
    <s v="в ипотеке"/>
    <s v="краткосрочный"/>
    <x v="0"/>
    <b v="0"/>
    <n v="0.19965018924188555"/>
    <n v="0.83030303030303032"/>
    <n v="0.2403025570954519"/>
  </r>
  <r>
    <n v="1210"/>
    <n v="0"/>
    <n v="232760"/>
    <n v="725"/>
    <n v="654493"/>
    <n v="51"/>
    <n v="13526.1"/>
    <n v="20.8"/>
    <n v="17"/>
    <n v="359195"/>
    <n v="938828"/>
    <x v="1"/>
    <s v="39fb4ac1-798f-4646-ae79-c3f2c22acd1c"/>
    <s v="консолидация кредитов"/>
    <s v="в ипотеке"/>
    <s v="краткосрочный"/>
    <x v="1"/>
    <b v="0"/>
    <n v="0.27491684826241541"/>
    <n v="0.84242424242424241"/>
    <n v="0.24799837431416377"/>
  </r>
  <r>
    <n v="1211"/>
    <n v="0"/>
    <n v="176528"/>
    <n v="702"/>
    <n v="1010021"/>
    <n v="0"/>
    <n v="4957.4799999999996"/>
    <n v="18.3"/>
    <n v="8"/>
    <n v="68096"/>
    <n v="463782"/>
    <x v="2"/>
    <s v="5570f76e-5113-460a-a5f8-6cc0b44a9b83"/>
    <s v="консолидация кредитов"/>
    <s v="в ипотеке"/>
    <s v="краткосрочный"/>
    <x v="0"/>
    <b v="0"/>
    <n v="0.20162862713613947"/>
    <n v="0.70303030303030301"/>
    <n v="5.8899527831599532E-2"/>
  </r>
  <r>
    <n v="1212"/>
    <n v="0"/>
    <n v="338162"/>
    <n v="695"/>
    <n v="753692"/>
    <n v="0"/>
    <n v="21040.6"/>
    <n v="19.2"/>
    <n v="14"/>
    <n v="524533"/>
    <n v="654478"/>
    <x v="10"/>
    <s v="575bad5b-ac46-43eb-8e4c-6edff7985a83"/>
    <s v="консолидация кредитов"/>
    <s v="в аренде"/>
    <s v="краткосрочный"/>
    <x v="0"/>
    <b v="0"/>
    <n v="0.41228925335474254"/>
    <n v="0.66060606060606064"/>
    <n v="0.33500050418473326"/>
  </r>
  <r>
    <n v="1213"/>
    <n v="0"/>
    <n v="486002"/>
    <n v="688"/>
    <n v="1217957"/>
    <n v="0"/>
    <n v="24866.63"/>
    <n v="18"/>
    <n v="12"/>
    <n v="511917"/>
    <n v="614240"/>
    <x v="4"/>
    <s v="38d74813-5774-4e82-95e0-fb3ef557e599"/>
    <s v="консолидация кредитов"/>
    <s v="в аренде"/>
    <s v="долгосрочный"/>
    <x v="0"/>
    <b v="0"/>
    <n v="0.60497190044729898"/>
    <n v="0.61818181818181817"/>
    <n v="0.2450000779994696"/>
  </r>
  <r>
    <n v="1214"/>
    <n v="1"/>
    <n v="46596"/>
    <n v="705"/>
    <n v="692664"/>
    <n v="0"/>
    <n v="10274.44"/>
    <n v="16.399999999999999"/>
    <n v="11"/>
    <n v="37430"/>
    <n v="361086"/>
    <x v="5"/>
    <s v="9358e279-5801-484b-87cb-ebef567bc122"/>
    <s v="консолидация кредитов"/>
    <s v="в аренде"/>
    <s v="краткосрочный"/>
    <x v="0"/>
    <b v="0"/>
    <n v="3.2285812593187295E-2"/>
    <n v="0.72121212121212119"/>
    <n v="0.17799868334430546"/>
  </r>
  <r>
    <n v="1215"/>
    <n v="0"/>
    <n v="311960"/>
    <n v="702"/>
    <n v="1393517"/>
    <n v="58"/>
    <n v="8779.14"/>
    <n v="13.5"/>
    <n v="14"/>
    <n v="115349"/>
    <n v="344212"/>
    <x v="1"/>
    <s v="6e8cf0e7-979a-4f14-a2fe-ba740d6ba278"/>
    <s v="консолидация кредитов"/>
    <s v="в ипотеке"/>
    <s v="долгосрочный"/>
    <x v="0"/>
    <b v="0"/>
    <n v="0.37813969491914212"/>
    <n v="0.70303030303030301"/>
    <n v="7.5599852746683377E-2"/>
  </r>
  <r>
    <n v="1216"/>
    <n v="1"/>
    <n v="71698"/>
    <n v="718"/>
    <n v="676324"/>
    <n v="54"/>
    <n v="3409.74"/>
    <n v="16.2"/>
    <n v="6"/>
    <n v="71744"/>
    <n v="180994"/>
    <x v="3"/>
    <s v="3b423e5c-b7e1-42f9-9157-487237d1c31b"/>
    <s v="консолидация кредитов"/>
    <s v="в ипотеке"/>
    <s v="краткосрочный"/>
    <x v="0"/>
    <b v="0"/>
    <n v="6.5001720380777617E-2"/>
    <n v="0.8"/>
    <n v="6.0498932464321829E-2"/>
  </r>
  <r>
    <n v="1217"/>
    <n v="1"/>
    <n v="329604"/>
    <n v="723"/>
    <n v="1168044"/>
    <n v="46"/>
    <n v="14648.05"/>
    <n v="28.7"/>
    <n v="15"/>
    <n v="644860"/>
    <n v="968462"/>
    <x v="1"/>
    <s v="e19b2b24-af9d-4b3a-a17e-8b583dc6e72a"/>
    <s v="консолидация кредитов"/>
    <s v="в ипотеке"/>
    <s v="краткосрочный"/>
    <x v="1"/>
    <b v="0"/>
    <n v="0.40113545131322398"/>
    <n v="0.83030303030303032"/>
    <n v="0.15048799531524495"/>
  </r>
  <r>
    <n v="1218"/>
    <n v="0"/>
    <n v="638660"/>
    <n v="656"/>
    <n v="1226032"/>
    <n v="49"/>
    <n v="26053.37"/>
    <n v="20.2"/>
    <n v="10"/>
    <n v="547143"/>
    <n v="1151876"/>
    <x v="8"/>
    <s v="666cc3ad-65fe-4708-9fd4-75910d6b5ccc"/>
    <s v="консолидация кредитов"/>
    <s v="в ипотеке"/>
    <s v="долгосрочный"/>
    <x v="0"/>
    <b v="0"/>
    <n v="0.80393393737813967"/>
    <n v="0.42424242424242425"/>
    <n v="0.25500185965782296"/>
  </r>
  <r>
    <n v="1219"/>
    <n v="0"/>
    <n v="548174"/>
    <n v="663"/>
    <n v="3467557"/>
    <n v="39"/>
    <n v="24272.880000000001"/>
    <n v="14"/>
    <n v="14"/>
    <n v="222300"/>
    <n v="503734"/>
    <x v="10"/>
    <s v="6706eabd-8728-4cbe-9893-145f3b22be1d"/>
    <s v="консолидация кредитов"/>
    <s v="в собственности"/>
    <s v="краткосрочный"/>
    <x v="0"/>
    <b v="0"/>
    <n v="0.68600183507282941"/>
    <n v="0.46666666666666667"/>
    <n v="8.3999934247656213E-2"/>
  </r>
  <r>
    <n v="1220"/>
    <n v="0"/>
    <n v="215974"/>
    <n v="741"/>
    <n v="1865230"/>
    <n v="35"/>
    <n v="25180.7"/>
    <n v="22.7"/>
    <n v="10"/>
    <n v="180215"/>
    <n v="356092"/>
    <x v="10"/>
    <s v="55034780-31c1-40bd-9c2c-e7898d360362"/>
    <s v="консолидация кредитов"/>
    <s v="в ипотеке"/>
    <s v="краткосрочный"/>
    <x v="0"/>
    <b v="0"/>
    <n v="0.25303933937378142"/>
    <n v="0.93939393939393945"/>
    <n v="0.16200061118467962"/>
  </r>
  <r>
    <n v="1221"/>
    <n v="2"/>
    <n v="731852"/>
    <n v="677"/>
    <n v="1438680"/>
    <n v="36"/>
    <n v="25057.01"/>
    <n v="22.4"/>
    <n v="11"/>
    <n v="106324"/>
    <n v="172172"/>
    <x v="1"/>
    <s v="c10cd4e0-1805-439b-b062-25a8df63396a"/>
    <s v="консолидация кредитов"/>
    <s v="в ипотеке"/>
    <s v="долгосрочный"/>
    <x v="0"/>
    <b v="0"/>
    <n v="0.92539282027755476"/>
    <n v="0.55151515151515151"/>
    <n v="0.20899999999999999"/>
  </r>
  <r>
    <n v="1222"/>
    <n v="0"/>
    <n v="563750"/>
    <n v="723"/>
    <n v="1168044"/>
    <n v="0"/>
    <n v="20351.47"/>
    <n v="14.1"/>
    <n v="8"/>
    <n v="284867"/>
    <n v="1110560"/>
    <x v="4"/>
    <s v="0ec0d182-cf8f-40db-9462-d4b374ea36df"/>
    <s v="консолидация кредитов"/>
    <s v="в аренде"/>
    <s v="краткосрочный"/>
    <x v="0"/>
    <b v="0"/>
    <n v="0.70630232824865236"/>
    <n v="0.83030303030303032"/>
    <n v="0.20908256880733947"/>
  </r>
  <r>
    <n v="1223"/>
    <n v="0"/>
    <n v="21824"/>
    <n v="748"/>
    <n v="622041"/>
    <n v="0"/>
    <n v="6163.6"/>
    <n v="15"/>
    <n v="6"/>
    <n v="15333"/>
    <n v="21824"/>
    <x v="4"/>
    <s v="48558568-496f-437f-b04b-6a99d8390fc3"/>
    <s v="крупная покупка"/>
    <s v="в аренде"/>
    <s v="краткосрочный"/>
    <x v="0"/>
    <b v="0"/>
    <n v="0"/>
    <n v="0.98181818181818181"/>
    <n v="0.11890405937872263"/>
  </r>
  <r>
    <n v="1224"/>
    <n v="0"/>
    <n v="255662"/>
    <n v="724"/>
    <n v="763040"/>
    <n v="0"/>
    <n v="14561.22"/>
    <n v="12.5"/>
    <n v="13"/>
    <n v="273714"/>
    <n v="395208"/>
    <x v="2"/>
    <s v="8147b8dc-d83b-449e-a7ef-8ffa03702f5d"/>
    <s v="консолидация кредитов"/>
    <s v="в аренде"/>
    <s v="краткосрочный"/>
    <x v="0"/>
    <b v="0"/>
    <n v="0.30476545475398553"/>
    <n v="0.83636363636363631"/>
    <n v="0.2289980079681275"/>
  </r>
  <r>
    <n v="1225"/>
    <n v="1"/>
    <m/>
    <n v="744"/>
    <n v="1107396"/>
    <n v="26"/>
    <n v="7714.95"/>
    <n v="10.4"/>
    <n v="6"/>
    <n v="101878"/>
    <n v="165924"/>
    <x v="2"/>
    <s v="15f9a4a2-d071-49f9-bef7-0a7b41e28d24"/>
    <s v="консолидация кредитов"/>
    <s v="в ипотеке"/>
    <s v="краткосрочный"/>
    <x v="0"/>
    <b v="0"/>
    <m/>
    <n v="0.95757575757575752"/>
    <n v="8.3600988264360715E-2"/>
  </r>
  <r>
    <n v="1226"/>
    <n v="0"/>
    <n v="467324"/>
    <n v="723"/>
    <n v="1326086"/>
    <n v="0"/>
    <n v="12266.21"/>
    <n v="14.4"/>
    <n v="7"/>
    <n v="410761"/>
    <n v="750178"/>
    <x v="1"/>
    <s v="d65533b4-2903-440e-8934-dbdf0e26fc88"/>
    <s v="консолидация кредитов"/>
    <s v="в ипотеке"/>
    <s v="долгосрочный"/>
    <x v="0"/>
    <b v="0"/>
    <n v="0.58062851244408764"/>
    <n v="0.83030303030303032"/>
    <n v="0.11099922629452387"/>
  </r>
  <r>
    <n v="1227"/>
    <n v="0"/>
    <n v="80234"/>
    <n v="730"/>
    <n v="461928"/>
    <n v="0"/>
    <n v="7660.23"/>
    <n v="8"/>
    <n v="12"/>
    <n v="47994"/>
    <n v="66880"/>
    <x v="4"/>
    <s v="5bad259c-eb19-49f6-acf8-b4fe2f24b700"/>
    <s v="консолидация кредитов"/>
    <s v="в аренде"/>
    <s v="краткосрочный"/>
    <x v="1"/>
    <b v="0"/>
    <n v="7.6126849409335937E-2"/>
    <n v="0.87272727272727268"/>
    <n v="0.19899802566633759"/>
  </r>
  <r>
    <n v="1228"/>
    <n v="0"/>
    <n v="377674"/>
    <n v="737"/>
    <n v="753084"/>
    <n v="0"/>
    <n v="14873.39"/>
    <n v="17.100000000000001"/>
    <n v="16"/>
    <n v="378670"/>
    <n v="2149312"/>
    <x v="7"/>
    <s v="a9742d60-56a6-4ab0-b3d9-b463eab995eb"/>
    <s v="консолидация кредитов"/>
    <s v="в ипотеке"/>
    <s v="краткосрочный"/>
    <x v="0"/>
    <b v="0"/>
    <n v="0.46378598463126508"/>
    <n v="0.91515151515151516"/>
    <n v="0.23699969724492884"/>
  </r>
  <r>
    <n v="1229"/>
    <n v="0"/>
    <n v="112508"/>
    <n v="746"/>
    <n v="2055515"/>
    <n v="0"/>
    <n v="5549.9"/>
    <n v="20.3"/>
    <n v="10"/>
    <n v="0"/>
    <n v="0"/>
    <x v="1"/>
    <s v="17baf7de-35aa-4755-90d7-fffc1eaeff3a"/>
    <s v="иное"/>
    <s v="в ипотеке"/>
    <s v="краткосрочный"/>
    <x v="0"/>
    <b v="0"/>
    <n v="0.11819015942195206"/>
    <n v="0.96969696969696972"/>
    <n v="3.2400055460553683E-2"/>
  </r>
  <r>
    <n v="1230"/>
    <n v="1"/>
    <n v="355124"/>
    <n v="701"/>
    <n v="1533528"/>
    <n v="53"/>
    <n v="22747.37"/>
    <n v="14.1"/>
    <n v="16"/>
    <n v="215308"/>
    <n v="951544"/>
    <x v="3"/>
    <s v="93774e00-bedb-4ce4-8582-9cb01c10b702"/>
    <s v="консолидация кредитов"/>
    <s v="в аренде"/>
    <s v="долгосрочный"/>
    <x v="0"/>
    <b v="0"/>
    <n v="0.43439614634705814"/>
    <n v="0.69696969696969702"/>
    <n v="0.17800029735355336"/>
  </r>
  <r>
    <n v="1231"/>
    <n v="0"/>
    <n v="761222"/>
    <n v="678"/>
    <n v="3287095"/>
    <n v="0"/>
    <n v="48758.559999999998"/>
    <n v="28.4"/>
    <n v="24"/>
    <n v="1740609"/>
    <n v="2883320"/>
    <x v="9"/>
    <s v="1042c873-8a49-420f-b62a-08dfcc71cb5e"/>
    <s v="консолидация кредитов"/>
    <s v="в ипотеке"/>
    <s v="долгосрочный"/>
    <x v="0"/>
    <b v="1"/>
    <n v="0.9636712925794243"/>
    <n v="0.55757575757575761"/>
    <n v="0.17799994219820237"/>
  </r>
  <r>
    <n v="1232"/>
    <n v="0"/>
    <n v="135124"/>
    <n v="737"/>
    <n v="583509"/>
    <n v="0"/>
    <n v="11816.1"/>
    <n v="25.6"/>
    <n v="17"/>
    <n v="229444"/>
    <n v="326348"/>
    <x v="1"/>
    <s v="a58b1f58-8799-4537-a014-14706d0abb55"/>
    <s v="ремонт жилья"/>
    <s v="в собственности"/>
    <s v="краткосрочный"/>
    <x v="1"/>
    <b v="0"/>
    <n v="0.14766601674503957"/>
    <n v="0.91515151515151516"/>
    <n v="0.24300087916381755"/>
  </r>
  <r>
    <n v="1233"/>
    <n v="0"/>
    <n v="66550"/>
    <n v="745"/>
    <n v="1245374"/>
    <n v="0"/>
    <n v="31756.98"/>
    <n v="14.8"/>
    <n v="14"/>
    <n v="265164"/>
    <n v="864886"/>
    <x v="1"/>
    <s v="d0a63fa7-5d32-4775-890a-8cd2e92faf24"/>
    <s v="ремонт жилья"/>
    <s v="в ипотеке"/>
    <s v="краткосрочный"/>
    <x v="0"/>
    <b v="0"/>
    <n v="5.8292235348090381E-2"/>
    <n v="0.96363636363636362"/>
    <n v="0.30599945076739998"/>
  </r>
  <r>
    <n v="1234"/>
    <n v="0"/>
    <n v="129668"/>
    <n v="744"/>
    <n v="466602"/>
    <n v="0"/>
    <n v="10887.19"/>
    <n v="23.4"/>
    <n v="9"/>
    <n v="129789"/>
    <n v="198770"/>
    <x v="1"/>
    <s v="7f9d9c68-622f-43bf-a2a6-54dff3c1836f"/>
    <s v="консолидация кредитов"/>
    <s v="в аренде"/>
    <s v="краткосрочный"/>
    <x v="1"/>
    <b v="0"/>
    <n v="0.14055510953090949"/>
    <n v="0.95757575757575752"/>
    <n v="0.27999511360860008"/>
  </r>
  <r>
    <n v="1235"/>
    <n v="0"/>
    <n v="216106"/>
    <n v="742"/>
    <n v="1343794"/>
    <n v="25"/>
    <n v="23202.799999999999"/>
    <n v="21.5"/>
    <n v="10"/>
    <n v="316160"/>
    <n v="527494"/>
    <x v="1"/>
    <s v="c5c7c00f-e785-4221-8204-e1959e5e6982"/>
    <s v="консолидация кредитов"/>
    <s v="в аренде"/>
    <s v="краткосрочный"/>
    <x v="0"/>
    <b v="0"/>
    <n v="0.2532113774515426"/>
    <n v="0.94545454545454544"/>
    <n v="0.20719961541724402"/>
  </r>
  <r>
    <n v="1236"/>
    <n v="0"/>
    <n v="443960"/>
    <n v="638"/>
    <n v="3163215"/>
    <n v="8"/>
    <n v="67218.39"/>
    <n v="15.5"/>
    <n v="17"/>
    <n v="120726"/>
    <n v="170874"/>
    <x v="6"/>
    <s v="957f81ed-be3c-4d28-8786-8de65160c78d"/>
    <s v="иное"/>
    <s v="в ипотеке"/>
    <s v="долгосрочный"/>
    <x v="0"/>
    <b v="1"/>
    <n v="0.55017777268035328"/>
    <n v="0.31515151515151513"/>
    <n v="0.25500027029462113"/>
  </r>
  <r>
    <n v="1237"/>
    <n v="0"/>
    <n v="128986"/>
    <n v="747"/>
    <n v="1142622"/>
    <n v="0"/>
    <n v="16472.810000000001"/>
    <n v="11.4"/>
    <n v="10"/>
    <n v="28994"/>
    <n v="107910"/>
    <x v="4"/>
    <s v="c5d1ed0a-01b1-465f-bc67-93ad442e9ecf"/>
    <s v="консолидация кредитов"/>
    <s v="в собственности"/>
    <s v="краткосрочный"/>
    <x v="1"/>
    <b v="0"/>
    <n v="0.13966624612914325"/>
    <n v="0.97575757575757571"/>
    <n v="0.1730000997705278"/>
  </r>
  <r>
    <n v="1238"/>
    <n v="0"/>
    <n v="554906"/>
    <n v="596"/>
    <n v="3833820"/>
    <n v="0"/>
    <n v="30510.959999999999"/>
    <n v="45.3"/>
    <n v="29"/>
    <n v="568936"/>
    <n v="1438360"/>
    <x v="8"/>
    <s v="47ffb722-c5ef-428c-a9e9-697e9b89b36c"/>
    <s v="консолидация кредитов"/>
    <s v="в аренде"/>
    <s v="долгосрочный"/>
    <x v="0"/>
    <b v="0"/>
    <n v="0.69477577703865123"/>
    <n v="6.0606060606060608E-2"/>
    <n v="9.5500446030330061E-2"/>
  </r>
  <r>
    <n v="1239"/>
    <n v="0"/>
    <n v="624250"/>
    <n v="702"/>
    <n v="2672540"/>
    <n v="0"/>
    <n v="23384.63"/>
    <n v="29"/>
    <n v="15"/>
    <n v="495216"/>
    <n v="864864"/>
    <x v="7"/>
    <s v="e2e48aed-a63a-4e86-b726-eeaac2163064"/>
    <s v="консолидация кредитов"/>
    <s v="в ипотеке"/>
    <s v="долгосрочный"/>
    <x v="0"/>
    <b v="0"/>
    <n v="0.7851531138892075"/>
    <n v="0.70303030303030301"/>
    <n v="0.10499957343949951"/>
  </r>
  <r>
    <n v="1240"/>
    <n v="0"/>
    <m/>
    <n v="734"/>
    <n v="456589"/>
    <n v="0"/>
    <n v="4489.8900000000003"/>
    <n v="19.600000000000001"/>
    <n v="8"/>
    <n v="2907"/>
    <n v="13222"/>
    <x v="5"/>
    <s v="187eb9b2-aaec-4360-8a20-195d00a39cb8"/>
    <s v="оплата обучения"/>
    <s v="в собственности"/>
    <s v="краткосрочный"/>
    <x v="0"/>
    <b v="0"/>
    <m/>
    <n v="0.89696969696969697"/>
    <n v="0.11800258000083226"/>
  </r>
  <r>
    <n v="1241"/>
    <n v="0"/>
    <m/>
    <n v="747"/>
    <n v="2157906"/>
    <n v="74"/>
    <n v="11149.2"/>
    <n v="36"/>
    <n v="18"/>
    <n v="257526"/>
    <n v="1192730"/>
    <x v="6"/>
    <s v="26877bff-3569-4024-a7e2-af24ae637977"/>
    <s v="иное"/>
    <s v="в ипотеке"/>
    <s v="краткосрочный"/>
    <x v="0"/>
    <b v="0"/>
    <m/>
    <n v="0.97575757575757571"/>
    <n v="6.2000105657985104E-2"/>
  </r>
  <r>
    <n v="1242"/>
    <n v="0"/>
    <n v="366014"/>
    <n v="726"/>
    <n v="1072493"/>
    <n v="0"/>
    <n v="21271.07"/>
    <n v="15"/>
    <n v="16"/>
    <n v="156997"/>
    <n v="646932"/>
    <x v="4"/>
    <s v="22435cfd-b071-455f-901a-dd2a9d3eda3c"/>
    <s v="консолидация кредитов"/>
    <s v="в ипотеке"/>
    <s v="долгосрочный"/>
    <x v="1"/>
    <b v="0"/>
    <n v="0.44858928776235807"/>
    <n v="0.84848484848484851"/>
    <n v="0.23799953939093307"/>
  </r>
  <r>
    <n v="1243"/>
    <n v="0"/>
    <n v="334290"/>
    <n v="723"/>
    <n v="1168044"/>
    <n v="0"/>
    <n v="10826.39"/>
    <n v="15.4"/>
    <n v="12"/>
    <n v="0"/>
    <n v="0"/>
    <x v="4"/>
    <s v="47110b7f-da2c-4574-a1cf-dd1ea84ce804"/>
    <s v="иное"/>
    <s v="в аренде"/>
    <s v="краткосрочный"/>
    <x v="0"/>
    <b v="0"/>
    <n v="0.407242803073747"/>
    <n v="0.83030303030303032"/>
    <n v="0.11122584423189537"/>
  </r>
  <r>
    <n v="1244"/>
    <n v="0"/>
    <n v="154594"/>
    <n v="723"/>
    <n v="1168044"/>
    <n v="0"/>
    <n v="10075.51"/>
    <n v="12.7"/>
    <n v="7"/>
    <n v="97280"/>
    <n v="255420"/>
    <x v="1"/>
    <s v="cd02c9c2-4702-4252-9e7c-5e7577942a3a"/>
    <s v="консолидация кредитов"/>
    <s v="в собственности"/>
    <s v="краткосрочный"/>
    <x v="0"/>
    <b v="0"/>
    <n v="0.17304163321481822"/>
    <n v="0.83030303030303032"/>
    <n v="0.10351161428850283"/>
  </r>
  <r>
    <n v="1245"/>
    <n v="0"/>
    <n v="661188"/>
    <n v="690"/>
    <n v="5139234"/>
    <n v="3"/>
    <n v="31434.93"/>
    <n v="29.3"/>
    <n v="16"/>
    <n v="275424"/>
    <n v="791362"/>
    <x v="1"/>
    <s v="54d8a404-711d-44dd-8226-cd94ac5afe1f"/>
    <s v="приобретение жилья"/>
    <s v="в аренде"/>
    <s v="долгосрочный"/>
    <x v="0"/>
    <b v="0"/>
    <n v="0.83329510264938644"/>
    <n v="0.63030303030303025"/>
    <n v="7.3399880215611904E-2"/>
  </r>
  <r>
    <n v="1246"/>
    <n v="0"/>
    <n v="501138"/>
    <n v="713"/>
    <n v="1518632"/>
    <n v="0"/>
    <n v="14679.97"/>
    <n v="13.5"/>
    <n v="8"/>
    <n v="584155"/>
    <n v="1184568"/>
    <x v="7"/>
    <s v="31ab777c-c885-45fb-a0d4-471a6a144d69"/>
    <s v="консолидация кредитов"/>
    <s v="в ипотеке"/>
    <s v="долгосрочный"/>
    <x v="0"/>
    <b v="0"/>
    <n v="0.62469893336391791"/>
    <n v="0.76969696969696966"/>
    <n v="0.11599889900910819"/>
  </r>
  <r>
    <n v="1247"/>
    <n v="0"/>
    <n v="555170"/>
    <n v="684"/>
    <n v="1150716"/>
    <n v="0"/>
    <n v="23014.32"/>
    <n v="32.299999999999997"/>
    <n v="11"/>
    <n v="172691"/>
    <n v="333256"/>
    <x v="3"/>
    <s v="3b501624-1455-4427-96f4-2b92411e9652"/>
    <s v="консолидация кредитов"/>
    <s v="в ипотеке"/>
    <s v="долгосрочный"/>
    <x v="0"/>
    <b v="0"/>
    <n v="0.69511985319417369"/>
    <n v="0.59393939393939399"/>
    <n v="0.24"/>
  </r>
  <r>
    <n v="1248"/>
    <n v="0"/>
    <n v="51414"/>
    <n v="744"/>
    <n v="386118"/>
    <n v="29"/>
    <n v="6885.79"/>
    <n v="28.8"/>
    <n v="7"/>
    <n v="27360"/>
    <n v="94006"/>
    <x v="6"/>
    <s v="8cb62404-9df4-4102-ae2a-78a19389f9bc"/>
    <s v="консолидация кредитов"/>
    <s v="в аренде"/>
    <s v="краткосрочный"/>
    <x v="0"/>
    <b v="0"/>
    <n v="3.8565202431471497E-2"/>
    <n v="0.95757575757575752"/>
    <n v="0.21400059049306169"/>
  </r>
  <r>
    <n v="1249"/>
    <n v="0"/>
    <n v="263714"/>
    <n v="717"/>
    <n v="4744775"/>
    <n v="55"/>
    <n v="72357.89"/>
    <n v="34.5"/>
    <n v="10"/>
    <n v="594738"/>
    <n v="760078"/>
    <x v="0"/>
    <s v="09551bce-da2c-4512-b811-6c32a07c11c8"/>
    <s v="консолидация кредитов"/>
    <s v="в ипотеке"/>
    <s v="долгосрочный"/>
    <x v="0"/>
    <b v="1"/>
    <n v="0.3152597774974194"/>
    <n v="0.79393939393939394"/>
    <n v="0.18300018019821804"/>
  </r>
  <r>
    <n v="1250"/>
    <n v="0"/>
    <n v="327294"/>
    <n v="738"/>
    <n v="1224873"/>
    <n v="0"/>
    <n v="19189.62"/>
    <n v="11.3"/>
    <n v="8"/>
    <n v="127775"/>
    <n v="294734"/>
    <x v="5"/>
    <s v="ad04e26e-bc99-4680-967a-a19f809993c6"/>
    <s v="ремонт жилья"/>
    <s v="в ипотеке"/>
    <s v="краткосрочный"/>
    <x v="0"/>
    <b v="0"/>
    <n v="0.39812478495240278"/>
    <n v="0.92121212121212126"/>
    <n v="0.18799944157475917"/>
  </r>
  <r>
    <n v="1251"/>
    <n v="0"/>
    <n v="195096"/>
    <n v="717"/>
    <n v="664468"/>
    <n v="0"/>
    <n v="14950.53"/>
    <n v="28.6"/>
    <n v="15"/>
    <n v="179094"/>
    <n v="296670"/>
    <x v="7"/>
    <s v="a8215401-eadb-488c-9775-578794150174"/>
    <s v="консолидация кредитов"/>
    <s v="в аренде"/>
    <s v="краткосрочный"/>
    <x v="0"/>
    <b v="0"/>
    <n v="0.22582865007454983"/>
    <n v="0.79393939393939394"/>
    <n v="0.27"/>
  </r>
  <r>
    <n v="1252"/>
    <n v="0"/>
    <n v="212256"/>
    <n v="727"/>
    <n v="907212"/>
    <n v="0"/>
    <n v="20261.22"/>
    <n v="14.1"/>
    <n v="6"/>
    <n v="265164"/>
    <n v="348898"/>
    <x v="6"/>
    <s v="0c03bf72-7ce6-4ba9-a929-e4103da5dba5"/>
    <s v="консолидация кредитов"/>
    <s v="в аренде"/>
    <s v="краткосрочный"/>
    <x v="0"/>
    <b v="0"/>
    <n v="0.24819360018350728"/>
    <n v="0.8545454545454545"/>
    <n v="0.26800201055541595"/>
  </r>
  <r>
    <n v="1253"/>
    <n v="0"/>
    <m/>
    <n v="738"/>
    <n v="1147524"/>
    <n v="3"/>
    <n v="27731.83"/>
    <n v="11.4"/>
    <n v="16"/>
    <n v="143488"/>
    <n v="433752"/>
    <x v="4"/>
    <s v="34d7bc55-4b3e-4587-8c80-dce023c9be6c"/>
    <s v="консолидация кредитов"/>
    <s v="в ипотеке"/>
    <s v="краткосрочный"/>
    <x v="0"/>
    <b v="0"/>
    <m/>
    <n v="0.92121212121212126"/>
    <n v="0.29000000000000004"/>
  </r>
  <r>
    <n v="1254"/>
    <n v="0"/>
    <n v="120274"/>
    <n v="747"/>
    <n v="779095"/>
    <n v="0"/>
    <n v="13504.25"/>
    <n v="16.5"/>
    <n v="14"/>
    <n v="308693"/>
    <n v="981948"/>
    <x v="1"/>
    <s v="9b904ba2-1fd1-4b7f-94d6-018682203871"/>
    <s v="консолидация кредитов"/>
    <s v="в ипотеке"/>
    <s v="краткосрочный"/>
    <x v="0"/>
    <b v="0"/>
    <n v="0.12831173299690332"/>
    <n v="0.97575757575757571"/>
    <n v="0.20799902450920618"/>
  </r>
  <r>
    <n v="1255"/>
    <n v="0"/>
    <n v="218878"/>
    <n v="747"/>
    <n v="1058642"/>
    <n v="0"/>
    <n v="11115.76"/>
    <n v="16.2"/>
    <n v="9"/>
    <n v="15086"/>
    <n v="356466"/>
    <x v="5"/>
    <s v="839feba9-0007-417c-917e-802af3aac580"/>
    <s v="ремонт жилья"/>
    <s v="в собственности"/>
    <s v="краткосрочный"/>
    <x v="0"/>
    <b v="0"/>
    <n v="0.25682417708452804"/>
    <n v="0.97575757575757571"/>
    <n v="0.12600021537025735"/>
  </r>
  <r>
    <n v="1256"/>
    <n v="0"/>
    <n v="197032"/>
    <n v="723"/>
    <n v="1168044"/>
    <n v="20"/>
    <n v="22156.09"/>
    <n v="16.5"/>
    <n v="19"/>
    <n v="210463"/>
    <n v="476872"/>
    <x v="8"/>
    <s v="71cf355b-6a1d-450d-8e0e-c9dbf4e945c5"/>
    <s v="консолидация кредитов"/>
    <s v="в ипотеке"/>
    <s v="краткосрочный"/>
    <x v="0"/>
    <b v="0"/>
    <n v="0.2283518752150476"/>
    <n v="0.83030303030303032"/>
    <n v="0.2276224868241265"/>
  </r>
  <r>
    <n v="1257"/>
    <n v="0"/>
    <n v="186362"/>
    <n v="708"/>
    <n v="492328"/>
    <n v="0"/>
    <n v="8492.6200000000008"/>
    <n v="17.3"/>
    <n v="8"/>
    <n v="221255"/>
    <n v="326766"/>
    <x v="4"/>
    <s v="0c006a8d-9e9d-4e10-abd8-a213d7766b8c"/>
    <s v="консолидация кредитов"/>
    <s v="в собственности"/>
    <s v="краткосрочный"/>
    <x v="1"/>
    <b v="0"/>
    <n v="0.21444546392934968"/>
    <n v="0.73939393939393938"/>
    <n v="0.20699907378820626"/>
  </r>
  <r>
    <n v="1258"/>
    <n v="0"/>
    <n v="233508"/>
    <n v="723"/>
    <n v="1168044"/>
    <n v="0"/>
    <n v="6644.49"/>
    <n v="14.4"/>
    <n v="12"/>
    <n v="213731"/>
    <n v="966724"/>
    <x v="2"/>
    <s v="4dc21984-2dc1-492c-bd1f-c0bb2bc51f0e"/>
    <s v="консолидация кредитов"/>
    <s v="в собственности"/>
    <s v="краткосрочный"/>
    <x v="0"/>
    <b v="0"/>
    <n v="0.27589173070306228"/>
    <n v="0.83030303030303032"/>
    <n v="6.8262736677727892E-2"/>
  </r>
  <r>
    <n v="1259"/>
    <n v="0"/>
    <n v="35816"/>
    <n v="720"/>
    <n v="1198501"/>
    <n v="0"/>
    <n v="20074.830000000002"/>
    <n v="13.5"/>
    <n v="13"/>
    <n v="413098"/>
    <n v="501380"/>
    <x v="9"/>
    <s v="4cfb59ad-828c-42d2-9ba7-cf242f2845bc"/>
    <s v="иное"/>
    <s v="в аренде"/>
    <s v="краткосрочный"/>
    <x v="0"/>
    <b v="0"/>
    <n v="1.823603624268838E-2"/>
    <n v="0.81212121212121213"/>
    <n v="0.20099938172767484"/>
  </r>
  <r>
    <n v="1260"/>
    <n v="0"/>
    <m/>
    <n v="657"/>
    <n v="929518"/>
    <n v="0"/>
    <n v="12548.55"/>
    <n v="16.899999999999999"/>
    <n v="18"/>
    <n v="263549"/>
    <n v="521642"/>
    <x v="7"/>
    <s v="9e673c26-e703-48cb-81a6-a6756684a219"/>
    <s v="консолидация кредитов"/>
    <s v="в аренде"/>
    <s v="краткосрочный"/>
    <x v="0"/>
    <b v="0"/>
    <m/>
    <n v="0.4303030303030303"/>
    <n v="0.1620007358652549"/>
  </r>
  <r>
    <n v="1261"/>
    <n v="0"/>
    <n v="693660"/>
    <n v="673"/>
    <n v="2957863"/>
    <n v="37"/>
    <n v="55460.05"/>
    <n v="21.3"/>
    <n v="22"/>
    <n v="350151"/>
    <n v="630542"/>
    <x v="1"/>
    <s v="32b9f205-1f85-4fc9-ace0-8e0e52ee309d"/>
    <s v="консолидация кредитов"/>
    <s v="в ипотеке"/>
    <s v="долгосрочный"/>
    <x v="0"/>
    <b v="1"/>
    <n v="0.87561646977864438"/>
    <n v="0.52727272727272723"/>
    <n v="0.22500048176673498"/>
  </r>
  <r>
    <n v="1262"/>
    <n v="0"/>
    <n v="48268"/>
    <n v="720"/>
    <n v="217911"/>
    <n v="29"/>
    <n v="4013.18"/>
    <n v="7.4"/>
    <n v="6"/>
    <n v="71782"/>
    <n v="138292"/>
    <x v="4"/>
    <s v="f751cace-c532-4677-998d-a9d74a8d9806"/>
    <s v="иное"/>
    <s v="в собственности"/>
    <s v="краткосрочный"/>
    <x v="1"/>
    <b v="0"/>
    <n v="3.4464961578162631E-2"/>
    <n v="0.81212121212121213"/>
    <n v="0.22099921527596128"/>
  </r>
  <r>
    <n v="1263"/>
    <n v="0"/>
    <n v="786940"/>
    <n v="723"/>
    <n v="1168044"/>
    <n v="0"/>
    <n v="36821.43"/>
    <n v="33"/>
    <n v="19"/>
    <n v="1061967"/>
    <n v="1779514"/>
    <x v="9"/>
    <s v="27e215bd-7daf-40ce-ace8-5b5568e62eed"/>
    <s v="консолидация кредитов"/>
    <s v="в ипотеке"/>
    <s v="краткосрочный"/>
    <x v="0"/>
    <b v="0"/>
    <n v="0.99719004472990025"/>
    <n v="0.83030303030303032"/>
    <n v="0.37828811243412064"/>
  </r>
  <r>
    <n v="1264"/>
    <n v="0"/>
    <n v="142912"/>
    <n v="723"/>
    <n v="1168044"/>
    <n v="37"/>
    <n v="6147.64"/>
    <n v="9.5"/>
    <n v="7"/>
    <n v="123291"/>
    <n v="301158"/>
    <x v="5"/>
    <s v="51015fd2-7eaa-4996-bddc-2a99b3cf9dbe"/>
    <s v="консолидация кредитов"/>
    <s v="в аренде"/>
    <s v="краткосрочный"/>
    <x v="1"/>
    <b v="0"/>
    <n v="0.15781626333295104"/>
    <n v="0.83030303030303032"/>
    <n v="6.3158305680265467E-2"/>
  </r>
  <r>
    <n v="1265"/>
    <n v="0"/>
    <n v="107360"/>
    <n v="723"/>
    <n v="1168044"/>
    <n v="0"/>
    <n v="8793.58"/>
    <n v="16.7"/>
    <n v="12"/>
    <n v="94943"/>
    <n v="488576"/>
    <x v="1"/>
    <s v="8d74cf56-941a-41b4-bb8b-5bda59397a1a"/>
    <s v="ремонт жилья"/>
    <s v="в собственности"/>
    <s v="краткосрочный"/>
    <x v="1"/>
    <b v="0"/>
    <n v="0.11148067438926483"/>
    <n v="0.83030303030303032"/>
    <n v="9.0341596720671477E-2"/>
  </r>
  <r>
    <n v="1266"/>
    <n v="0"/>
    <n v="317152"/>
    <n v="713"/>
    <n v="972990"/>
    <n v="0"/>
    <n v="18567.939999999999"/>
    <n v="12.4"/>
    <n v="7"/>
    <n v="484234"/>
    <n v="797588"/>
    <x v="1"/>
    <s v="cdaade7b-fce4-430c-96ab-cc072212088c"/>
    <s v="иное"/>
    <s v="в ипотеке"/>
    <s v="краткосрочный"/>
    <x v="1"/>
    <b v="0"/>
    <n v="0.38490652597774977"/>
    <n v="0.76969696969696966"/>
    <n v="0.22900058582308142"/>
  </r>
  <r>
    <n v="1267"/>
    <n v="2"/>
    <n v="386408"/>
    <n v="709"/>
    <n v="1019711"/>
    <n v="72"/>
    <n v="19289.560000000001"/>
    <n v="23.5"/>
    <n v="8"/>
    <n v="429419"/>
    <n v="798116"/>
    <x v="10"/>
    <s v="bd4174b5-b81c-48d5-84a2-efce7273360e"/>
    <s v="консолидация кредитов"/>
    <s v="в аренде"/>
    <s v="долгосрочный"/>
    <x v="1"/>
    <b v="0"/>
    <n v="0.4751691707764652"/>
    <n v="0.74545454545454548"/>
    <n v="0.22700031675641433"/>
  </r>
  <r>
    <n v="1268"/>
    <n v="1"/>
    <n v="152746"/>
    <n v="699"/>
    <n v="1225006"/>
    <n v="0"/>
    <n v="10718.66"/>
    <n v="13.8"/>
    <n v="12"/>
    <n v="103968"/>
    <n v="159258"/>
    <x v="2"/>
    <s v="07693021-ce94-437a-a82f-2b8483a769ce"/>
    <s v="консолидация кредитов"/>
    <s v="в ипотеке"/>
    <s v="краткосрочный"/>
    <x v="0"/>
    <b v="0"/>
    <n v="0.17063310012616126"/>
    <n v="0.68484848484848482"/>
    <n v="0.10499860408846977"/>
  </r>
  <r>
    <n v="1269"/>
    <n v="0"/>
    <n v="264748"/>
    <n v="744"/>
    <n v="1238458"/>
    <n v="44"/>
    <n v="11971.71"/>
    <n v="11.8"/>
    <n v="10"/>
    <n v="275443"/>
    <n v="540584"/>
    <x v="4"/>
    <s v="06eadc94-9408-4b48-9520-38864489871f"/>
    <s v="консолидация кредитов"/>
    <s v="в аренде"/>
    <s v="краткосрочный"/>
    <x v="0"/>
    <b v="0"/>
    <n v="0.31660740910654894"/>
    <n v="0.95757575757575752"/>
    <n v="0.11599950906692032"/>
  </r>
  <r>
    <n v="1270"/>
    <n v="0"/>
    <n v="325248"/>
    <n v="723"/>
    <n v="1168044"/>
    <n v="53"/>
    <n v="14561.98"/>
    <n v="26.9"/>
    <n v="23"/>
    <n v="452219"/>
    <n v="1407604"/>
    <x v="1"/>
    <s v="70ced9d2-7718-4201-a94b-1a1067142ffb"/>
    <s v="иное"/>
    <s v="в аренде"/>
    <s v="долгосрочный"/>
    <x v="1"/>
    <b v="0"/>
    <n v="0.39545819474710403"/>
    <n v="0.83030303030303032"/>
    <n v="0.14960374780402108"/>
  </r>
  <r>
    <n v="1271"/>
    <n v="0"/>
    <n v="313456"/>
    <n v="710"/>
    <n v="932482"/>
    <n v="34"/>
    <n v="20980.75"/>
    <n v="17.899999999999999"/>
    <n v="7"/>
    <n v="527554"/>
    <n v="725494"/>
    <x v="1"/>
    <s v="8b7827e2-15a3-451c-8f4f-17858c5e81fc"/>
    <s v="консолидация кредитов"/>
    <s v="в ипотеке"/>
    <s v="краткосрочный"/>
    <x v="0"/>
    <b v="0"/>
    <n v="0.38008945980043585"/>
    <n v="0.75151515151515147"/>
    <n v="0.26999877745629408"/>
  </r>
  <r>
    <n v="1272"/>
    <n v="1"/>
    <n v="130064"/>
    <n v="738"/>
    <n v="936130"/>
    <n v="77"/>
    <n v="11389.55"/>
    <n v="25.9"/>
    <n v="8"/>
    <n v="53656"/>
    <n v="119262"/>
    <x v="1"/>
    <s v="25410b76-2896-48b4-ae77-a1e30c7f2089"/>
    <s v="ремонт жилья"/>
    <s v="в ипотеке"/>
    <s v="краткосрочный"/>
    <x v="0"/>
    <b v="0"/>
    <n v="0.14107122376419315"/>
    <n v="0.92121212121212126"/>
    <n v="0.14599959407347271"/>
  </r>
  <r>
    <n v="1273"/>
    <n v="0"/>
    <n v="43626"/>
    <n v="696"/>
    <n v="1676465"/>
    <n v="0"/>
    <n v="19418.95"/>
    <n v="11.3"/>
    <n v="12"/>
    <n v="212553"/>
    <n v="318384"/>
    <x v="8"/>
    <s v="a5ab2a03-4e66-4a0b-ba2e-b77cee28cb93"/>
    <s v="иное"/>
    <s v="в ипотеке"/>
    <s v="краткосрочный"/>
    <x v="0"/>
    <b v="0"/>
    <n v="2.841495584356004E-2"/>
    <n v="0.66666666666666663"/>
    <n v="0.13899926333087778"/>
  </r>
  <r>
    <n v="1274"/>
    <n v="0"/>
    <n v="108174"/>
    <n v="750"/>
    <n v="1603144"/>
    <n v="0"/>
    <n v="10580.72"/>
    <n v="37.799999999999997"/>
    <n v="7"/>
    <n v="35017"/>
    <n v="737154"/>
    <x v="1"/>
    <s v="1cc6e22c-5007-408e-ad2d-eed48279474a"/>
    <s v="консолидация кредитов"/>
    <s v="в собственности"/>
    <s v="краткосрочный"/>
    <x v="0"/>
    <b v="0"/>
    <n v="0.11254157586879229"/>
    <n v="0.9939393939393939"/>
    <n v="7.9199772447141353E-2"/>
  </r>
  <r>
    <n v="1275"/>
    <n v="0"/>
    <n v="445192"/>
    <n v="707"/>
    <n v="1230345"/>
    <n v="0"/>
    <n v="18250.07"/>
    <n v="21.2"/>
    <n v="20"/>
    <n v="226879"/>
    <n v="788898"/>
    <x v="1"/>
    <s v="4c5b171c-40d9-4cb9-beab-27bbc3bce9d3"/>
    <s v="консолидация кредитов"/>
    <s v="в ипотеке"/>
    <s v="долгосрочный"/>
    <x v="0"/>
    <b v="0"/>
    <n v="0.55178346140612455"/>
    <n v="0.73333333333333328"/>
    <n v="0.17799953671531155"/>
  </r>
  <r>
    <n v="1276"/>
    <n v="0"/>
    <n v="331562"/>
    <n v="723"/>
    <n v="1168044"/>
    <n v="5"/>
    <n v="17562.080000000002"/>
    <n v="12.6"/>
    <n v="17"/>
    <n v="344014"/>
    <n v="543422"/>
    <x v="3"/>
    <s v="84f6332f-91a2-47d0-9212-09c33c60ec63"/>
    <s v="консолидация кредитов"/>
    <s v="в ипотеке"/>
    <s v="краткосрочный"/>
    <x v="0"/>
    <b v="0"/>
    <n v="0.40368734946668194"/>
    <n v="0.83030303030303032"/>
    <n v="0.18042553191489363"/>
  </r>
  <r>
    <n v="1277"/>
    <n v="0"/>
    <n v="219758"/>
    <n v="708"/>
    <n v="873031"/>
    <n v="23"/>
    <n v="17751.7"/>
    <n v="19.2"/>
    <n v="8"/>
    <n v="76114"/>
    <n v="98912"/>
    <x v="5"/>
    <s v="45809eb7-4537-40bd-84aa-820f7ab277c7"/>
    <s v="консолидация кредитов"/>
    <s v="в ипотеке"/>
    <s v="краткосрочный"/>
    <x v="0"/>
    <b v="0"/>
    <n v="0.25797109760293613"/>
    <n v="0.73939393939393938"/>
    <n v="0.24400095758340773"/>
  </r>
  <r>
    <n v="1278"/>
    <n v="0"/>
    <n v="127952"/>
    <n v="733"/>
    <n v="1222536"/>
    <n v="58"/>
    <n v="16076.28"/>
    <n v="22.1"/>
    <n v="8"/>
    <n v="92169"/>
    <n v="268136"/>
    <x v="10"/>
    <s v="3b4fc8db-2218-4c9d-9824-ca06626e0211"/>
    <s v="консолидация кредитов"/>
    <s v="в ипотеке"/>
    <s v="долгосрочный"/>
    <x v="1"/>
    <b v="0"/>
    <n v="0.13831861452001376"/>
    <n v="0.89090909090909087"/>
    <n v="0.15779932860872808"/>
  </r>
  <r>
    <n v="1279"/>
    <n v="0"/>
    <n v="699006"/>
    <n v="707"/>
    <n v="1886510"/>
    <n v="0"/>
    <n v="16349.88"/>
    <n v="15.4"/>
    <n v="6"/>
    <n v="18411"/>
    <n v="204996"/>
    <x v="4"/>
    <s v="a2e3645c-dac6-4f31-8e42-99d76e20aa78"/>
    <s v="консолидация кредитов"/>
    <s v="в аренде"/>
    <s v="долгосрочный"/>
    <x v="0"/>
    <b v="0"/>
    <n v="0.88258401192797342"/>
    <n v="0.73333333333333328"/>
    <n v="0.10400080572061637"/>
  </r>
  <r>
    <n v="1280"/>
    <n v="0"/>
    <n v="191092"/>
    <n v="728"/>
    <n v="1875490"/>
    <n v="14"/>
    <n v="20161.47"/>
    <n v="15.6"/>
    <n v="12"/>
    <n v="231914"/>
    <n v="568942"/>
    <x v="1"/>
    <s v="f4c5fe16-e3e8-43cb-8253-1d28c25770e7"/>
    <s v="консолидация кредитов"/>
    <s v="в ипотеке"/>
    <s v="краткосрочный"/>
    <x v="0"/>
    <b v="0"/>
    <n v="0.22061016171579309"/>
    <n v="0.8606060606060606"/>
    <n v="0.12899969607942458"/>
  </r>
  <r>
    <n v="1281"/>
    <n v="1"/>
    <n v="66484"/>
    <n v="723"/>
    <n v="1168044"/>
    <n v="37"/>
    <n v="2795.28"/>
    <n v="29.1"/>
    <n v="11"/>
    <n v="81529"/>
    <n v="166188"/>
    <x v="1"/>
    <s v="f0a14b11-fba2-4ebc-a49a-09a27fb0cc40"/>
    <s v="консолидация кредитов"/>
    <s v="в аренде"/>
    <s v="краткосрочный"/>
    <x v="0"/>
    <b v="0"/>
    <n v="5.8206216309209774E-2"/>
    <n v="0.83030303030303032"/>
    <n v="2.8717548311536212E-2"/>
  </r>
  <r>
    <n v="1282"/>
    <n v="0"/>
    <n v="129976"/>
    <n v="719"/>
    <n v="561222"/>
    <n v="0"/>
    <n v="10008.44"/>
    <n v="21.1"/>
    <n v="6"/>
    <n v="117401"/>
    <n v="142934"/>
    <x v="1"/>
    <s v="2bd2c7ac-7a04-472a-940f-e8a64ad63160"/>
    <s v="бизнес"/>
    <s v="в аренде"/>
    <s v="краткосрочный"/>
    <x v="0"/>
    <b v="0"/>
    <n v="0.14095653171235234"/>
    <n v="0.80606060606060603"/>
    <n v="0.21399959374365227"/>
  </r>
  <r>
    <n v="1283"/>
    <n v="0"/>
    <n v="536492"/>
    <n v="720"/>
    <n v="1061834"/>
    <n v="0"/>
    <n v="14069.12"/>
    <n v="19.399999999999999"/>
    <n v="7"/>
    <n v="629603"/>
    <n v="1347544"/>
    <x v="1"/>
    <s v="c5512d92-3712-40a6-b1f5-f196403e503d"/>
    <s v="консолидация кредитов"/>
    <s v="в аренде"/>
    <s v="долгосрочный"/>
    <x v="0"/>
    <b v="0"/>
    <n v="0.67077646519096223"/>
    <n v="0.81212121212121213"/>
    <n v="0.15899796013312814"/>
  </r>
  <r>
    <n v="1284"/>
    <n v="0"/>
    <m/>
    <n v="745"/>
    <n v="2873370"/>
    <n v="0"/>
    <n v="24184.15"/>
    <n v="25.5"/>
    <n v="9"/>
    <n v="844702"/>
    <n v="1142592"/>
    <x v="1"/>
    <s v="465a6349-38d8-477c-a51f-46f78153fbfa"/>
    <s v="консолидация кредитов"/>
    <s v="в аренде"/>
    <s v="краткосрочный"/>
    <x v="0"/>
    <b v="0"/>
    <m/>
    <n v="0.96363636363636362"/>
    <n v="0.10099980162666139"/>
  </r>
  <r>
    <n v="1285"/>
    <n v="0"/>
    <n v="262460"/>
    <n v="696"/>
    <n v="793364"/>
    <n v="9"/>
    <n v="18049.240000000002"/>
    <n v="14"/>
    <n v="25"/>
    <n v="197220"/>
    <n v="542432"/>
    <x v="1"/>
    <s v="4c394e3d-b54a-499c-8dae-243317a60720"/>
    <s v="консолидация кредитов"/>
    <s v="в аренде"/>
    <s v="долгосрочный"/>
    <x v="0"/>
    <b v="0"/>
    <n v="0.31362541575868791"/>
    <n v="0.66666666666666663"/>
    <n v="0.27300316122233931"/>
  </r>
  <r>
    <n v="1286"/>
    <n v="0"/>
    <n v="270226"/>
    <n v="723"/>
    <n v="1168044"/>
    <n v="22"/>
    <n v="26717.23"/>
    <n v="33.5"/>
    <n v="11"/>
    <n v="635398"/>
    <n v="913946"/>
    <x v="1"/>
    <s v="20fd9020-9463-43b8-9c22-194bbebf101f"/>
    <s v="консолидация кредитов"/>
    <s v="в ипотеке"/>
    <s v="долгосрочный"/>
    <x v="0"/>
    <b v="0"/>
    <n v="0.32374698933363916"/>
    <n v="0.83030303030303032"/>
    <n v="0.27448174897520983"/>
  </r>
  <r>
    <n v="1287"/>
    <n v="0"/>
    <n v="173712"/>
    <n v="723"/>
    <n v="656355"/>
    <n v="27"/>
    <n v="11978.55"/>
    <n v="12.5"/>
    <n v="9"/>
    <n v="124051"/>
    <n v="271524"/>
    <x v="2"/>
    <s v="a78200ed-9a91-4667-9647-47cfe8041150"/>
    <s v="консолидация кредитов"/>
    <s v="в аренде"/>
    <s v="краткосрочный"/>
    <x v="0"/>
    <b v="0"/>
    <n v="0.19795848147723363"/>
    <n v="0.83030303030303032"/>
    <n v="0.21900130264871906"/>
  </r>
  <r>
    <n v="1288"/>
    <n v="0"/>
    <n v="453530"/>
    <n v="667"/>
    <n v="1506472"/>
    <n v="50"/>
    <n v="16571.23"/>
    <n v="18.7"/>
    <n v="12"/>
    <n v="353875"/>
    <n v="628430"/>
    <x v="9"/>
    <s v="02a92d8a-0508-40eb-9bb5-a9c6fc1019cd"/>
    <s v="консолидация кредитов"/>
    <s v="в аренде"/>
    <s v="долгосрочный"/>
    <x v="0"/>
    <b v="0"/>
    <n v="0.56265053331804105"/>
    <n v="0.49090909090909091"/>
    <n v="0.13200030269397639"/>
  </r>
  <r>
    <n v="1289"/>
    <n v="3"/>
    <n v="226512"/>
    <n v="723"/>
    <n v="1168044"/>
    <n v="80"/>
    <n v="10180.77"/>
    <n v="14"/>
    <n v="6"/>
    <n v="45068"/>
    <n v="109648"/>
    <x v="1"/>
    <s v="d4bf240e-2751-441f-914d-0a49e112a7c9"/>
    <s v="консолидация кредитов"/>
    <s v="в собственности"/>
    <s v="краткосрочный"/>
    <x v="1"/>
    <b v="0"/>
    <n v="0.26677371258171811"/>
    <n v="0.83030303030303032"/>
    <n v="0.1045930119070857"/>
  </r>
  <r>
    <n v="1290"/>
    <n v="0"/>
    <n v="538450"/>
    <n v="692"/>
    <n v="1860100"/>
    <n v="28"/>
    <n v="34876.97"/>
    <n v="14.4"/>
    <n v="13"/>
    <n v="222490"/>
    <n v="417538"/>
    <x v="7"/>
    <s v="608611e2-f6f2-4516-9b0f-80cee808c05d"/>
    <s v="консолидация кредитов"/>
    <s v="в ипотеке"/>
    <s v="долгосрочный"/>
    <x v="0"/>
    <b v="0"/>
    <n v="0.67332836334442026"/>
    <n v="0.64242424242424245"/>
    <n v="0.22500061287027578"/>
  </r>
  <r>
    <n v="1291"/>
    <n v="1"/>
    <n v="234102"/>
    <n v="715"/>
    <n v="1097516"/>
    <n v="67"/>
    <n v="20121"/>
    <n v="18.399999999999999"/>
    <n v="12"/>
    <n v="469015"/>
    <n v="767052"/>
    <x v="1"/>
    <s v="b8720b8a-10df-4c9c-b499-021a8cb9dd5d"/>
    <s v="ремонт жилья"/>
    <s v="в ипотеке"/>
    <s v="долгосрочный"/>
    <x v="0"/>
    <b v="0"/>
    <n v="0.27666590205298774"/>
    <n v="0.78181818181818186"/>
    <n v="0.21999861505435911"/>
  </r>
  <r>
    <n v="1292"/>
    <n v="1"/>
    <n v="155078"/>
    <n v="745"/>
    <n v="1626305"/>
    <n v="0"/>
    <n v="30357.82"/>
    <n v="28.2"/>
    <n v="11"/>
    <n v="98496"/>
    <n v="349844"/>
    <x v="1"/>
    <s v="c99be92d-e51f-4bec-9cd9-8732c7dfa298"/>
    <s v="консолидация кредитов"/>
    <s v="в ипотеке"/>
    <s v="краткосрочный"/>
    <x v="0"/>
    <b v="0"/>
    <n v="0.17367243949994265"/>
    <n v="0.96363636363636362"/>
    <n v="0.22400093463403237"/>
  </r>
  <r>
    <n v="1293"/>
    <n v="0"/>
    <n v="198484"/>
    <n v="743"/>
    <n v="952280"/>
    <n v="18"/>
    <n v="15633.2"/>
    <n v="17"/>
    <n v="15"/>
    <n v="277856"/>
    <n v="744744"/>
    <x v="0"/>
    <s v="1a38d11c-9698-4695-9070-f8d818a9c6dd"/>
    <s v="консолидация кредитов"/>
    <s v="в ипотеке"/>
    <s v="краткосрочный"/>
    <x v="0"/>
    <b v="0"/>
    <n v="0.23024429407042091"/>
    <n v="0.95151515151515154"/>
    <n v="0.19699920191540302"/>
  </r>
  <r>
    <n v="1294"/>
    <n v="0"/>
    <n v="120472"/>
    <n v="711"/>
    <n v="677502"/>
    <n v="37"/>
    <n v="8638.16"/>
    <n v="8.1"/>
    <n v="19"/>
    <n v="146699"/>
    <n v="206162"/>
    <x v="4"/>
    <s v="9df45839-070a-4ca9-8823-fad775d80f7e"/>
    <s v="консолидация кредитов"/>
    <s v="в собственности"/>
    <s v="краткосрочный"/>
    <x v="0"/>
    <b v="0"/>
    <n v="0.12856979011354513"/>
    <n v="0.75757575757575757"/>
    <n v="0.15300016826518592"/>
  </r>
  <r>
    <n v="1295"/>
    <n v="0"/>
    <n v="40524"/>
    <n v="723"/>
    <n v="1168044"/>
    <n v="3"/>
    <n v="6611.24"/>
    <n v="11"/>
    <n v="6"/>
    <n v="14478"/>
    <n v="40524"/>
    <x v="5"/>
    <s v="bba9601f-b719-4b29-a1ab-649a2b60fa6f"/>
    <s v="консолидация кредитов"/>
    <s v="в аренде"/>
    <s v="краткосрочный"/>
    <x v="0"/>
    <b v="0"/>
    <n v="2.4372061016171578E-2"/>
    <n v="0.83030303030303032"/>
    <n v="6.7921139957056412E-2"/>
  </r>
  <r>
    <n v="1296"/>
    <n v="0"/>
    <n v="207636"/>
    <n v="738"/>
    <n v="933945"/>
    <n v="72"/>
    <n v="2015.9"/>
    <n v="14.2"/>
    <n v="8"/>
    <n v="106666"/>
    <n v="307208"/>
    <x v="6"/>
    <s v="59d717c7-daba-4eac-b818-ee5a6a257083"/>
    <s v="консолидация кредитов"/>
    <s v="в ипотеке"/>
    <s v="краткосрочный"/>
    <x v="1"/>
    <b v="0"/>
    <n v="0.2421722674618649"/>
    <n v="0.92121212121212126"/>
    <n v="2.5901739395788832E-2"/>
  </r>
  <r>
    <n v="1297"/>
    <n v="0"/>
    <n v="173118"/>
    <n v="714"/>
    <n v="672790"/>
    <n v="0"/>
    <n v="17604.45"/>
    <n v="10"/>
    <n v="6"/>
    <n v="129010"/>
    <n v="183964"/>
    <x v="6"/>
    <s v="e6c640ef-c258-4fdc-b92a-af7f8acf34da"/>
    <s v="консолидация кредитов"/>
    <s v="в аренде"/>
    <s v="краткосрочный"/>
    <x v="0"/>
    <b v="0"/>
    <n v="0.19718431012730817"/>
    <n v="0.77575757575757576"/>
    <n v="0.31399604631460037"/>
  </r>
  <r>
    <n v="1298"/>
    <n v="0"/>
    <n v="109318"/>
    <n v="736"/>
    <n v="1888220"/>
    <n v="0"/>
    <n v="32556.12"/>
    <n v="17.3"/>
    <n v="12"/>
    <n v="1133122"/>
    <n v="1789942"/>
    <x v="3"/>
    <s v="adb75e4c-be7f-4032-8ced-da782f476bb2"/>
    <s v="ремонт жилья"/>
    <s v="в ипотеке"/>
    <s v="краткосрочный"/>
    <x v="0"/>
    <b v="0"/>
    <n v="0.1140325725427228"/>
    <n v="0.90909090909090906"/>
    <n v="0.20690038237069833"/>
  </r>
  <r>
    <n v="1299"/>
    <n v="0"/>
    <n v="225060"/>
    <n v="742"/>
    <n v="796917"/>
    <n v="14"/>
    <n v="17864.18"/>
    <n v="15.5"/>
    <n v="11"/>
    <n v="135470"/>
    <n v="270006"/>
    <x v="2"/>
    <s v="bbb3383b-f33c-407c-98f4-9dd63b878928"/>
    <s v="консолидация кредитов"/>
    <s v="в аренде"/>
    <s v="краткосрочный"/>
    <x v="1"/>
    <b v="0"/>
    <n v="0.26488129372634478"/>
    <n v="0.94545454545454544"/>
    <n v="0.2689993562692225"/>
  </r>
  <r>
    <n v="1300"/>
    <n v="0"/>
    <n v="394900"/>
    <n v="747"/>
    <n v="1686269"/>
    <n v="54"/>
    <n v="15878.87"/>
    <n v="9.1"/>
    <n v="12"/>
    <n v="8987"/>
    <n v="611688"/>
    <x v="10"/>
    <s v="82e6f16a-2597-4559-8eea-5229fe35d6e5"/>
    <s v="консолидация кредитов"/>
    <s v="в аренде"/>
    <s v="краткосрочный"/>
    <x v="0"/>
    <b v="0"/>
    <n v="0.48623695377910309"/>
    <n v="0.97575757575757571"/>
    <n v="0.11299883944969635"/>
  </r>
  <r>
    <n v="1301"/>
    <n v="0"/>
    <n v="198616"/>
    <n v="717"/>
    <n v="773072"/>
    <n v="69"/>
    <n v="16492.189999999999"/>
    <n v="13"/>
    <n v="13"/>
    <n v="74252"/>
    <n v="109670"/>
    <x v="2"/>
    <s v="d4683df2-6cb0-4417-a1b7-af6e37757085"/>
    <s v="консолидация кредитов"/>
    <s v="в ипотеке"/>
    <s v="краткосрочный"/>
    <x v="0"/>
    <b v="0"/>
    <n v="0.23041633214818213"/>
    <n v="0.79393939393939394"/>
    <n v="0.25599980338183248"/>
  </r>
  <r>
    <n v="1302"/>
    <n v="0"/>
    <n v="519024"/>
    <n v="723"/>
    <n v="1168044"/>
    <n v="0"/>
    <n v="38328.129999999997"/>
    <n v="24.5"/>
    <n v="15"/>
    <n v="871872"/>
    <n v="1126708"/>
    <x v="8"/>
    <s v="95b42ab3-3ba6-45ed-8aa9-a019ad0dc1c4"/>
    <s v="консолидация кредитов"/>
    <s v="в ипотеке"/>
    <s v="краткосрочный"/>
    <x v="0"/>
    <b v="0"/>
    <n v="0.648010092900562"/>
    <n v="0.83030303030303032"/>
    <n v="0.39376732383369117"/>
  </r>
  <r>
    <n v="1303"/>
    <n v="0"/>
    <n v="756932"/>
    <n v="677"/>
    <n v="1561382"/>
    <n v="0"/>
    <n v="29015.85"/>
    <n v="21"/>
    <n v="10"/>
    <n v="760608"/>
    <n v="1242164"/>
    <x v="1"/>
    <s v="9da1da45-484e-42cd-b450-b81764db5e56"/>
    <s v="консолидация кредитов"/>
    <s v="в собственности"/>
    <s v="долгосрочный"/>
    <x v="0"/>
    <b v="0"/>
    <n v="0.95808005505218485"/>
    <n v="0.55151515151515151"/>
    <n v="0.22300128988293702"/>
  </r>
  <r>
    <n v="1304"/>
    <n v="1"/>
    <n v="399168"/>
    <n v="730"/>
    <n v="1398096"/>
    <n v="33"/>
    <n v="11883.74"/>
    <n v="15.5"/>
    <n v="9"/>
    <n v="164958"/>
    <n v="470448"/>
    <x v="0"/>
    <s v="306a3005-7f22-4c19-a8e6-cb69c50faa43"/>
    <s v="консолидация кредитов"/>
    <s v="в аренде"/>
    <s v="краткосрочный"/>
    <x v="1"/>
    <b v="0"/>
    <n v="0.49179951829338225"/>
    <n v="0.87272727272727268"/>
    <n v="0.10199934768427919"/>
  </r>
  <r>
    <n v="1305"/>
    <n v="0"/>
    <n v="78430"/>
    <n v="723"/>
    <n v="1168044"/>
    <n v="33"/>
    <n v="2970.46"/>
    <n v="9"/>
    <n v="10"/>
    <n v="56905"/>
    <n v="134200"/>
    <x v="4"/>
    <s v="4476c490-e6dc-4044-8939-57ebc97b5ca3"/>
    <s v="консолидация кредитов"/>
    <s v="в аренде"/>
    <s v="краткосрочный"/>
    <x v="0"/>
    <b v="0"/>
    <n v="7.377566234659938E-2"/>
    <n v="0.83030303030303032"/>
    <n v="3.0517275034159672E-2"/>
  </r>
  <r>
    <n v="1306"/>
    <n v="0"/>
    <n v="429264"/>
    <n v="715"/>
    <n v="704387"/>
    <n v="16"/>
    <n v="9391.89"/>
    <n v="13"/>
    <n v="12"/>
    <n v="26809"/>
    <n v="229900"/>
    <x v="6"/>
    <s v="91e4ce3b-d824-4041-aedb-fb4f64142cd9"/>
    <s v="консолидация кредитов"/>
    <s v="в аренде"/>
    <s v="краткосрочный"/>
    <x v="0"/>
    <b v="0"/>
    <n v="0.53102420002293838"/>
    <n v="0.78181818181818186"/>
    <n v="0.16000107895233728"/>
  </r>
  <r>
    <n v="1307"/>
    <n v="0"/>
    <n v="65692"/>
    <n v="684"/>
    <n v="1040193"/>
    <n v="5"/>
    <n v="17509.830000000002"/>
    <n v="16"/>
    <n v="25"/>
    <n v="185231"/>
    <n v="841082"/>
    <x v="0"/>
    <s v="3ddfc2ab-e751-47bc-88ad-cce07763e3f5"/>
    <s v="консолидация кредитов"/>
    <s v="в аренде"/>
    <s v="краткосрочный"/>
    <x v="0"/>
    <b v="0"/>
    <n v="5.7173987842642507E-2"/>
    <n v="0.59393939393939399"/>
    <n v="0.20199901364458328"/>
  </r>
  <r>
    <n v="1308"/>
    <n v="0"/>
    <n v="306240"/>
    <n v="714"/>
    <n v="1205683"/>
    <n v="8"/>
    <n v="9725.7199999999993"/>
    <n v="32.200000000000003"/>
    <n v="7"/>
    <n v="18506"/>
    <n v="93192"/>
    <x v="7"/>
    <s v="56577b66-07a6-417b-acca-394d7a42170c"/>
    <s v="консолидация кредитов"/>
    <s v="в аренде"/>
    <s v="краткосрочный"/>
    <x v="0"/>
    <b v="0"/>
    <n v="0.37068471154948962"/>
    <n v="0.77575757575757576"/>
    <n v="9.6798777124667099E-2"/>
  </r>
  <r>
    <n v="1309"/>
    <n v="0"/>
    <n v="256454"/>
    <n v="707"/>
    <n v="1045627"/>
    <n v="35"/>
    <n v="29800.36"/>
    <n v="19.5"/>
    <n v="18"/>
    <n v="347225"/>
    <n v="825572"/>
    <x v="1"/>
    <s v="cd45d3db-94cb-415b-95ea-a0d7705a015d"/>
    <s v="консолидация кредитов"/>
    <s v="в ипотеке"/>
    <s v="долгосрочный"/>
    <x v="0"/>
    <b v="0"/>
    <n v="0.30579768322055284"/>
    <n v="0.73333333333333328"/>
    <n v="0.34199989097450623"/>
  </r>
  <r>
    <n v="1310"/>
    <n v="0"/>
    <m/>
    <n v="717"/>
    <n v="3055200"/>
    <n v="0"/>
    <n v="32079.599999999999"/>
    <n v="17.5"/>
    <n v="22"/>
    <n v="573895"/>
    <n v="921646"/>
    <x v="4"/>
    <s v="4f19270e-385b-4c2f-be91-731164511e85"/>
    <s v="медицинские препараты"/>
    <s v="в аренде"/>
    <s v="краткосрочный"/>
    <x v="0"/>
    <b v="0"/>
    <m/>
    <n v="0.79393939393939394"/>
    <n v="0.126"/>
  </r>
  <r>
    <n v="1311"/>
    <n v="0"/>
    <n v="306130"/>
    <n v="714"/>
    <n v="1605158"/>
    <n v="18"/>
    <n v="18191.55"/>
    <n v="13.5"/>
    <n v="15"/>
    <n v="271757"/>
    <n v="590370"/>
    <x v="4"/>
    <s v="60715bc6-ea96-44d4-bb93-3a67e777d397"/>
    <s v="консолидация кредитов"/>
    <s v="в собственности"/>
    <s v="долгосрочный"/>
    <x v="0"/>
    <b v="0"/>
    <n v="0.37054134648468862"/>
    <n v="0.77575757575757576"/>
    <n v="0.13599820080017044"/>
  </r>
  <r>
    <n v="1312"/>
    <n v="0"/>
    <n v="266860"/>
    <n v="723"/>
    <n v="1168044"/>
    <n v="17"/>
    <n v="29336"/>
    <n v="10"/>
    <n v="21"/>
    <n v="119966"/>
    <n v="583682"/>
    <x v="4"/>
    <s v="f606379c-7a3e-4a8d-b5cb-5284c6997ba1"/>
    <s v="консолидация кредитов"/>
    <s v="в ипотеке"/>
    <s v="краткосрочный"/>
    <x v="0"/>
    <b v="0"/>
    <n v="0.3193600183507283"/>
    <n v="0.83030303030303032"/>
    <n v="0.30138590669529575"/>
  </r>
  <r>
    <n v="1313"/>
    <n v="1"/>
    <n v="171952"/>
    <n v="729"/>
    <n v="742520"/>
    <n v="72"/>
    <n v="13612.74"/>
    <n v="12"/>
    <n v="8"/>
    <n v="93974"/>
    <n v="165616"/>
    <x v="1"/>
    <s v="044ed96e-752a-41b9-a21b-18f9b18c1c34"/>
    <s v="консолидация кредитов"/>
    <s v="в аренде"/>
    <s v="краткосрочный"/>
    <x v="1"/>
    <b v="0"/>
    <n v="0.19566464044041748"/>
    <n v="0.8666666666666667"/>
    <n v="0.21999795291709315"/>
  </r>
  <r>
    <n v="1314"/>
    <n v="1"/>
    <m/>
    <n v="739"/>
    <n v="1501912"/>
    <n v="0"/>
    <n v="27409.97"/>
    <n v="42.3"/>
    <n v="14"/>
    <n v="180405"/>
    <n v="412808"/>
    <x v="5"/>
    <s v="780f2dba-adea-4d8b-bbd1-c55e37882c40"/>
    <s v="консолидация кредитов"/>
    <s v="в ипотеке"/>
    <s v="краткосрочный"/>
    <x v="0"/>
    <b v="0"/>
    <m/>
    <n v="0.92727272727272725"/>
    <n v="0.2190006072259893"/>
  </r>
  <r>
    <n v="1315"/>
    <n v="0"/>
    <n v="142824"/>
    <n v="723"/>
    <n v="1168044"/>
    <n v="10"/>
    <n v="12886.75"/>
    <n v="39.4"/>
    <n v="14"/>
    <n v="257298"/>
    <n v="1038092"/>
    <x v="1"/>
    <s v="56d3612a-75ed-4655-b2c2-ad769bb851f2"/>
    <s v="консолидация кредитов"/>
    <s v="в ипотеке"/>
    <s v="краткосрочный"/>
    <x v="0"/>
    <b v="0"/>
    <n v="0.15770157128111023"/>
    <n v="0.83030303030303032"/>
    <n v="0.13239312902596134"/>
  </r>
  <r>
    <n v="1316"/>
    <n v="0"/>
    <n v="324258"/>
    <n v="735"/>
    <n v="2427022"/>
    <n v="20"/>
    <n v="34180.43"/>
    <n v="17.7"/>
    <n v="20"/>
    <n v="2682306"/>
    <n v="3649624"/>
    <x v="3"/>
    <s v="8e31da98-a5d1-43a4-bd7d-08d389ccd9aa"/>
    <s v="консолидация кредитов"/>
    <s v="в аренде"/>
    <s v="краткосрочный"/>
    <x v="0"/>
    <b v="0"/>
    <n v="0.39416790916389494"/>
    <n v="0.90303030303030307"/>
    <n v="0.16899935806103117"/>
  </r>
  <r>
    <n v="1317"/>
    <n v="0"/>
    <n v="108064"/>
    <n v="715"/>
    <n v="563844"/>
    <n v="47"/>
    <n v="5920.21"/>
    <n v="9.4"/>
    <n v="3"/>
    <n v="37753"/>
    <n v="45034"/>
    <x v="6"/>
    <s v="da832d82-ba12-4be1-a2c9-944bfa59c9dd"/>
    <s v="консолидация кредитов"/>
    <s v="в аренде"/>
    <s v="краткосрочный"/>
    <x v="0"/>
    <b v="0"/>
    <n v="0.11239821080399129"/>
    <n v="0.78181818181818186"/>
    <n v="0.1259967650626769"/>
  </r>
  <r>
    <n v="1318"/>
    <n v="0"/>
    <n v="111012"/>
    <n v="699"/>
    <n v="325945"/>
    <n v="0"/>
    <n v="2015.52"/>
    <n v="9.1999999999999993"/>
    <n v="7"/>
    <n v="45410"/>
    <n v="383724"/>
    <x v="1"/>
    <s v="cbd968ff-3af4-493b-86d0-9bbc1a0c9100"/>
    <s v="консолидация кредитов"/>
    <s v="в аренде"/>
    <s v="краткосрочный"/>
    <x v="0"/>
    <b v="0"/>
    <n v="0.11624039454065833"/>
    <n v="0.68484848484848482"/>
    <n v="7.4203439230545037E-2"/>
  </r>
  <r>
    <n v="1319"/>
    <n v="0"/>
    <n v="522500"/>
    <n v="723"/>
    <n v="1168044"/>
    <n v="0"/>
    <n v="24274.21"/>
    <n v="16.399999999999999"/>
    <n v="11"/>
    <n v="378670"/>
    <n v="680834"/>
    <x v="1"/>
    <s v="5aa43efa-9173-40b1-9f33-ef2b4c7c77bf"/>
    <s v="консолидация кредитов"/>
    <s v="в аренде"/>
    <s v="краткосрочный"/>
    <x v="0"/>
    <b v="0"/>
    <n v="0.65254042894827391"/>
    <n v="0.83030303030303032"/>
    <n v="0.24938317392153034"/>
  </r>
  <r>
    <n v="1320"/>
    <n v="0"/>
    <n v="325512"/>
    <n v="713"/>
    <n v="930601"/>
    <n v="20"/>
    <n v="15044.77"/>
    <n v="12.2"/>
    <n v="6"/>
    <n v="161025"/>
    <n v="242462"/>
    <x v="1"/>
    <s v="48ecb5f6-bd0f-4c88-b254-74e8e1eeb814"/>
    <s v="консолидация кредитов"/>
    <s v="в аренде"/>
    <s v="краткосрочный"/>
    <x v="0"/>
    <b v="0"/>
    <n v="0.39580227090262643"/>
    <n v="0.76969696969696966"/>
    <n v="0.19400069417505464"/>
  </r>
  <r>
    <n v="1321"/>
    <n v="0"/>
    <n v="67562"/>
    <n v="719"/>
    <n v="1264279"/>
    <n v="78"/>
    <n v="19490.77"/>
    <n v="12.5"/>
    <n v="8"/>
    <n v="112385"/>
    <n v="130636"/>
    <x v="0"/>
    <s v="43de4f4e-4813-4b98-ab3b-ebb116e0a569"/>
    <s v="консолидация кредитов"/>
    <s v="в ипотеке"/>
    <s v="краткосрочный"/>
    <x v="0"/>
    <b v="0"/>
    <n v="5.9611193944259663E-2"/>
    <n v="0.80606060606060603"/>
    <n v="0.18499812145895014"/>
  </r>
  <r>
    <n v="1322"/>
    <n v="0"/>
    <n v="718498"/>
    <n v="723"/>
    <n v="1168044"/>
    <n v="67"/>
    <n v="30122.22"/>
    <n v="20.399999999999999"/>
    <n v="13"/>
    <n v="436164"/>
    <n v="890714"/>
    <x v="5"/>
    <s v="8be64d8f-9259-4536-bd9d-0c49e463c9f0"/>
    <s v="консолидация кредитов"/>
    <s v="в аренде"/>
    <s v="краткосрочный"/>
    <x v="1"/>
    <b v="0"/>
    <n v="0.90798830141071218"/>
    <n v="0.83030303030303032"/>
    <n v="0.30946320515323056"/>
  </r>
  <r>
    <n v="1323"/>
    <n v="0"/>
    <n v="303050"/>
    <n v="723"/>
    <n v="1168044"/>
    <n v="0"/>
    <n v="18487"/>
    <n v="18.7"/>
    <n v="7"/>
    <n v="192375"/>
    <n v="317306"/>
    <x v="1"/>
    <s v="b065373b-88fd-4ae4-a7be-ccb8f757453c"/>
    <s v="консолидация кредитов"/>
    <s v="в аренде"/>
    <s v="краткосрочный"/>
    <x v="0"/>
    <b v="0"/>
    <n v="0.36652712467026033"/>
    <n v="0.83030303030303032"/>
    <n v="0.18992777669334374"/>
  </r>
  <r>
    <n v="1324"/>
    <n v="0"/>
    <n v="78430"/>
    <n v="699"/>
    <n v="620977"/>
    <n v="0"/>
    <n v="11384.61"/>
    <n v="11.4"/>
    <n v="15"/>
    <n v="87837"/>
    <n v="309144"/>
    <x v="4"/>
    <s v="1918512f-7d02-4e03-ad10-c321db9bd0d6"/>
    <s v="путешествие"/>
    <s v="в аренде"/>
    <s v="краткосрочный"/>
    <x v="0"/>
    <b v="0"/>
    <n v="7.377566234659938E-2"/>
    <n v="0.68484848484848482"/>
    <n v="0.2200006119389285"/>
  </r>
  <r>
    <n v="1325"/>
    <n v="1"/>
    <n v="218174"/>
    <n v="731"/>
    <n v="1168215"/>
    <n v="0"/>
    <n v="12947.93"/>
    <n v="25.4"/>
    <n v="8"/>
    <n v="156522"/>
    <n v="208318"/>
    <x v="1"/>
    <s v="d942d440-d71a-4c23-b5eb-45d4a4169c9a"/>
    <s v="консолидация кредитов"/>
    <s v="в ипотеке"/>
    <s v="краткосрочный"/>
    <x v="0"/>
    <b v="0"/>
    <n v="0.25590664066980157"/>
    <n v="0.87878787878787878"/>
    <n v="0.13300219565747742"/>
  </r>
  <r>
    <n v="1326"/>
    <n v="0"/>
    <n v="265408"/>
    <n v="723"/>
    <n v="1168044"/>
    <n v="0"/>
    <n v="13036.28"/>
    <n v="11.8"/>
    <n v="9"/>
    <n v="82878"/>
    <n v="311586"/>
    <x v="10"/>
    <s v="29e6a2dc-2570-4c76-980e-083ba8096bb5"/>
    <s v="консолидация кредитов"/>
    <s v="в аренде"/>
    <s v="долгосрочный"/>
    <x v="1"/>
    <b v="0"/>
    <n v="0.31746759949535497"/>
    <n v="0.83030303030303032"/>
    <n v="0.13392933827835254"/>
  </r>
  <r>
    <n v="1327"/>
    <n v="0"/>
    <n v="449680"/>
    <n v="739"/>
    <n v="1747620"/>
    <n v="45"/>
    <n v="36263.21"/>
    <n v="9.9"/>
    <n v="15"/>
    <n v="313405"/>
    <n v="707388"/>
    <x v="8"/>
    <s v="259d8be6-6afb-46b4-9309-14bfdcc9fedc"/>
    <s v="консолидация кредитов"/>
    <s v="в ипотеке"/>
    <s v="краткосрочный"/>
    <x v="0"/>
    <b v="0"/>
    <n v="0.55763275605000573"/>
    <n v="0.92727272727272725"/>
    <n v="0.2490006523157208"/>
  </r>
  <r>
    <n v="1328"/>
    <n v="1"/>
    <n v="269478"/>
    <n v="715"/>
    <n v="930905"/>
    <n v="76"/>
    <n v="26143.05"/>
    <n v="20.8"/>
    <n v="16"/>
    <n v="265772"/>
    <n v="575212"/>
    <x v="10"/>
    <s v="6201f781-d2a6-4bbf-8f5b-afa83c412559"/>
    <s v="консолидация кредитов"/>
    <s v="в ипотеке"/>
    <s v="краткосрочный"/>
    <x v="0"/>
    <b v="0"/>
    <n v="0.32277210689299229"/>
    <n v="0.78181818181818186"/>
    <n v="0.33700173487090518"/>
  </r>
  <r>
    <n v="1329"/>
    <n v="0"/>
    <n v="310948"/>
    <n v="723"/>
    <n v="1168044"/>
    <n v="0"/>
    <n v="12634.81"/>
    <n v="10.3"/>
    <n v="12"/>
    <n v="183445"/>
    <n v="495110"/>
    <x v="1"/>
    <s v="87da6da3-1ae1-416f-9921-04e1baab18cc"/>
    <s v="консолидация кредитов"/>
    <s v="в аренде"/>
    <s v="долгосрочный"/>
    <x v="0"/>
    <b v="0"/>
    <n v="0.3768207363229728"/>
    <n v="0.83030303030303032"/>
    <n v="0.129804801873902"/>
  </r>
  <r>
    <n v="1330"/>
    <n v="0"/>
    <n v="433752"/>
    <n v="724"/>
    <n v="5806362"/>
    <n v="17"/>
    <n v="28306.01"/>
    <n v="15.7"/>
    <n v="6"/>
    <n v="354559"/>
    <n v="546656"/>
    <x v="7"/>
    <s v="4f1eb263-76e7-42e0-abb7-99358e951730"/>
    <s v="бизнес"/>
    <s v="в аренде"/>
    <s v="краткосрочный"/>
    <x v="0"/>
    <b v="0"/>
    <n v="0.53687349466681955"/>
    <n v="0.83636363636363631"/>
    <n v="5.8499990183181826E-2"/>
  </r>
  <r>
    <n v="1331"/>
    <n v="0"/>
    <n v="212058"/>
    <n v="690"/>
    <n v="763116"/>
    <n v="0"/>
    <n v="7313.1"/>
    <n v="6.8"/>
    <n v="10"/>
    <n v="142861"/>
    <n v="386474"/>
    <x v="2"/>
    <s v="511909f0-3ab2-4929-a383-6bf74f93b74d"/>
    <s v="иное"/>
    <s v="в аренде"/>
    <s v="краткосрочный"/>
    <x v="1"/>
    <b v="0"/>
    <n v="0.24793554306686547"/>
    <n v="0.63030303030303025"/>
    <n v="0.11499850612488796"/>
  </r>
  <r>
    <n v="1332"/>
    <n v="0"/>
    <n v="213752"/>
    <n v="747"/>
    <n v="1153794"/>
    <n v="19"/>
    <n v="19056.810000000001"/>
    <n v="17"/>
    <n v="10"/>
    <n v="8474"/>
    <n v="755326"/>
    <x v="1"/>
    <s v="6742cff9-8609-4f27-8de8-be461bde7a04"/>
    <s v="консолидация кредитов"/>
    <s v="в аренде"/>
    <s v="краткосрочный"/>
    <x v="0"/>
    <b v="0"/>
    <n v="0.250143365064801"/>
    <n v="0.97575757575757571"/>
    <n v="0.1981997826301749"/>
  </r>
  <r>
    <n v="1333"/>
    <n v="0"/>
    <n v="112706"/>
    <n v="744"/>
    <n v="973275"/>
    <n v="14"/>
    <n v="7688.92"/>
    <n v="13"/>
    <n v="9"/>
    <n v="99750"/>
    <n v="220814"/>
    <x v="1"/>
    <s v="4da089b3-2a0e-4bd1-ac95-1ba125bdcdbb"/>
    <s v="консолидация кредитов"/>
    <s v="в ипотеке"/>
    <s v="краткосрочный"/>
    <x v="0"/>
    <b v="0"/>
    <n v="0.11844821653859387"/>
    <n v="0.95757575757575752"/>
    <n v="9.4800585651537331E-2"/>
  </r>
  <r>
    <n v="1334"/>
    <n v="1"/>
    <m/>
    <n v="709"/>
    <n v="1858010"/>
    <n v="0"/>
    <n v="3623.11"/>
    <n v="26.8"/>
    <n v="5"/>
    <n v="79686"/>
    <n v="148346"/>
    <x v="5"/>
    <s v="e8877a7e-0591-420b-9a81-8b82659ab882"/>
    <s v="консолидация кредитов"/>
    <s v="в ипотеке"/>
    <s v="краткосрочный"/>
    <x v="0"/>
    <b v="0"/>
    <m/>
    <n v="0.74545454545454548"/>
    <n v="2.3399938644033134E-2"/>
  </r>
  <r>
    <n v="1335"/>
    <n v="1"/>
    <n v="519508"/>
    <n v="660"/>
    <n v="3084536"/>
    <n v="0"/>
    <n v="35214.980000000003"/>
    <n v="17.600000000000001"/>
    <n v="13"/>
    <n v="424555"/>
    <n v="664334"/>
    <x v="1"/>
    <s v="6b128802-bdc6-4a16-ae1c-c0851167e752"/>
    <s v="консолидация кредитов"/>
    <s v="в собственности"/>
    <s v="долгосрочный"/>
    <x v="0"/>
    <b v="0"/>
    <n v="0.64864089918568646"/>
    <n v="0.44848484848484849"/>
    <n v="0.136999457941162"/>
  </r>
  <r>
    <n v="1336"/>
    <n v="0"/>
    <n v="150216"/>
    <n v="740"/>
    <n v="1760597"/>
    <n v="16"/>
    <n v="9551.2999999999993"/>
    <n v="20.9"/>
    <n v="9"/>
    <n v="13129"/>
    <n v="183040"/>
    <x v="9"/>
    <s v="d0ff9097-bed0-480b-80d1-39777a50792c"/>
    <s v="консолидация кредитов"/>
    <s v="в аренде"/>
    <s v="краткосрочный"/>
    <x v="0"/>
    <b v="0"/>
    <n v="0.16733570363573805"/>
    <n v="0.93333333333333335"/>
    <n v="6.5100417642424704E-2"/>
  </r>
  <r>
    <n v="1337"/>
    <n v="0"/>
    <n v="327008"/>
    <n v="737"/>
    <n v="941355"/>
    <n v="0"/>
    <n v="3749.84"/>
    <n v="5.7"/>
    <n v="10"/>
    <n v="192223"/>
    <n v="573650"/>
    <x v="4"/>
    <s v="c85e8ff9-0e5e-482c-9ad6-35acd16cdeab"/>
    <s v="консолидация кредитов"/>
    <s v="в собственности"/>
    <s v="краткосрочный"/>
    <x v="0"/>
    <b v="0"/>
    <n v="0.39775203578392015"/>
    <n v="0.91515151515151516"/>
    <n v="4.7801392673327281E-2"/>
  </r>
  <r>
    <n v="1338"/>
    <n v="1"/>
    <n v="214522"/>
    <n v="723"/>
    <n v="518757"/>
    <n v="0"/>
    <n v="6441.19"/>
    <n v="17.600000000000001"/>
    <n v="7"/>
    <n v="148675"/>
    <n v="214654"/>
    <x v="6"/>
    <s v="2af8bfa6-3ab7-4f14-b71a-2ee5dfed5038"/>
    <s v="консолидация кредитов"/>
    <s v="в аренде"/>
    <s v="долгосрочный"/>
    <x v="0"/>
    <b v="0"/>
    <n v="0.25114692051840809"/>
    <n v="0.83030303030303032"/>
    <n v="0.14899901109768157"/>
  </r>
  <r>
    <n v="1339"/>
    <n v="0"/>
    <n v="543466"/>
    <n v="748"/>
    <n v="1163978"/>
    <n v="0"/>
    <n v="10572.93"/>
    <n v="25"/>
    <n v="9"/>
    <n v="197657"/>
    <n v="908182"/>
    <x v="1"/>
    <s v="6504d7a6-628f-4b67-b2cf-a62876bf65bd"/>
    <s v="консолидация кредитов"/>
    <s v="в ипотеке"/>
    <s v="краткосрочный"/>
    <x v="0"/>
    <b v="0"/>
    <n v="0.67986581029934623"/>
    <n v="0.98181818181818181"/>
    <n v="0.10900133851327087"/>
  </r>
  <r>
    <n v="1340"/>
    <n v="0"/>
    <n v="118514"/>
    <n v="723"/>
    <n v="1168044"/>
    <n v="0"/>
    <n v="2289.12"/>
    <n v="9.5"/>
    <n v="4"/>
    <n v="47462"/>
    <n v="127226"/>
    <x v="2"/>
    <s v="836644a0-fe8f-4c39-b62a-83472d9bb3b2"/>
    <s v="приобретение автомобиля"/>
    <s v="в аренде"/>
    <s v="краткосрочный"/>
    <x v="0"/>
    <b v="0"/>
    <n v="0.12601789196008717"/>
    <n v="0.83030303030303032"/>
    <n v="2.3517470232285769E-2"/>
  </r>
  <r>
    <n v="1341"/>
    <n v="0"/>
    <n v="171776"/>
    <n v="723"/>
    <n v="1168044"/>
    <n v="0"/>
    <n v="9462"/>
    <n v="6.6"/>
    <n v="5"/>
    <n v="101270"/>
    <n v="210518"/>
    <x v="4"/>
    <s v="5052efb5-c669-4b69-ad7a-41b06b9b3f83"/>
    <s v="консолидация кредитов"/>
    <s v="в аренде"/>
    <s v="краткосрочный"/>
    <x v="0"/>
    <b v="0"/>
    <n v="0.19543525633673586"/>
    <n v="0.83030303030303032"/>
    <n v="9.7208666796798751E-2"/>
  </r>
  <r>
    <n v="1342"/>
    <n v="0"/>
    <n v="238854"/>
    <n v="703"/>
    <n v="693861"/>
    <n v="39"/>
    <n v="16652.740000000002"/>
    <n v="14"/>
    <n v="13"/>
    <n v="132240"/>
    <n v="293348"/>
    <x v="8"/>
    <s v="e14cce30-64ca-4c2d-a561-2a9e32794fae"/>
    <s v="консолидация кредитов"/>
    <s v="в аренде"/>
    <s v="долгосрочный"/>
    <x v="1"/>
    <b v="0"/>
    <n v="0.28285927285239132"/>
    <n v="0.70909090909090911"/>
    <n v="0.28800131438429316"/>
  </r>
  <r>
    <n v="1343"/>
    <n v="0"/>
    <m/>
    <n v="738"/>
    <n v="2228586"/>
    <n v="0"/>
    <n v="15804.39"/>
    <n v="19.600000000000001"/>
    <n v="11"/>
    <n v="168207"/>
    <n v="740542"/>
    <x v="4"/>
    <s v="2434920b-19e0-4d33-b293-5186f5c88e2e"/>
    <s v="иное"/>
    <s v="в ипотеке"/>
    <s v="краткосрочный"/>
    <x v="0"/>
    <b v="0"/>
    <m/>
    <n v="0.92121212121212126"/>
    <n v="8.5100005115351166E-2"/>
  </r>
  <r>
    <n v="1344"/>
    <n v="0"/>
    <n v="352396"/>
    <n v="699"/>
    <n v="1141254"/>
    <n v="0"/>
    <n v="19972.04"/>
    <n v="13.4"/>
    <n v="5"/>
    <n v="530309"/>
    <n v="746988"/>
    <x v="3"/>
    <s v="be208dcb-f79d-44b2-9f69-75589499372c"/>
    <s v="консолидация кредитов"/>
    <s v="в аренде"/>
    <s v="краткосрочный"/>
    <x v="0"/>
    <b v="0"/>
    <n v="0.43084069273999309"/>
    <n v="0.68484848484848482"/>
    <n v="0.21000099890120869"/>
  </r>
  <r>
    <n v="1345"/>
    <n v="0"/>
    <n v="673464"/>
    <n v="739"/>
    <n v="2617326"/>
    <n v="0"/>
    <n v="25737.02"/>
    <n v="21.1"/>
    <n v="6"/>
    <n v="889162"/>
    <n v="1208394"/>
    <x v="1"/>
    <s v="1ad45ded-1e86-4f41-ba2c-3fbb11a7228d"/>
    <s v="консолидация кредитов"/>
    <s v="в аренде"/>
    <s v="краткосрочный"/>
    <x v="0"/>
    <b v="0"/>
    <n v="0.84929464388117903"/>
    <n v="0.92727272727272725"/>
    <n v="0.11799991288819199"/>
  </r>
  <r>
    <n v="1346"/>
    <n v="0"/>
    <n v="257444"/>
    <n v="739"/>
    <n v="1037609"/>
    <n v="63"/>
    <n v="17985.400000000001"/>
    <n v="29.1"/>
    <n v="9"/>
    <n v="191710"/>
    <n v="765468"/>
    <x v="1"/>
    <s v="804213f4-73b3-49d4-9f6b-cd8bfa09d279"/>
    <s v="консолидация кредитов"/>
    <s v="в ипотеке"/>
    <s v="краткосрочный"/>
    <x v="0"/>
    <b v="0"/>
    <n v="0.30708796880376188"/>
    <n v="0.92727272727272725"/>
    <n v="0.20800205086887258"/>
  </r>
  <r>
    <n v="1347"/>
    <n v="0"/>
    <n v="642246"/>
    <n v="691"/>
    <n v="1207830"/>
    <n v="0"/>
    <n v="12581.42"/>
    <n v="16.899999999999999"/>
    <n v="7"/>
    <n v="129276"/>
    <n v="645194"/>
    <x v="10"/>
    <s v="1f8a2969-be14-4b17-9ed0-bf7d9465c962"/>
    <s v="ремонт жилья"/>
    <s v="в ипотеке"/>
    <s v="долгосрочный"/>
    <x v="0"/>
    <b v="0"/>
    <n v="0.80860763849065265"/>
    <n v="0.63636363636363635"/>
    <n v="0.12499858423784804"/>
  </r>
  <r>
    <n v="1348"/>
    <n v="1"/>
    <n v="112728"/>
    <n v="736"/>
    <n v="584079"/>
    <n v="0"/>
    <n v="8031.11"/>
    <n v="22.5"/>
    <n v="4"/>
    <n v="38893"/>
    <n v="281512"/>
    <x v="3"/>
    <s v="f1ca4068-7914-4058-b276-a40d4e71d6c0"/>
    <s v="консолидация кредитов"/>
    <s v="в ипотеке"/>
    <s v="краткосрочный"/>
    <x v="0"/>
    <b v="0"/>
    <n v="0.11847688955155408"/>
    <n v="0.90909090909090906"/>
    <n v="0.16500048794769201"/>
  </r>
  <r>
    <n v="1349"/>
    <n v="1"/>
    <n v="237930"/>
    <n v="711"/>
    <n v="1245374"/>
    <n v="44"/>
    <n v="30511.72"/>
    <n v="22.9"/>
    <n v="11"/>
    <n v="145635"/>
    <n v="201938"/>
    <x v="9"/>
    <s v="8f316f59-314a-4dbb-9625-a9f1df648c0d"/>
    <s v="консолидация кредитов"/>
    <s v="в ипотеке"/>
    <s v="долгосрочный"/>
    <x v="0"/>
    <b v="0"/>
    <n v="0.28165500630806284"/>
    <n v="0.75757575757575757"/>
    <n v="0.29400054923259999"/>
  </r>
  <r>
    <n v="1350"/>
    <n v="1"/>
    <n v="287386"/>
    <n v="705"/>
    <n v="700967"/>
    <n v="0"/>
    <n v="34.96"/>
    <n v="6.5"/>
    <n v="5"/>
    <n v="38"/>
    <n v="0"/>
    <x v="6"/>
    <s v="755a116f-d5b7-40fb-b8f0-583c9b52cabc"/>
    <s v="приобретение автомобиля"/>
    <s v="в ипотеке"/>
    <s v="долгосрочный"/>
    <x v="0"/>
    <b v="0"/>
    <n v="0.34611193944259661"/>
    <n v="0.72121212121212119"/>
    <n v="5.9848751795733607E-4"/>
  </r>
  <r>
    <n v="1351"/>
    <n v="0"/>
    <n v="545842"/>
    <n v="676"/>
    <n v="1123660"/>
    <n v="49"/>
    <n v="36331.800000000003"/>
    <n v="17"/>
    <n v="20"/>
    <n v="445341"/>
    <n v="935858"/>
    <x v="6"/>
    <s v="a5ceece0-c917-49f4-9c92-933093287117"/>
    <s v="консолидация кредитов"/>
    <s v="в аренде"/>
    <s v="долгосрочный"/>
    <x v="0"/>
    <b v="0"/>
    <n v="0.6829624956990481"/>
    <n v="0.54545454545454541"/>
    <n v="0.38800135272235381"/>
  </r>
  <r>
    <n v="1352"/>
    <n v="0"/>
    <n v="670758"/>
    <n v="665"/>
    <n v="2124067"/>
    <n v="49"/>
    <n v="34693.24"/>
    <n v="15"/>
    <n v="8"/>
    <n v="68989"/>
    <n v="272668"/>
    <x v="1"/>
    <s v="0a1cbeab-44e8-4366-bd31-9459dcce1ff0"/>
    <s v="иное"/>
    <s v="в ипотеке"/>
    <s v="долгосрочный"/>
    <x v="0"/>
    <b v="0"/>
    <n v="0.84576786328707421"/>
    <n v="0.47878787878787876"/>
    <n v="0.19600082294955853"/>
  </r>
  <r>
    <n v="1353"/>
    <n v="0"/>
    <n v="613668"/>
    <n v="738"/>
    <n v="1608787"/>
    <n v="0"/>
    <n v="31384.77"/>
    <n v="17.600000000000001"/>
    <n v="13"/>
    <n v="891708"/>
    <n v="2335982"/>
    <x v="0"/>
    <s v="2d783eed-deb5-42b7-a7a4-d34408141253"/>
    <s v="консолидация кредитов"/>
    <s v="в ипотеке"/>
    <s v="долгосрочный"/>
    <x v="1"/>
    <b v="0"/>
    <n v="0.77136139465535036"/>
    <n v="0.92121212121212126"/>
    <n v="0.23410012636849997"/>
  </r>
  <r>
    <n v="1354"/>
    <n v="0"/>
    <n v="245278"/>
    <n v="683"/>
    <n v="916009"/>
    <n v="73"/>
    <n v="15648.59"/>
    <n v="9.5"/>
    <n v="7"/>
    <n v="75886"/>
    <n v="291962"/>
    <x v="0"/>
    <s v="85ee2e04-1cd1-428d-a66a-e658f9ea48f7"/>
    <s v="консолидация кредитов"/>
    <s v="в ипотеке"/>
    <s v="долгосрочный"/>
    <x v="0"/>
    <b v="0"/>
    <n v="0.29123179263677029"/>
    <n v="0.58787878787878789"/>
    <n v="0.20500134824002822"/>
  </r>
  <r>
    <n v="1355"/>
    <n v="0"/>
    <n v="398222"/>
    <n v="719"/>
    <n v="1108175"/>
    <n v="22"/>
    <n v="22440.52"/>
    <n v="31"/>
    <n v="20"/>
    <n v="478154"/>
    <n v="1006654"/>
    <x v="1"/>
    <s v="48af83bc-a382-4872-aa82-362c7d23c440"/>
    <s v="консолидация кредитов"/>
    <s v="в аренде"/>
    <s v="краткосрочный"/>
    <x v="0"/>
    <b v="0"/>
    <n v="0.49056657873609361"/>
    <n v="0.80606060606060603"/>
    <n v="0.2429997428204029"/>
  </r>
  <r>
    <n v="1356"/>
    <n v="0"/>
    <n v="153362"/>
    <n v="746"/>
    <n v="1892210"/>
    <n v="18"/>
    <n v="19174.419999999998"/>
    <n v="31.7"/>
    <n v="8"/>
    <n v="468806"/>
    <n v="714252"/>
    <x v="6"/>
    <s v="32821491-7434-4977-b5d3-0c54c17d8869"/>
    <s v="консолидация кредитов"/>
    <s v="в ипотеке"/>
    <s v="краткосрочный"/>
    <x v="0"/>
    <b v="0"/>
    <n v="0.17143594448904692"/>
    <n v="0.96969696969696972"/>
    <n v="0.12160016065870066"/>
  </r>
  <r>
    <n v="1357"/>
    <n v="0"/>
    <n v="85954"/>
    <n v="718"/>
    <n v="556719"/>
    <n v="0"/>
    <n v="1874.35"/>
    <n v="4.9000000000000004"/>
    <n v="4"/>
    <n v="73131"/>
    <n v="193336"/>
    <x v="2"/>
    <s v="24eeadbe-2a30-47d8-8289-bced495414ac"/>
    <s v="консолидация кредитов"/>
    <s v="в аренде"/>
    <s v="краткосрочный"/>
    <x v="0"/>
    <b v="0"/>
    <n v="8.358183277898841E-2"/>
    <n v="0.8"/>
    <n v="4.0401351489710247E-2"/>
  </r>
  <r>
    <n v="1358"/>
    <n v="0"/>
    <n v="308858"/>
    <n v="733"/>
    <n v="1095559"/>
    <n v="0"/>
    <n v="11868.54"/>
    <n v="16"/>
    <n v="4"/>
    <n v="1995"/>
    <n v="289564"/>
    <x v="1"/>
    <s v="c4552960-5389-4827-bbc9-ecfa0c7fe071"/>
    <s v="консолидация кредитов"/>
    <s v="в ипотеке"/>
    <s v="долгосрочный"/>
    <x v="1"/>
    <b v="0"/>
    <n v="0.37409680009175367"/>
    <n v="0.89090909090909087"/>
    <n v="0.12999982657255338"/>
  </r>
  <r>
    <n v="1359"/>
    <n v="0"/>
    <n v="348524"/>
    <n v="723"/>
    <n v="1168044"/>
    <n v="0"/>
    <n v="16963.2"/>
    <n v="15.9"/>
    <n v="12"/>
    <n v="328301"/>
    <n v="576818"/>
    <x v="4"/>
    <s v="74643cfc-8bf9-48ce-a5e6-55a5f21ccbdc"/>
    <s v="иное"/>
    <s v="в собственности"/>
    <s v="долгосрочный"/>
    <x v="1"/>
    <b v="0"/>
    <n v="0.42579424245899761"/>
    <n v="0.83030303030303032"/>
    <n v="0.17427288698028501"/>
  </r>
  <r>
    <n v="1360"/>
    <n v="0"/>
    <n v="718916"/>
    <n v="697"/>
    <n v="2522364"/>
    <n v="0"/>
    <n v="8092.48"/>
    <n v="10.6"/>
    <n v="8"/>
    <n v="87115"/>
    <n v="478082"/>
    <x v="4"/>
    <s v="96c6e2cf-9715-47d7-adee-8e58478be793"/>
    <s v="консолидация кредитов"/>
    <s v="в собственности"/>
    <s v="долгосрочный"/>
    <x v="1"/>
    <b v="0"/>
    <n v="0.90853308865695603"/>
    <n v="0.67272727272727273"/>
    <n v="3.8499502847328934E-2"/>
  </r>
  <r>
    <n v="1361"/>
    <n v="0"/>
    <n v="278740"/>
    <n v="723"/>
    <n v="1168044"/>
    <n v="48"/>
    <n v="16457.8"/>
    <n v="16.7"/>
    <n v="14"/>
    <n v="72542"/>
    <n v="240680"/>
    <x v="9"/>
    <s v="5662ddce-b424-441f-964e-014976f54537"/>
    <s v="ремонт жилья"/>
    <s v="в ипотеке"/>
    <s v="долгосрочный"/>
    <x v="0"/>
    <b v="0"/>
    <n v="0.33484344534923732"/>
    <n v="0.83030303030303032"/>
    <n v="0.16908061682607847"/>
  </r>
  <r>
    <n v="1362"/>
    <n v="0"/>
    <n v="346522"/>
    <n v="723"/>
    <n v="1168044"/>
    <n v="0"/>
    <n v="10387.49"/>
    <n v="16"/>
    <n v="6"/>
    <n v="161044"/>
    <n v="966196"/>
    <x v="5"/>
    <s v="29e515ed-e8d3-4d25-a096-0a2f11c0db92"/>
    <s v="иное"/>
    <s v="в собственности"/>
    <s v="краткосрочный"/>
    <x v="0"/>
    <b v="0"/>
    <n v="0.4231849982796192"/>
    <n v="0.83030303030303032"/>
    <n v="0.10671676751903182"/>
  </r>
  <r>
    <n v="1363"/>
    <n v="0"/>
    <n v="261052"/>
    <n v="747"/>
    <n v="2160528"/>
    <n v="50"/>
    <n v="24305.94"/>
    <n v="20.399999999999999"/>
    <n v="23"/>
    <n v="160265"/>
    <n v="751322"/>
    <x v="7"/>
    <s v="a2f53cf0-4be4-4fb3-b256-99715f5310ca"/>
    <s v="консолидация кредитов"/>
    <s v="в аренде"/>
    <s v="краткосрочный"/>
    <x v="1"/>
    <b v="0"/>
    <n v="0.31179034292923502"/>
    <n v="0.97575757575757571"/>
    <n v="0.13499999999999998"/>
  </r>
  <r>
    <n v="1364"/>
    <n v="0"/>
    <n v="173338"/>
    <n v="723"/>
    <n v="1168044"/>
    <n v="12"/>
    <n v="19703.38"/>
    <n v="17.399999999999999"/>
    <n v="10"/>
    <n v="479902"/>
    <n v="765402"/>
    <x v="1"/>
    <s v="baff779b-6db6-4aa4-ae9e-612f8cd9965a"/>
    <s v="консолидация кредитов"/>
    <s v="в аренде"/>
    <s v="краткосрочный"/>
    <x v="0"/>
    <b v="0"/>
    <n v="0.1974710402569102"/>
    <n v="0.83030303030303032"/>
    <n v="0.20242436072613704"/>
  </r>
  <r>
    <n v="1365"/>
    <n v="0"/>
    <n v="138534"/>
    <n v="703"/>
    <n v="1215126"/>
    <n v="47"/>
    <n v="13568.66"/>
    <n v="14.2"/>
    <n v="6"/>
    <n v="47500"/>
    <n v="56298"/>
    <x v="5"/>
    <s v="2fd6c069-3088-425c-a103-2bcd39045412"/>
    <s v="консолидация кредитов"/>
    <s v="в ипотеке"/>
    <s v="краткосрочный"/>
    <x v="0"/>
    <b v="0"/>
    <n v="0.15211033375387087"/>
    <n v="0.70909090909090911"/>
    <n v="0.13399756074678676"/>
  </r>
  <r>
    <n v="1366"/>
    <n v="0"/>
    <n v="44726"/>
    <n v="723"/>
    <n v="1168044"/>
    <n v="0"/>
    <n v="9094.92"/>
    <n v="10"/>
    <n v="10"/>
    <n v="83125"/>
    <n v="190234"/>
    <x v="4"/>
    <s v="4a02d4be-9e81-47a8-a21d-ea56d82e1fea"/>
    <s v="иное"/>
    <s v="в аренде"/>
    <s v="краткосрочный"/>
    <x v="0"/>
    <b v="0"/>
    <n v="2.9848606491570135E-2"/>
    <n v="0.83030303030303032"/>
    <n v="9.3437439000585598E-2"/>
  </r>
  <r>
    <n v="1367"/>
    <n v="0"/>
    <n v="217470"/>
    <n v="747"/>
    <n v="1877219"/>
    <n v="12"/>
    <n v="12201.99"/>
    <n v="30"/>
    <n v="22"/>
    <n v="407968"/>
    <n v="1769240"/>
    <x v="1"/>
    <s v="4f136098-a7fb-4473-aa86-4f7e140bde0f"/>
    <s v="консолидация кредитов"/>
    <s v="в ипотеке"/>
    <s v="краткосрочный"/>
    <x v="0"/>
    <b v="0"/>
    <n v="0.25498910425507515"/>
    <n v="0.97575757575757571"/>
    <n v="7.8000425096911977E-2"/>
  </r>
  <r>
    <n v="1368"/>
    <n v="0"/>
    <n v="644094"/>
    <n v="734"/>
    <n v="2225052"/>
    <n v="0"/>
    <n v="34859.11"/>
    <n v="19.399999999999999"/>
    <n v="20"/>
    <n v="413060"/>
    <n v="534402"/>
    <x v="2"/>
    <s v="5e0dbf17-0568-41fa-8534-d5336c6ed89a"/>
    <s v="консолидация кредитов"/>
    <s v="в ипотеке"/>
    <s v="краткосрочный"/>
    <x v="1"/>
    <b v="0"/>
    <n v="0.81101617157930961"/>
    <n v="0.89696969696969697"/>
    <n v="0.18799979506096937"/>
  </r>
  <r>
    <n v="1369"/>
    <n v="0"/>
    <n v="244420"/>
    <n v="696"/>
    <n v="2461184"/>
    <n v="2"/>
    <n v="31585.22"/>
    <n v="27"/>
    <n v="27"/>
    <n v="227373"/>
    <n v="2289430"/>
    <x v="6"/>
    <s v="748bc205-e205-481b-9012-60f0385f288f"/>
    <s v="приобретение автомобиля"/>
    <s v="в ипотеке"/>
    <s v="долгосрочный"/>
    <x v="0"/>
    <b v="0"/>
    <n v="0.29011354513132243"/>
    <n v="0.66666666666666663"/>
    <n v="0.15400012351778658"/>
  </r>
  <r>
    <n v="1370"/>
    <n v="0"/>
    <n v="189376"/>
    <n v="733"/>
    <n v="1127916"/>
    <n v="0"/>
    <n v="18704.55"/>
    <n v="14.4"/>
    <n v="24"/>
    <n v="137731"/>
    <n v="239470"/>
    <x v="0"/>
    <s v="27aa06c2-806d-4fe0-8726-a94a767424eb"/>
    <s v="консолидация кредитов"/>
    <s v="в аренде"/>
    <s v="краткосрочный"/>
    <x v="0"/>
    <b v="0"/>
    <n v="0.21837366670489736"/>
    <n v="0.89090909090909087"/>
    <n v="0.19899939357186172"/>
  </r>
  <r>
    <n v="1371"/>
    <n v="1"/>
    <n v="108856"/>
    <n v="672"/>
    <n v="1692045"/>
    <n v="17"/>
    <n v="23688.63"/>
    <n v="6"/>
    <n v="13"/>
    <n v="83600"/>
    <n v="509498"/>
    <x v="5"/>
    <s v="7db5f79b-ebae-49a4-9055-a7562b285389"/>
    <s v="иное"/>
    <s v="в аренде"/>
    <s v="краткосрочный"/>
    <x v="0"/>
    <b v="0"/>
    <n v="0.11343043927055856"/>
    <n v="0.52121212121212124"/>
    <n v="0.16800000000000001"/>
  </r>
  <r>
    <n v="1372"/>
    <n v="0"/>
    <n v="216194"/>
    <n v="731"/>
    <n v="552539"/>
    <n v="9"/>
    <n v="10820.69"/>
    <n v="15.4"/>
    <n v="11"/>
    <n v="251674"/>
    <n v="419298"/>
    <x v="1"/>
    <s v="0b0d12e0-e593-49fc-9dd2-e01b8a3ae121"/>
    <s v="консолидация кредитов"/>
    <s v="в аренде"/>
    <s v="краткосрочный"/>
    <x v="0"/>
    <b v="0"/>
    <n v="0.25332606950338343"/>
    <n v="0.87878787878787878"/>
    <n v="0.23500292287060282"/>
  </r>
  <r>
    <n v="1373"/>
    <n v="0"/>
    <m/>
    <n v="689"/>
    <n v="2072026"/>
    <n v="25"/>
    <n v="25382.29"/>
    <n v="17.5"/>
    <n v="15"/>
    <n v="344147"/>
    <n v="591228"/>
    <x v="0"/>
    <s v="77da2104-80fc-4d65-a095-65dea123fe10"/>
    <s v="консолидация кредитов"/>
    <s v="в ипотеке"/>
    <s v="краткосрочный"/>
    <x v="0"/>
    <b v="0"/>
    <m/>
    <n v="0.62424242424242427"/>
    <n v="0.14699983494415611"/>
  </r>
  <r>
    <n v="1374"/>
    <n v="0"/>
    <n v="107492"/>
    <n v="681"/>
    <n v="807576"/>
    <n v="16"/>
    <n v="3936.8"/>
    <n v="9.1"/>
    <n v="5"/>
    <n v="43833"/>
    <n v="111782"/>
    <x v="6"/>
    <s v="eaa4e4e9-ea49-43c9-b49f-8c45fb8e7de6"/>
    <s v="иное"/>
    <s v="в аренде"/>
    <s v="краткосрочный"/>
    <x v="1"/>
    <b v="0"/>
    <n v="0.11165271246702603"/>
    <n v="0.5757575757575758"/>
    <n v="5.8498023715415022E-2"/>
  </r>
  <r>
    <n v="1375"/>
    <n v="0"/>
    <n v="455532"/>
    <n v="716"/>
    <n v="1121285"/>
    <n v="0"/>
    <n v="6419.34"/>
    <n v="14.5"/>
    <n v="16"/>
    <n v="361779"/>
    <n v="856680"/>
    <x v="5"/>
    <s v="10b6058c-c637-4a3b-a909-ac130555ed0e"/>
    <s v="консолидация кредитов"/>
    <s v="в аренде"/>
    <s v="краткосрочный"/>
    <x v="0"/>
    <b v="0"/>
    <n v="0.5652597774974194"/>
    <n v="0.78787878787878785"/>
    <n v="6.8699822079132417E-2"/>
  </r>
  <r>
    <n v="1376"/>
    <n v="0"/>
    <n v="204600"/>
    <n v="719"/>
    <n v="1007019"/>
    <n v="0"/>
    <n v="16028.4"/>
    <n v="16.100000000000001"/>
    <n v="13"/>
    <n v="347928"/>
    <n v="540012"/>
    <x v="1"/>
    <s v="2fbbb212-4c9a-4469-a001-4096ab2ed7f7"/>
    <s v="консолидация кредитов"/>
    <s v="в ипотеке"/>
    <s v="краткосрочный"/>
    <x v="1"/>
    <b v="0"/>
    <n v="0.23821539167335704"/>
    <n v="0.80606060606060603"/>
    <n v="0.19100016980811682"/>
  </r>
  <r>
    <n v="1377"/>
    <n v="0"/>
    <m/>
    <n v="676"/>
    <n v="2042766"/>
    <n v="31"/>
    <n v="32513.94"/>
    <n v="24"/>
    <n v="20"/>
    <n v="856330"/>
    <n v="1404436"/>
    <x v="7"/>
    <s v="8a68583c-6dde-4d14-bb90-e79e853f8bd5"/>
    <s v="консолидация кредитов"/>
    <s v="в аренде"/>
    <s v="долгосрочный"/>
    <x v="0"/>
    <b v="0"/>
    <m/>
    <n v="0.54545454545454541"/>
    <n v="0.19099949773982922"/>
  </r>
  <r>
    <n v="1378"/>
    <n v="0"/>
    <n v="505912"/>
    <n v="747"/>
    <n v="1238952"/>
    <n v="0"/>
    <n v="13835.04"/>
    <n v="21.9"/>
    <n v="26"/>
    <n v="674785"/>
    <n v="1676642"/>
    <x v="1"/>
    <s v="4ea67148-38ca-4688-9356-db14e56d6e10"/>
    <s v="консолидация кредитов"/>
    <s v="в ипотеке"/>
    <s v="краткосрочный"/>
    <x v="0"/>
    <b v="0"/>
    <n v="0.63092097717628171"/>
    <n v="0.97575757575757571"/>
    <n v="0.13400073610599927"/>
  </r>
  <r>
    <n v="1379"/>
    <n v="0"/>
    <m/>
    <n v="742"/>
    <n v="896990"/>
    <n v="0"/>
    <n v="14277.17"/>
    <n v="19.899999999999999"/>
    <n v="18"/>
    <n v="456057"/>
    <n v="1239568"/>
    <x v="3"/>
    <s v="2a78a14e-2781-44c0-ba03-7f629d975429"/>
    <s v="консолидация кредитов"/>
    <s v="в ипотеке"/>
    <s v="краткосрочный"/>
    <x v="0"/>
    <b v="0"/>
    <m/>
    <n v="0.94545454545454544"/>
    <n v="0.19100105909764878"/>
  </r>
  <r>
    <n v="1380"/>
    <n v="1"/>
    <m/>
    <n v="720"/>
    <n v="2003854"/>
    <n v="0"/>
    <n v="14294.27"/>
    <n v="22.6"/>
    <n v="9"/>
    <n v="137446"/>
    <n v="254232"/>
    <x v="6"/>
    <s v="d5d149e7-5918-478c-8af0-889eb06e4352"/>
    <s v="иное"/>
    <s v="в аренде"/>
    <s v="краткосрочный"/>
    <x v="0"/>
    <b v="0"/>
    <m/>
    <n v="0.81212121212121213"/>
    <n v="8.5600667513701101E-2"/>
  </r>
  <r>
    <n v="1381"/>
    <n v="0"/>
    <m/>
    <n v="726"/>
    <n v="1465774"/>
    <n v="5"/>
    <n v="38843.22"/>
    <n v="22.6"/>
    <n v="17"/>
    <n v="634847"/>
    <n v="1904386"/>
    <x v="3"/>
    <s v="d03efca2-adbd-4d48-baef-f78d62d6be80"/>
    <s v="консолидация кредитов"/>
    <s v="в ипотеке"/>
    <s v="долгосрочный"/>
    <x v="0"/>
    <b v="0"/>
    <m/>
    <n v="0.84848484848484851"/>
    <n v="0.31800171104140201"/>
  </r>
  <r>
    <n v="1382"/>
    <n v="0"/>
    <n v="172040"/>
    <n v="730"/>
    <n v="479275"/>
    <n v="0"/>
    <n v="7828"/>
    <n v="9.6999999999999993"/>
    <n v="12"/>
    <n v="219355"/>
    <n v="310508"/>
    <x v="5"/>
    <s v="da1de7f3-8d7e-4680-b47d-5ec0c205b9bc"/>
    <s v="консолидация кредитов"/>
    <s v="в аренде"/>
    <s v="краткосрочный"/>
    <x v="0"/>
    <b v="0"/>
    <n v="0.19577933249225829"/>
    <n v="0.87272727272727268"/>
    <n v="0.19599603567888998"/>
  </r>
  <r>
    <n v="1383"/>
    <n v="0"/>
    <m/>
    <n v="731"/>
    <n v="1688796"/>
    <n v="37"/>
    <n v="10948.94"/>
    <n v="9.6"/>
    <n v="12"/>
    <n v="379392"/>
    <n v="536382"/>
    <x v="6"/>
    <s v="de668fb9-8638-4676-870f-d24a47bbc0f2"/>
    <s v="консолидация кредитов"/>
    <s v="в аренде"/>
    <s v="краткосрочный"/>
    <x v="0"/>
    <b v="0"/>
    <m/>
    <n v="0.87878787878787878"/>
    <n v="7.779937896584313E-2"/>
  </r>
  <r>
    <n v="1384"/>
    <n v="0"/>
    <m/>
    <n v="745"/>
    <n v="1435127"/>
    <n v="45"/>
    <n v="30017.91"/>
    <n v="17.5"/>
    <n v="12"/>
    <n v="162070"/>
    <n v="461098"/>
    <x v="1"/>
    <s v="b96a8da7-7c9b-42c5-b0cc-baec86acfd44"/>
    <s v="иное"/>
    <s v="в ипотеке"/>
    <s v="краткосрочный"/>
    <x v="0"/>
    <b v="0"/>
    <m/>
    <n v="0.96363636363636362"/>
    <n v="0.25099863635761849"/>
  </r>
  <r>
    <n v="1385"/>
    <n v="2"/>
    <m/>
    <n v="651"/>
    <n v="3244535"/>
    <n v="0"/>
    <n v="15925.23"/>
    <n v="7.4"/>
    <n v="6"/>
    <n v="40622"/>
    <n v="199276"/>
    <x v="0"/>
    <s v="0d8daa84-5a54-4736-9761-b882d3b559f3"/>
    <s v="бизнес"/>
    <s v="в ипотеке"/>
    <s v="краткосрочный"/>
    <x v="0"/>
    <b v="0"/>
    <m/>
    <n v="0.39393939393939392"/>
    <n v="5.8899891663982663E-2"/>
  </r>
  <r>
    <n v="1386"/>
    <n v="1"/>
    <n v="780560"/>
    <n v="614"/>
    <n v="1637135"/>
    <n v="30"/>
    <n v="43383.839999999997"/>
    <n v="25.7"/>
    <n v="10"/>
    <n v="265354"/>
    <n v="618200"/>
    <x v="3"/>
    <s v="68f48b57-2a62-4da7-8e4f-b53aae8c1a4d"/>
    <s v="ремонт жилья"/>
    <s v="в собственности"/>
    <s v="долгосрочный"/>
    <x v="1"/>
    <b v="0"/>
    <n v="0.98887487097144167"/>
    <n v="0.16969696969696971"/>
    <n v="0.3179982591539488"/>
  </r>
  <r>
    <n v="1387"/>
    <n v="0"/>
    <n v="441452"/>
    <n v="720"/>
    <n v="869288"/>
    <n v="0"/>
    <n v="20717.79"/>
    <n v="15.6"/>
    <n v="9"/>
    <n v="301169"/>
    <n v="345620"/>
    <x v="5"/>
    <s v="ac1693b3-7df6-4456-88ea-51a21724661a"/>
    <s v="консолидация кредитов"/>
    <s v="в аренде"/>
    <s v="краткосрочный"/>
    <x v="0"/>
    <b v="0"/>
    <n v="0.54690904920289019"/>
    <n v="0.81212121212121213"/>
    <n v="0.28599667774086379"/>
  </r>
  <r>
    <n v="1388"/>
    <n v="1"/>
    <n v="111078"/>
    <n v="745"/>
    <n v="1841879"/>
    <n v="0"/>
    <n v="9454.9699999999993"/>
    <n v="24.4"/>
    <n v="16"/>
    <n v="526870"/>
    <n v="1289772"/>
    <x v="4"/>
    <s v="192bc557-cd9b-4c14-a9e6-59ba96fc5f06"/>
    <s v="консолидация кредитов"/>
    <s v="в собственности"/>
    <s v="краткосрочный"/>
    <x v="0"/>
    <b v="0"/>
    <n v="0.11632641357953893"/>
    <n v="0.96363636363636362"/>
    <n v="6.1599942232904548E-2"/>
  </r>
  <r>
    <n v="1389"/>
    <n v="0"/>
    <n v="444840"/>
    <n v="728"/>
    <n v="916275"/>
    <n v="0"/>
    <n v="10995.3"/>
    <n v="7.8"/>
    <n v="8"/>
    <n v="354692"/>
    <n v="613910"/>
    <x v="3"/>
    <s v="9fb1ad76-eeb4-4e22-9533-4b94d89edf02"/>
    <s v="консолидация кредитов"/>
    <s v="в ипотеке"/>
    <s v="долгосрочный"/>
    <x v="0"/>
    <b v="0"/>
    <n v="0.55132469319876132"/>
    <n v="0.8606060606060606"/>
    <n v="0.14399999999999999"/>
  </r>
  <r>
    <n v="1390"/>
    <n v="0"/>
    <n v="178178"/>
    <n v="747"/>
    <n v="827127"/>
    <n v="34"/>
    <n v="4446"/>
    <n v="39.6"/>
    <n v="12"/>
    <n v="86070"/>
    <n v="324676"/>
    <x v="1"/>
    <s v="61c1ced2-5271-40e4-92c8-e8425fd52143"/>
    <s v="консолидация кредитов"/>
    <s v="в ипотеке"/>
    <s v="краткосрочный"/>
    <x v="0"/>
    <b v="0"/>
    <n v="0.20377910310815461"/>
    <n v="0.97575757575757571"/>
    <n v="6.4502790986148445E-2"/>
  </r>
  <r>
    <n v="1391"/>
    <n v="0"/>
    <n v="371272"/>
    <n v="681"/>
    <n v="890929"/>
    <n v="0"/>
    <n v="18858.07"/>
    <n v="9.9"/>
    <n v="7"/>
    <n v="356307"/>
    <n v="541420"/>
    <x v="2"/>
    <s v="2c433864-b08e-4dfa-850b-395a36e84950"/>
    <s v="консолидация кредитов"/>
    <s v="в аренде"/>
    <s v="долгосрочный"/>
    <x v="0"/>
    <b v="0"/>
    <n v="0.45544213785984633"/>
    <n v="0.5757575757575758"/>
    <n v="0.25400098099848584"/>
  </r>
  <r>
    <n v="1392"/>
    <n v="0"/>
    <n v="432168"/>
    <n v="693"/>
    <n v="1404632"/>
    <n v="17"/>
    <n v="24229.94"/>
    <n v="12.3"/>
    <n v="15"/>
    <n v="308047"/>
    <n v="457886"/>
    <x v="7"/>
    <s v="60f0f4e0-3986-46e3-bb5e-64bdce9c045f"/>
    <s v="консолидация кредитов"/>
    <s v="в аренде"/>
    <s v="долгосрочный"/>
    <x v="1"/>
    <b v="0"/>
    <n v="0.53480903773368504"/>
    <n v="0.64848484848484844"/>
    <n v="0.20700032464019044"/>
  </r>
  <r>
    <n v="1393"/>
    <n v="0"/>
    <n v="268708"/>
    <n v="730"/>
    <n v="870219"/>
    <n v="0"/>
    <n v="16454.57"/>
    <n v="23.3"/>
    <n v="5"/>
    <n v="169195"/>
    <n v="201542"/>
    <x v="3"/>
    <s v="d19fe356-f219-4624-ab6d-be53df6deee7"/>
    <s v="консолидация кредитов"/>
    <s v="в аренде"/>
    <s v="долгосрочный"/>
    <x v="1"/>
    <b v="0"/>
    <n v="0.32176855143938526"/>
    <n v="0.87272727272727268"/>
    <n v="0.22690246937839784"/>
  </r>
  <r>
    <n v="1394"/>
    <n v="0"/>
    <m/>
    <n v="713"/>
    <n v="2239416"/>
    <n v="0"/>
    <n v="44228.2"/>
    <n v="17.3"/>
    <n v="17"/>
    <n v="632263"/>
    <n v="1247180"/>
    <x v="1"/>
    <s v="54886261-722c-4032-b622-994f4a980926"/>
    <s v="консолидация кредитов"/>
    <s v="в ипотеке"/>
    <s v="долгосрочный"/>
    <x v="0"/>
    <b v="1"/>
    <m/>
    <n v="0.76969696969696966"/>
    <n v="0.23699857462838525"/>
  </r>
  <r>
    <n v="1395"/>
    <n v="0"/>
    <n v="215886"/>
    <n v="707"/>
    <n v="783085"/>
    <n v="0"/>
    <n v="8809.5400000000009"/>
    <n v="11"/>
    <n v="11"/>
    <n v="179949"/>
    <n v="304612"/>
    <x v="5"/>
    <s v="f99719f4-0dc6-4ed2-ac0f-2e1e88e7ac3e"/>
    <s v="консолидация кредитов"/>
    <s v="в аренде"/>
    <s v="краткосрочный"/>
    <x v="0"/>
    <b v="0"/>
    <n v="0.25292464732194059"/>
    <n v="0.73333333333333328"/>
    <n v="0.13499745238384084"/>
  </r>
  <r>
    <n v="1396"/>
    <n v="0"/>
    <n v="544940"/>
    <n v="708"/>
    <n v="1780870"/>
    <n v="0"/>
    <n v="16398.900000000001"/>
    <n v="17.399999999999999"/>
    <n v="10"/>
    <n v="429229"/>
    <n v="1453254"/>
    <x v="2"/>
    <s v="7c8e2129-fb3b-480c-b0eb-532a151812c5"/>
    <s v="бизнес"/>
    <s v="в ипотеке"/>
    <s v="долгосрочный"/>
    <x v="0"/>
    <b v="0"/>
    <n v="0.68178690216767979"/>
    <n v="0.73939393939393938"/>
    <n v="0.11050037341299478"/>
  </r>
  <r>
    <n v="1397"/>
    <n v="0"/>
    <m/>
    <n v="747"/>
    <n v="2071817"/>
    <n v="36"/>
    <n v="19164.349999999999"/>
    <n v="25.9"/>
    <n v="12"/>
    <n v="503538"/>
    <n v="1154560"/>
    <x v="8"/>
    <s v="b1c7f131-45fa-4a53-ace7-1f538715e130"/>
    <s v="приобретение автомобиля"/>
    <s v="в ипотеке"/>
    <s v="краткосрочный"/>
    <x v="0"/>
    <b v="0"/>
    <m/>
    <n v="0.97575757575757571"/>
    <n v="0.1110002476087415"/>
  </r>
  <r>
    <n v="1398"/>
    <n v="0"/>
    <n v="789096"/>
    <n v="681"/>
    <n v="2433900"/>
    <n v="0"/>
    <n v="39956.43"/>
    <n v="28.1"/>
    <n v="17"/>
    <n v="2191726"/>
    <n v="2589576"/>
    <x v="10"/>
    <s v="b5f3fb8d-95f7-4df9-8180-e5ee8a46de70"/>
    <s v="консолидация кредитов"/>
    <s v="в ипотеке"/>
    <s v="долгосрочный"/>
    <x v="0"/>
    <b v="0"/>
    <n v="1"/>
    <n v="0.5757575757575758"/>
    <n v="0.19699953161592507"/>
  </r>
  <r>
    <n v="1399"/>
    <n v="0"/>
    <n v="444444"/>
    <n v="704"/>
    <n v="1458592"/>
    <n v="0"/>
    <n v="25768.37"/>
    <n v="22.5"/>
    <n v="24"/>
    <n v="616113"/>
    <n v="1017698"/>
    <x v="1"/>
    <s v="bc301b42-c7ac-43a0-afc4-f628d1ae8918"/>
    <s v="консолидация кредитов"/>
    <s v="в аренде"/>
    <s v="краткосрочный"/>
    <x v="0"/>
    <b v="0"/>
    <n v="0.55080857896547775"/>
    <n v="0.7151515151515152"/>
    <n v="0.21199927052938725"/>
  </r>
  <r>
    <n v="1400"/>
    <n v="0"/>
    <n v="536976"/>
    <n v="668"/>
    <n v="1780775"/>
    <n v="39"/>
    <n v="27453.48"/>
    <n v="38.799999999999997"/>
    <n v="11"/>
    <n v="732754"/>
    <n v="968550"/>
    <x v="1"/>
    <s v="cc58d787-d423-40ee-b1e5-706be95eaf7f"/>
    <s v="консолидация кредитов"/>
    <s v="в аренде"/>
    <s v="краткосрочный"/>
    <x v="0"/>
    <b v="0"/>
    <n v="0.6714072714760867"/>
    <n v="0.49696969696969695"/>
    <n v="0.18499909309149107"/>
  </r>
  <r>
    <n v="1401"/>
    <n v="0"/>
    <n v="223080"/>
    <n v="721"/>
    <n v="2022930"/>
    <n v="0"/>
    <n v="14379.77"/>
    <n v="8.5"/>
    <n v="7"/>
    <n v="100852"/>
    <n v="269698"/>
    <x v="1"/>
    <s v="27f90c43-00bd-4d09-bdec-1a865c679f00"/>
    <s v="консолидация кредитов"/>
    <s v="в аренде"/>
    <s v="краткосрочный"/>
    <x v="0"/>
    <b v="0"/>
    <n v="0.26230072255992659"/>
    <n v="0.81818181818181823"/>
    <n v="8.5300648069878846E-2"/>
  </r>
  <r>
    <n v="1402"/>
    <n v="0"/>
    <n v="329780"/>
    <n v="679"/>
    <n v="918194"/>
    <n v="0"/>
    <n v="7957.77"/>
    <n v="19.100000000000001"/>
    <n v="3"/>
    <n v="123120"/>
    <n v="145464"/>
    <x v="0"/>
    <s v="0cbfb2a5-ff94-4dbb-bcf9-6bc0bd5c9e95"/>
    <s v="иное"/>
    <s v="в ипотеке"/>
    <s v="долгосрочный"/>
    <x v="0"/>
    <b v="0"/>
    <n v="0.4013648354169056"/>
    <n v="0.5636363636363636"/>
    <n v="0.10400115879650705"/>
  </r>
  <r>
    <n v="1403"/>
    <n v="0"/>
    <n v="451154"/>
    <n v="726"/>
    <n v="5306301"/>
    <n v="0"/>
    <n v="43246.28"/>
    <n v="13"/>
    <n v="13"/>
    <n v="191691"/>
    <n v="932624"/>
    <x v="2"/>
    <s v="28f97812-a3ad-40e0-acf8-426a838504f1"/>
    <s v="ремонт жилья"/>
    <s v="в собственности"/>
    <s v="долгосрочный"/>
    <x v="0"/>
    <b v="0"/>
    <n v="0.55955384791833929"/>
    <n v="0.84848484848484851"/>
    <n v="9.7799834574028119E-2"/>
  </r>
  <r>
    <n v="1404"/>
    <n v="0"/>
    <m/>
    <n v="711"/>
    <n v="1708974"/>
    <n v="0"/>
    <n v="23925.56"/>
    <n v="20.2"/>
    <n v="9"/>
    <n v="284430"/>
    <n v="411158"/>
    <x v="7"/>
    <s v="eb37cb89-507e-4390-8a9c-c9e1eafc2d50"/>
    <s v="консолидация кредитов"/>
    <s v="в ипотеке"/>
    <s v="долгосрочный"/>
    <x v="0"/>
    <b v="0"/>
    <m/>
    <n v="0.75757575757575757"/>
    <n v="0.16799946634647456"/>
  </r>
  <r>
    <n v="1405"/>
    <n v="0"/>
    <n v="116930"/>
    <n v="724"/>
    <n v="1320557"/>
    <n v="0"/>
    <n v="10366.4"/>
    <n v="16.2"/>
    <n v="5"/>
    <n v="63764"/>
    <n v="101112"/>
    <x v="1"/>
    <s v="31f34c02-a3c9-4384-adff-a591b06a177c"/>
    <s v="иное"/>
    <s v="в ипотеке"/>
    <s v="краткосрочный"/>
    <x v="0"/>
    <b v="0"/>
    <n v="0.12395343502695264"/>
    <n v="0.83636363636363631"/>
    <n v="9.4200250348905792E-2"/>
  </r>
  <r>
    <n v="1406"/>
    <n v="1"/>
    <n v="167772"/>
    <n v="719"/>
    <n v="835943"/>
    <n v="0"/>
    <n v="11981.78"/>
    <n v="26.1"/>
    <n v="6"/>
    <n v="45239"/>
    <n v="131274"/>
    <x v="10"/>
    <s v="2446bd8f-e614-4a93-8c99-55c4824eba13"/>
    <s v="путешествие"/>
    <s v="в собственности"/>
    <s v="краткосрочный"/>
    <x v="0"/>
    <b v="0"/>
    <n v="0.19021676797797912"/>
    <n v="0.80606060606060603"/>
    <n v="0.17199899993181353"/>
  </r>
  <r>
    <n v="1407"/>
    <n v="0"/>
    <n v="392722"/>
    <n v="748"/>
    <n v="1168215"/>
    <n v="30"/>
    <n v="15089.42"/>
    <n v="30.9"/>
    <n v="18"/>
    <n v="120498"/>
    <n v="375056"/>
    <x v="4"/>
    <s v="a7abd60b-7a59-425d-9925-460987ec6c3e"/>
    <s v="консолидация кредитов"/>
    <s v="в собственности"/>
    <s v="краткосрочный"/>
    <x v="1"/>
    <b v="0"/>
    <n v="0.48339832549604311"/>
    <n v="0.98181818181818181"/>
    <n v="0.15499975603805807"/>
  </r>
  <r>
    <n v="1408"/>
    <n v="0"/>
    <n v="178486"/>
    <n v="723"/>
    <n v="1168044"/>
    <n v="0"/>
    <n v="6224.59"/>
    <n v="15"/>
    <n v="7"/>
    <n v="161500"/>
    <n v="229724"/>
    <x v="3"/>
    <s v="c82a8ee2-8c19-42f4-abb3-026a6c715e00"/>
    <s v="консолидация кредитов"/>
    <s v="в аренде"/>
    <s v="краткосрочный"/>
    <x v="0"/>
    <b v="0"/>
    <n v="0.20418052528959743"/>
    <n v="0.83030303030303032"/>
    <n v="6.3948858090962332E-2"/>
  </r>
  <r>
    <n v="1409"/>
    <n v="0"/>
    <n v="120164"/>
    <n v="737"/>
    <n v="741228"/>
    <n v="0"/>
    <n v="7288.59"/>
    <n v="11.9"/>
    <n v="19"/>
    <n v="196213"/>
    <n v="584078"/>
    <x v="9"/>
    <s v="9c015267-04ee-4b5f-bed8-0e10f6ea36ea"/>
    <s v="консолидация кредитов"/>
    <s v="в собственности"/>
    <s v="краткосрочный"/>
    <x v="0"/>
    <b v="0"/>
    <n v="0.12816836793210232"/>
    <n v="0.91515151515151516"/>
    <n v="0.11799753921870194"/>
  </r>
  <r>
    <n v="1410"/>
    <n v="0"/>
    <n v="217514"/>
    <n v="654"/>
    <n v="525996"/>
    <n v="0"/>
    <n v="4996.8100000000004"/>
    <n v="9.6999999999999993"/>
    <n v="7"/>
    <n v="122227"/>
    <n v="202202"/>
    <x v="1"/>
    <s v="603246c5-8c17-4aa7-8879-e1a5c9c3de87"/>
    <s v="консолидация кредитов"/>
    <s v="в собственности"/>
    <s v="краткосрочный"/>
    <x v="1"/>
    <b v="0"/>
    <n v="0.25504645028099554"/>
    <n v="0.41212121212121211"/>
    <n v="0.11399653229302124"/>
  </r>
  <r>
    <n v="1411"/>
    <n v="1"/>
    <n v="234058"/>
    <n v="707"/>
    <n v="2467530"/>
    <n v="36"/>
    <n v="14126.69"/>
    <n v="17.5"/>
    <n v="9"/>
    <n v="86583"/>
    <n v="169356"/>
    <x v="8"/>
    <s v="8d4039e2-37db-400c-9fd8-b63fbf875555"/>
    <s v="ремонт жилья"/>
    <s v="в ипотеке"/>
    <s v="краткосрочный"/>
    <x v="1"/>
    <b v="0"/>
    <n v="0.2766085560270673"/>
    <n v="0.73333333333333328"/>
    <n v="6.8700392700392701E-2"/>
  </r>
  <r>
    <n v="1412"/>
    <n v="0"/>
    <n v="223234"/>
    <n v="724"/>
    <n v="1156758"/>
    <n v="0"/>
    <n v="5668.08"/>
    <n v="13"/>
    <n v="7"/>
    <n v="156370"/>
    <n v="203214"/>
    <x v="5"/>
    <s v="30c4cfc2-15e7-4833-b4fd-8823d362118d"/>
    <s v="консолидация кредитов"/>
    <s v="в аренде"/>
    <s v="краткосрочный"/>
    <x v="0"/>
    <b v="0"/>
    <n v="0.26250143365064799"/>
    <n v="0.83636363636363631"/>
    <n v="5.8799645215334581E-2"/>
  </r>
  <r>
    <n v="1413"/>
    <n v="0"/>
    <n v="428846"/>
    <n v="703"/>
    <n v="823042"/>
    <n v="50"/>
    <n v="13854.61"/>
    <n v="19.2"/>
    <n v="13"/>
    <n v="487407"/>
    <n v="990132"/>
    <x v="1"/>
    <s v="fdd59d55-6bfb-497c-9858-42883d4ba3f6"/>
    <s v="консолидация кредитов"/>
    <s v="в ипотеке"/>
    <s v="краткосрочный"/>
    <x v="0"/>
    <b v="0"/>
    <n v="0.53047941277669453"/>
    <n v="0.70909090909090911"/>
    <n v="0.20200101574403254"/>
  </r>
  <r>
    <n v="1414"/>
    <n v="0"/>
    <n v="67562"/>
    <n v="723"/>
    <n v="1168044"/>
    <n v="13"/>
    <n v="5055.33"/>
    <n v="23.1"/>
    <n v="15"/>
    <n v="243333"/>
    <n v="759418"/>
    <x v="1"/>
    <s v="726e50be-3ae4-43c4-bd59-cdc406a8b056"/>
    <s v="иное"/>
    <s v="в собственности"/>
    <s v="краткосрочный"/>
    <x v="1"/>
    <b v="0"/>
    <n v="5.9611193944259663E-2"/>
    <n v="0.83030303030303032"/>
    <n v="5.1936365410892055E-2"/>
  </r>
  <r>
    <n v="1415"/>
    <n v="0"/>
    <n v="583352"/>
    <n v="723"/>
    <n v="1168044"/>
    <n v="66"/>
    <n v="15582.47"/>
    <n v="24.5"/>
    <n v="16"/>
    <n v="641307"/>
    <n v="1847208"/>
    <x v="1"/>
    <s v="0c4e47e3-f426-4e0b-8436-3c91d02fda0c"/>
    <s v="консолидация кредитов"/>
    <s v="в ипотеке"/>
    <s v="долгосрочный"/>
    <x v="0"/>
    <b v="0"/>
    <n v="0.73184998279619218"/>
    <n v="0.83030303030303032"/>
    <n v="0.1600878391567441"/>
  </r>
  <r>
    <n v="1416"/>
    <n v="0"/>
    <n v="348348"/>
    <n v="709"/>
    <n v="846108"/>
    <n v="0"/>
    <n v="6938.04"/>
    <n v="14.9"/>
    <n v="8"/>
    <n v="190817"/>
    <n v="265562"/>
    <x v="2"/>
    <s v="a49ad179-164a-4109-8353-b7589d8bf594"/>
    <s v="консолидация кредитов"/>
    <s v="в собственности"/>
    <s v="краткосрочный"/>
    <x v="0"/>
    <b v="0"/>
    <n v="0.42556485835531599"/>
    <n v="0.74545454545454548"/>
    <n v="9.8399353274050125E-2"/>
  </r>
  <r>
    <n v="1417"/>
    <n v="1"/>
    <n v="43758"/>
    <n v="701"/>
    <n v="1228464"/>
    <n v="0"/>
    <n v="7503.86"/>
    <n v="23.8"/>
    <n v="8"/>
    <n v="57874"/>
    <n v="183590"/>
    <x v="1"/>
    <s v="6181e925-d5d8-46a2-af7c-2eb1e0880257"/>
    <s v="иное"/>
    <s v="в аренде"/>
    <s v="краткосрочный"/>
    <x v="0"/>
    <b v="0"/>
    <n v="2.8586993921321253E-2"/>
    <n v="0.69696969696969702"/>
    <n v="7.3299925760950263E-2"/>
  </r>
  <r>
    <n v="1418"/>
    <n v="0"/>
    <n v="411730"/>
    <n v="725"/>
    <n v="2621164"/>
    <n v="0"/>
    <n v="18020.55"/>
    <n v="16"/>
    <n v="3"/>
    <n v="117762"/>
    <n v="592856"/>
    <x v="2"/>
    <s v="59d3bc3f-9409-4911-b987-cb2ae9b89ccc"/>
    <s v="консолидация кредитов"/>
    <s v="в аренде"/>
    <s v="долгосрочный"/>
    <x v="0"/>
    <b v="0"/>
    <n v="0.50817180869365752"/>
    <n v="0.84242424242424241"/>
    <n v="8.250021746063961E-2"/>
  </r>
  <r>
    <n v="1419"/>
    <n v="0"/>
    <n v="776710"/>
    <n v="723"/>
    <n v="1168044"/>
    <n v="0"/>
    <n v="22921.79"/>
    <n v="14.5"/>
    <n v="9"/>
    <n v="255341"/>
    <n v="658482"/>
    <x v="2"/>
    <s v="9699568c-ea41-4c89-a184-a19fc876459c"/>
    <s v="консолидация кредитов"/>
    <s v="в аренде"/>
    <s v="долгосрочный"/>
    <x v="1"/>
    <b v="0"/>
    <n v="0.98385709370340635"/>
    <n v="0.83030303030303032"/>
    <n v="0.23548897130587548"/>
  </r>
  <r>
    <n v="1420"/>
    <n v="0"/>
    <n v="215578"/>
    <n v="665"/>
    <n v="595783"/>
    <n v="0"/>
    <n v="8291.2199999999993"/>
    <n v="11"/>
    <n v="11"/>
    <n v="220115"/>
    <n v="407154"/>
    <x v="6"/>
    <s v="69cf6d62-9f60-4786-a2a8-afaedf87ce2e"/>
    <s v="консолидация кредитов"/>
    <s v="в собственности"/>
    <s v="долгосрочный"/>
    <x v="1"/>
    <b v="0"/>
    <n v="0.25252322514049774"/>
    <n v="0.47878787878787876"/>
    <n v="0.16699811844245302"/>
  </r>
  <r>
    <n v="1421"/>
    <n v="0"/>
    <n v="198308"/>
    <n v="706"/>
    <n v="846431"/>
    <n v="31"/>
    <n v="4753.99"/>
    <n v="16.399999999999999"/>
    <n v="8"/>
    <n v="58881"/>
    <n v="112310"/>
    <x v="10"/>
    <s v="f7e430c4-029f-4ca6-9ca3-21ffca56f5bf"/>
    <s v="консолидация кредитов"/>
    <s v="в аренде"/>
    <s v="краткосрочный"/>
    <x v="0"/>
    <b v="0"/>
    <n v="0.23001490996673932"/>
    <n v="0.72727272727272729"/>
    <n v="6.7398145861859965E-2"/>
  </r>
  <r>
    <n v="1422"/>
    <n v="0"/>
    <n v="272866"/>
    <n v="723"/>
    <n v="1168044"/>
    <n v="0"/>
    <n v="11670.75"/>
    <n v="21.5"/>
    <n v="9"/>
    <n v="211204"/>
    <n v="445456"/>
    <x v="2"/>
    <s v="2cf5aba4-6eca-419c-8a99-afbbe1cefbdd"/>
    <s v="консолидация кредитов"/>
    <s v="в ипотеке"/>
    <s v="краткосрочный"/>
    <x v="1"/>
    <b v="0"/>
    <n v="0.32718775088886343"/>
    <n v="0.83030303030303032"/>
    <n v="0.11990044895569002"/>
  </r>
  <r>
    <n v="1423"/>
    <n v="0"/>
    <n v="292490"/>
    <n v="739"/>
    <n v="1029857"/>
    <n v="31"/>
    <n v="21713.01"/>
    <n v="22.1"/>
    <n v="15"/>
    <n v="387714"/>
    <n v="811800"/>
    <x v="1"/>
    <s v="8d1de553-e0ea-429f-9791-f55fa8c99ee1"/>
    <s v="консолидация кредитов"/>
    <s v="в ипотеке"/>
    <s v="краткосрочный"/>
    <x v="1"/>
    <b v="0"/>
    <n v="0.35276407844936347"/>
    <n v="0.92727272727272725"/>
    <n v="0.25300223234876296"/>
  </r>
  <r>
    <n v="1424"/>
    <n v="1"/>
    <n v="668712"/>
    <n v="684"/>
    <n v="3368890"/>
    <n v="28"/>
    <n v="53902.239999999998"/>
    <n v="29.7"/>
    <n v="11"/>
    <n v="141037"/>
    <n v="265100"/>
    <x v="1"/>
    <s v="6944e76f-c877-4782-bd47-8689b418d091"/>
    <s v="бизнес"/>
    <s v="в ипотеке"/>
    <s v="краткосрочный"/>
    <x v="0"/>
    <b v="1"/>
    <n v="0.8431012730817754"/>
    <n v="0.59393939393939399"/>
    <n v="0.192"/>
  </r>
  <r>
    <n v="1425"/>
    <n v="1"/>
    <n v="220880"/>
    <n v="744"/>
    <n v="1239940"/>
    <n v="51"/>
    <n v="1797.97"/>
    <n v="13"/>
    <n v="4"/>
    <n v="42370"/>
    <n v="225038"/>
    <x v="1"/>
    <s v="e4b13240-43a4-49e6-be12-bf70f69d9492"/>
    <s v="ремонт жилья"/>
    <s v="в собственности"/>
    <s v="краткосрочный"/>
    <x v="0"/>
    <b v="0"/>
    <n v="0.25943342126390639"/>
    <n v="0.95757575757575752"/>
    <n v="1.7400551639595467E-2"/>
  </r>
  <r>
    <n v="1426"/>
    <n v="0"/>
    <n v="110286"/>
    <n v="736"/>
    <n v="969513"/>
    <n v="0"/>
    <n v="12280.46"/>
    <n v="9.6"/>
    <n v="6"/>
    <n v="31160"/>
    <n v="70620"/>
    <x v="1"/>
    <s v="349a9d0c-f5b0-49df-991e-1d628d2f47c1"/>
    <s v="ремонт жилья"/>
    <s v="в ипотеке"/>
    <s v="краткосрочный"/>
    <x v="0"/>
    <b v="0"/>
    <n v="0.11529418511297167"/>
    <n v="0.90909090909090906"/>
    <n v="0.15199952966076782"/>
  </r>
  <r>
    <n v="1427"/>
    <n v="0"/>
    <n v="249480"/>
    <n v="708"/>
    <n v="1124154"/>
    <n v="15"/>
    <n v="7925.28"/>
    <n v="14.9"/>
    <n v="5"/>
    <n v="160569"/>
    <n v="701580"/>
    <x v="2"/>
    <s v="336159c4-7a7a-4ece-ac14-dbba1de63e4a"/>
    <s v="консолидация кредитов"/>
    <s v="в ипотеке"/>
    <s v="долгосрочный"/>
    <x v="0"/>
    <b v="0"/>
    <n v="0.29670833811216885"/>
    <n v="0.73939393939393938"/>
    <n v="8.4599939154243992E-2"/>
  </r>
  <r>
    <n v="1428"/>
    <n v="1"/>
    <n v="334400"/>
    <n v="735"/>
    <n v="1058908"/>
    <n v="0"/>
    <n v="20295.61"/>
    <n v="19.3"/>
    <n v="14"/>
    <n v="256348"/>
    <n v="463804"/>
    <x v="0"/>
    <s v="c91f11ac-68fe-4303-8f44-8a4dc3d1e0fe"/>
    <s v="консолидация кредитов"/>
    <s v="в ипотеке"/>
    <s v="краткосрочный"/>
    <x v="0"/>
    <b v="0"/>
    <n v="0.407386168138548"/>
    <n v="0.90303030303030307"/>
    <n v="0.22999856455896076"/>
  </r>
  <r>
    <n v="1429"/>
    <n v="0"/>
    <n v="325578"/>
    <n v="747"/>
    <n v="749816"/>
    <n v="0"/>
    <n v="12934.25"/>
    <n v="14.5"/>
    <n v="7"/>
    <n v="207138"/>
    <n v="329890"/>
    <x v="7"/>
    <s v="f03980f5-58c2-46b6-ba61-55c5b71c3471"/>
    <s v="приобретение автомобиля"/>
    <s v="в аренде"/>
    <s v="краткосрочный"/>
    <x v="1"/>
    <b v="0"/>
    <n v="0.39588828994150704"/>
    <n v="0.97575757575757571"/>
    <n v="0.20699878370160146"/>
  </r>
  <r>
    <n v="1430"/>
    <n v="1"/>
    <n v="111034"/>
    <n v="701"/>
    <n v="1150716"/>
    <n v="2"/>
    <n v="25891.11"/>
    <n v="16.7"/>
    <n v="13"/>
    <n v="178334"/>
    <n v="357258"/>
    <x v="8"/>
    <s v="5c9f4154-4962-4f0f-abf5-db4f2a8ce2d5"/>
    <s v="консолидация кредитов"/>
    <s v="в аренде"/>
    <s v="краткосрочный"/>
    <x v="0"/>
    <b v="0"/>
    <n v="0.11626906755361853"/>
    <n v="0.69696969696969702"/>
    <n v="0.27"/>
  </r>
  <r>
    <n v="1431"/>
    <n v="0"/>
    <n v="420684"/>
    <n v="746"/>
    <n v="810616"/>
    <n v="7"/>
    <n v="15469.04"/>
    <n v="17.100000000000001"/>
    <n v="10"/>
    <n v="235505"/>
    <n v="529474"/>
    <x v="1"/>
    <s v="9547beca-dd1e-4da8-8a3e-d121eabe920c"/>
    <s v="консолидация кредитов"/>
    <s v="в ипотеке"/>
    <s v="краткосрочный"/>
    <x v="1"/>
    <b v="0"/>
    <n v="0.51984172496845971"/>
    <n v="0.96969696969696972"/>
    <n v="0.22899681230076882"/>
  </r>
  <r>
    <n v="1432"/>
    <n v="1"/>
    <n v="267806"/>
    <n v="692"/>
    <n v="1060048"/>
    <n v="24"/>
    <n v="10688.83"/>
    <n v="18.5"/>
    <n v="9"/>
    <n v="243428"/>
    <n v="319220"/>
    <x v="1"/>
    <s v="d40c5b24-8646-4128-8fec-6e005d4bcaff"/>
    <s v="консолидация кредитов"/>
    <s v="в аренде"/>
    <s v="краткосрочный"/>
    <x v="0"/>
    <b v="0"/>
    <n v="0.32059295790801695"/>
    <n v="0.64242424242424245"/>
    <n v="0.12100014338973331"/>
  </r>
  <r>
    <n v="1433"/>
    <n v="0"/>
    <n v="346544"/>
    <n v="722"/>
    <n v="972686"/>
    <n v="0"/>
    <n v="24073.95"/>
    <n v="22.5"/>
    <n v="14"/>
    <n v="434606"/>
    <n v="944130"/>
    <x v="9"/>
    <s v="dace8b80-194b-410d-8eec-5df2afb17310"/>
    <s v="консолидация кредитов"/>
    <s v="в ипотеке"/>
    <s v="долгосрочный"/>
    <x v="0"/>
    <b v="0"/>
    <n v="0.42321367129257942"/>
    <n v="0.82424242424242422"/>
    <n v="0.29699964839629645"/>
  </r>
  <r>
    <n v="1434"/>
    <n v="0"/>
    <n v="24684"/>
    <n v="724"/>
    <n v="697547"/>
    <n v="0"/>
    <n v="18310.490000000002"/>
    <n v="13.3"/>
    <n v="6"/>
    <n v="31445"/>
    <n v="246026"/>
    <x v="1"/>
    <s v="da591410-ac89-4bdb-9dbb-a4dc0a514350"/>
    <s v="консолидация кредитов"/>
    <s v="в ипотеке"/>
    <s v="краткосрочный"/>
    <x v="0"/>
    <b v="0"/>
    <n v="3.7274916848262416E-3"/>
    <n v="0.83636363636363631"/>
    <n v="0.31499795712690332"/>
  </r>
  <r>
    <n v="1435"/>
    <n v="0"/>
    <n v="207680"/>
    <n v="733"/>
    <n v="529511"/>
    <n v="0"/>
    <n v="7589.74"/>
    <n v="14.5"/>
    <n v="9"/>
    <n v="113316"/>
    <n v="390522"/>
    <x v="1"/>
    <s v="2448e353-eaa6-48b3-9c84-b1555faf5d2c"/>
    <s v="консолидация кредитов"/>
    <s v="в ипотеке"/>
    <s v="краткосрочный"/>
    <x v="1"/>
    <b v="0"/>
    <n v="0.24222961348778529"/>
    <n v="0.89090909090909087"/>
    <n v="0.17200186587247479"/>
  </r>
  <r>
    <n v="1436"/>
    <n v="0"/>
    <n v="110836"/>
    <n v="742"/>
    <n v="765700"/>
    <n v="0"/>
    <n v="3407.46"/>
    <n v="13.9"/>
    <n v="5"/>
    <n v="107293"/>
    <n v="255090"/>
    <x v="1"/>
    <s v="9e13a612-6c1e-461d-b830-e77e5752c2b5"/>
    <s v="консолидация кредитов"/>
    <s v="в аренде"/>
    <s v="краткосрочный"/>
    <x v="0"/>
    <b v="0"/>
    <n v="0.11601101043697672"/>
    <n v="0.94545454545454544"/>
    <n v="5.3401488833746895E-2"/>
  </r>
  <r>
    <n v="1437"/>
    <n v="0"/>
    <n v="676170"/>
    <n v="744"/>
    <n v="1557240"/>
    <n v="0"/>
    <n v="18297.57"/>
    <n v="24.7"/>
    <n v="5"/>
    <n v="712994"/>
    <n v="1120196"/>
    <x v="1"/>
    <s v="f79fecc8-b33e-43ec-b850-521380e615e7"/>
    <s v="консолидация кредитов"/>
    <s v="в аренде"/>
    <s v="краткосрочный"/>
    <x v="0"/>
    <b v="0"/>
    <n v="0.85282142447528386"/>
    <n v="0.95757575757575752"/>
    <n v="0.14099999999999999"/>
  </r>
  <r>
    <n v="1438"/>
    <n v="0"/>
    <n v="548790"/>
    <n v="686"/>
    <n v="2972189"/>
    <n v="41"/>
    <n v="6885.6"/>
    <n v="30"/>
    <n v="12"/>
    <n v="21565"/>
    <n v="402930"/>
    <x v="1"/>
    <s v="f00775f8-f70a-47e2-84c2-7597aab3b430"/>
    <s v="малый бизнес"/>
    <s v="в ипотеке"/>
    <s v="долгосрочный"/>
    <x v="0"/>
    <b v="0"/>
    <n v="0.6868046794357151"/>
    <n v="0.60606060606060608"/>
    <n v="2.7800116345225691E-2"/>
  </r>
  <r>
    <n v="1439"/>
    <n v="0"/>
    <n v="185306"/>
    <n v="716"/>
    <n v="1223771"/>
    <n v="32"/>
    <n v="17948.349999999999"/>
    <n v="16.100000000000001"/>
    <n v="19"/>
    <n v="109896"/>
    <n v="130768"/>
    <x v="1"/>
    <s v="5f071653-25b3-4940-82b2-74a44cb5c052"/>
    <s v="консолидация кредитов"/>
    <s v="в аренде"/>
    <s v="краткосрочный"/>
    <x v="1"/>
    <b v="0"/>
    <n v="0.21306915930726"/>
    <n v="0.78787878787878785"/>
    <n v="0.17599714325637719"/>
  </r>
  <r>
    <n v="1440"/>
    <n v="0"/>
    <m/>
    <n v="743"/>
    <n v="1265134"/>
    <n v="0"/>
    <n v="33315.17"/>
    <n v="14.5"/>
    <n v="13"/>
    <n v="190152"/>
    <n v="410036"/>
    <x v="8"/>
    <s v="37a544e5-7dc7-42f1-916b-23a259fac590"/>
    <s v="консолидация кредитов"/>
    <s v="в аренде"/>
    <s v="краткосрочный"/>
    <x v="0"/>
    <b v="0"/>
    <m/>
    <n v="0.95151515151515154"/>
    <n v="0.31599975970924821"/>
  </r>
  <r>
    <n v="1441"/>
    <n v="0"/>
    <n v="173624"/>
    <n v="723"/>
    <n v="1168044"/>
    <n v="71"/>
    <n v="24835.09"/>
    <n v="11.3"/>
    <n v="11"/>
    <n v="234745"/>
    <n v="313874"/>
    <x v="3"/>
    <s v="13f860f3-73e4-4d7b-a6e6-82a7d0fe8df5"/>
    <s v="консолидация кредитов"/>
    <s v="в аренде"/>
    <s v="краткосрочный"/>
    <x v="0"/>
    <b v="0"/>
    <n v="0.19784378942539282"/>
    <n v="0.83030303030303032"/>
    <n v="0.25514542260394302"/>
  </r>
  <r>
    <n v="1442"/>
    <n v="0"/>
    <n v="534556"/>
    <n v="723"/>
    <n v="1168044"/>
    <n v="0"/>
    <n v="11249.52"/>
    <n v="17.899999999999999"/>
    <n v="19"/>
    <n v="451136"/>
    <n v="1949112"/>
    <x v="9"/>
    <s v="8a72143c-e6b8-4331-81a6-49dcdd78a0f1"/>
    <s v="консолидация кредитов"/>
    <s v="в собственности"/>
    <s v="краткосрочный"/>
    <x v="1"/>
    <b v="0"/>
    <n v="0.66825324005046449"/>
    <n v="0.83030303030303032"/>
    <n v="0.11557290650009761"/>
  </r>
  <r>
    <n v="1443"/>
    <n v="0"/>
    <n v="729542"/>
    <n v="734"/>
    <n v="2044438"/>
    <n v="0"/>
    <n v="57414.77"/>
    <n v="10"/>
    <n v="12"/>
    <n v="811243"/>
    <n v="1369302"/>
    <x v="4"/>
    <s v="28720c21-9466-4e16-8b15-047adae95389"/>
    <s v="консолидация кредитов"/>
    <s v="в собственности"/>
    <s v="краткосрочный"/>
    <x v="0"/>
    <b v="1"/>
    <n v="0.92238215391673362"/>
    <n v="0.89696969696969697"/>
    <n v="0.33700079924164972"/>
  </r>
  <r>
    <n v="1444"/>
    <n v="0"/>
    <n v="287034"/>
    <n v="723"/>
    <n v="1168044"/>
    <n v="0"/>
    <n v="16331.83"/>
    <n v="6.9"/>
    <n v="5"/>
    <n v="272403"/>
    <n v="830060"/>
    <x v="9"/>
    <s v="cf1eb3c5-c14c-444f-8151-a67ff76800d2"/>
    <s v="консолидация кредитов"/>
    <s v="в аренде"/>
    <s v="краткосрочный"/>
    <x v="0"/>
    <b v="0"/>
    <n v="0.34565317123523343"/>
    <n v="0.83030303030303032"/>
    <n v="0.16778645325004879"/>
  </r>
  <r>
    <n v="1445"/>
    <n v="0"/>
    <n v="560956"/>
    <n v="668"/>
    <n v="3391253"/>
    <n v="22"/>
    <n v="35325.56"/>
    <n v="30.3"/>
    <n v="29"/>
    <n v="570912"/>
    <n v="2592348"/>
    <x v="5"/>
    <s v="ad9257ea-3056-4867-a4d3-7b1938405649"/>
    <s v="иное"/>
    <s v="в ипотеке"/>
    <s v="долгосрочный"/>
    <x v="1"/>
    <b v="0"/>
    <n v="0.70266085560270675"/>
    <n v="0.49696969696969695"/>
    <n v="0.12500002801324464"/>
  </r>
  <r>
    <n v="1446"/>
    <n v="0"/>
    <n v="782936"/>
    <n v="715"/>
    <n v="1719405"/>
    <n v="0"/>
    <n v="29373.24"/>
    <n v="10.7"/>
    <n v="12"/>
    <n v="561830"/>
    <n v="1115840"/>
    <x v="1"/>
    <s v="6c75b88b-30d4-4109-83c6-f5134fe42195"/>
    <s v="консолидация кредитов"/>
    <s v="в собственности"/>
    <s v="краткосрочный"/>
    <x v="0"/>
    <b v="0"/>
    <n v="0.99197155637114343"/>
    <n v="0.78181818181818186"/>
    <n v="0.20500049726504227"/>
  </r>
  <r>
    <n v="1447"/>
    <n v="0"/>
    <m/>
    <n v="730"/>
    <n v="857489"/>
    <n v="22"/>
    <n v="3265.53"/>
    <n v="20.100000000000001"/>
    <n v="15"/>
    <n v="112575"/>
    <n v="413798"/>
    <x v="1"/>
    <s v="0332dbab-ce6a-4eea-89f0-6b9e1c42eb21"/>
    <s v="консолидация кредитов"/>
    <s v="в аренде"/>
    <s v="краткосрочный"/>
    <x v="0"/>
    <b v="0"/>
    <m/>
    <n v="0.87272727272727268"/>
    <n v="4.5698965234539451E-2"/>
  </r>
  <r>
    <n v="1448"/>
    <n v="0"/>
    <n v="215798"/>
    <n v="725"/>
    <n v="1358994"/>
    <n v="0"/>
    <n v="2502.87"/>
    <n v="15.5"/>
    <n v="7"/>
    <n v="114133"/>
    <n v="211442"/>
    <x v="8"/>
    <s v="c2ddd5b7-5938-46f1-bfc0-321c571ebf9e"/>
    <s v="консолидация кредитов"/>
    <s v="в аренде"/>
    <s v="краткосрочный"/>
    <x v="0"/>
    <b v="0"/>
    <n v="0.25280995527009981"/>
    <n v="0.84242424242424241"/>
    <n v="2.2100494924922404E-2"/>
  </r>
  <r>
    <n v="1449"/>
    <n v="0"/>
    <n v="150788"/>
    <n v="723"/>
    <n v="1168044"/>
    <n v="0"/>
    <n v="14511.82"/>
    <n v="31"/>
    <n v="10"/>
    <n v="262789"/>
    <n v="652982"/>
    <x v="3"/>
    <s v="908e07ff-9c66-4f3a-9cd4-ed1255c83eb8"/>
    <s v="консолидация кредитов"/>
    <s v="в собственности"/>
    <s v="краткосрочный"/>
    <x v="0"/>
    <b v="0"/>
    <n v="0.16808120197270329"/>
    <n v="0.83030303030303032"/>
    <n v="0.14908842475112238"/>
  </r>
  <r>
    <n v="1450"/>
    <n v="0"/>
    <m/>
    <n v="738"/>
    <n v="1341704"/>
    <n v="0"/>
    <n v="5646.23"/>
    <n v="18.899999999999999"/>
    <n v="10"/>
    <n v="182058"/>
    <n v="932734"/>
    <x v="10"/>
    <s v="fa62964d-e8b9-4bd8-8fbc-9c75ae934fb4"/>
    <s v="консолидация кредитов"/>
    <s v="в аренде"/>
    <s v="долгосрочный"/>
    <x v="0"/>
    <b v="0"/>
    <m/>
    <n v="0.92121212121212126"/>
    <n v="5.0499037045428789E-2"/>
  </r>
  <r>
    <n v="1451"/>
    <n v="0"/>
    <n v="270116"/>
    <n v="746"/>
    <n v="1652468"/>
    <n v="0"/>
    <n v="16937.740000000002"/>
    <n v="14.7"/>
    <n v="7"/>
    <n v="261402"/>
    <n v="441232"/>
    <x v="1"/>
    <s v="f596990e-f36d-4914-b29e-9d87c99b200e"/>
    <s v="консолидация кредитов"/>
    <s v="в ипотеке"/>
    <s v="краткосрочный"/>
    <x v="0"/>
    <b v="0"/>
    <n v="0.32360362426883815"/>
    <n v="0.96969696969696972"/>
    <n v="0.1229995860736789"/>
  </r>
  <r>
    <n v="1452"/>
    <n v="0"/>
    <m/>
    <n v="749"/>
    <n v="1068598"/>
    <n v="0"/>
    <n v="18255.2"/>
    <n v="20.6"/>
    <n v="10"/>
    <n v="409051"/>
    <n v="923252"/>
    <x v="6"/>
    <s v="4963d404-5a22-4183-91a7-5c71db5f56a4"/>
    <s v="консолидация кредитов"/>
    <s v="в ипотеке"/>
    <s v="краткосрочный"/>
    <x v="0"/>
    <b v="0"/>
    <m/>
    <n v="0.98787878787878791"/>
    <n v="0.20499982219693469"/>
  </r>
  <r>
    <n v="1453"/>
    <n v="0"/>
    <n v="177144"/>
    <n v="723"/>
    <n v="1168044"/>
    <n v="0"/>
    <n v="9437.49"/>
    <n v="6.7"/>
    <n v="6"/>
    <n v="155268"/>
    <n v="256828"/>
    <x v="3"/>
    <s v="5686a1f4-1250-4376-be77-51e222766d37"/>
    <s v="консолидация кредитов"/>
    <s v="в собственности"/>
    <s v="краткосрочный"/>
    <x v="1"/>
    <b v="0"/>
    <n v="0.20243147149902513"/>
    <n v="0.83030303030303032"/>
    <n v="9.6956861214132342E-2"/>
  </r>
  <r>
    <n v="1454"/>
    <n v="0"/>
    <n v="585266"/>
    <n v="706"/>
    <n v="1273000"/>
    <n v="0"/>
    <n v="20686.439999999999"/>
    <n v="16.399999999999999"/>
    <n v="12"/>
    <n v="505343"/>
    <n v="645854"/>
    <x v="1"/>
    <s v="4a369b32-499f-4112-adf5-0f739ffbf8bb"/>
    <s v="консолидация кредитов"/>
    <s v="в аренде"/>
    <s v="краткосрочный"/>
    <x v="0"/>
    <b v="0"/>
    <n v="0.73434453492372975"/>
    <n v="0.72727272727272729"/>
    <n v="0.19500179104477611"/>
  </r>
  <r>
    <n v="1455"/>
    <n v="0"/>
    <n v="265320"/>
    <n v="744"/>
    <n v="916560"/>
    <n v="0"/>
    <n v="13137.36"/>
    <n v="9.5"/>
    <n v="8"/>
    <n v="183198"/>
    <n v="564168"/>
    <x v="2"/>
    <s v="57df5806-e920-48df-842e-361487781af6"/>
    <s v="консолидация кредитов"/>
    <s v="в аренде"/>
    <s v="краткосрочный"/>
    <x v="0"/>
    <b v="0"/>
    <n v="0.31735290744351419"/>
    <n v="0.95757575757575752"/>
    <n v="0.17200000000000001"/>
  </r>
  <r>
    <n v="1456"/>
    <n v="0"/>
    <n v="75394"/>
    <n v="723"/>
    <n v="1168044"/>
    <n v="27"/>
    <n v="17317.55"/>
    <n v="25.6"/>
    <n v="9"/>
    <n v="205409"/>
    <n v="417274"/>
    <x v="10"/>
    <s v="2ce109a0-456f-49fe-a40f-78fdf4ac5223"/>
    <s v="ремонт жилья"/>
    <s v="в ипотеке"/>
    <s v="краткосрочный"/>
    <x v="0"/>
    <b v="0"/>
    <n v="6.9818786558091525E-2"/>
    <n v="0.83030303030303032"/>
    <n v="0.17791333203201248"/>
  </r>
  <r>
    <n v="1457"/>
    <n v="0"/>
    <n v="432168"/>
    <n v="714"/>
    <n v="2090114"/>
    <n v="18"/>
    <n v="18114.41"/>
    <n v="18.7"/>
    <n v="10"/>
    <n v="154508"/>
    <n v="378202"/>
    <x v="5"/>
    <s v="0fde2e42-e7af-4ec6-b51a-b74b5c410f03"/>
    <s v="консолидация кредитов"/>
    <s v="в ипотеке"/>
    <s v="долгосрочный"/>
    <x v="0"/>
    <b v="0"/>
    <n v="0.53480903773368504"/>
    <n v="0.77575757575757576"/>
    <n v="0.10400050906314201"/>
  </r>
  <r>
    <n v="1458"/>
    <n v="1"/>
    <n v="324258"/>
    <n v="695"/>
    <n v="896135"/>
    <n v="0"/>
    <n v="21133.7"/>
    <n v="28.2"/>
    <n v="15"/>
    <n v="109459"/>
    <n v="551034"/>
    <x v="1"/>
    <s v="a76aab6a-4b42-46ab-8898-91351e25d969"/>
    <s v="ремонт жилья"/>
    <s v="в ипотеке"/>
    <s v="долгосрочный"/>
    <x v="1"/>
    <b v="0"/>
    <n v="0.39416790916389494"/>
    <n v="0.66060606060606064"/>
    <n v="0.28299798579455104"/>
  </r>
  <r>
    <n v="1459"/>
    <n v="0"/>
    <n v="434236"/>
    <n v="728"/>
    <n v="1828237"/>
    <n v="0"/>
    <n v="19166.060000000001"/>
    <n v="12.7"/>
    <n v="8"/>
    <n v="356307"/>
    <n v="574596"/>
    <x v="9"/>
    <s v="2f77b396-4687-4189-9781-dd7edec088d1"/>
    <s v="консолидация кредитов"/>
    <s v="в ипотеке"/>
    <s v="долгосрочный"/>
    <x v="0"/>
    <b v="0"/>
    <n v="0.53750430095194401"/>
    <n v="0.8606060606060606"/>
    <n v="0.1258002764411835"/>
  </r>
  <r>
    <n v="1460"/>
    <n v="0"/>
    <n v="457402"/>
    <n v="670"/>
    <n v="903526"/>
    <n v="24"/>
    <n v="22362.240000000002"/>
    <n v="27.5"/>
    <n v="15"/>
    <n v="306736"/>
    <n v="369578"/>
    <x v="1"/>
    <s v="30e42314-3fe5-49e7-a758-dabd45d5901c"/>
    <s v="консолидация кредитов"/>
    <s v="в ипотеке"/>
    <s v="долгосрочный"/>
    <x v="0"/>
    <b v="0"/>
    <n v="0.56769698359903664"/>
    <n v="0.50909090909090904"/>
    <n v="0.29699962148294573"/>
  </r>
  <r>
    <n v="1461"/>
    <n v="0"/>
    <n v="118030"/>
    <n v="723"/>
    <n v="1168044"/>
    <n v="0"/>
    <n v="4366.01"/>
    <n v="17.7"/>
    <n v="10"/>
    <n v="229007"/>
    <n v="1012132"/>
    <x v="1"/>
    <s v="b55aada5-7b8d-4cbe-b982-6e6fca8fc19c"/>
    <s v="иное"/>
    <s v="в ипотеке"/>
    <s v="краткосрочный"/>
    <x v="0"/>
    <b v="0"/>
    <n v="0.12538708567496273"/>
    <n v="0.83030303030303032"/>
    <n v="4.4854577396056999E-2"/>
  </r>
  <r>
    <n v="1462"/>
    <n v="0"/>
    <n v="335258"/>
    <n v="737"/>
    <n v="1534516"/>
    <n v="0"/>
    <n v="25319.59"/>
    <n v="13.5"/>
    <n v="6"/>
    <n v="269211"/>
    <n v="551694"/>
    <x v="2"/>
    <s v="5e4a0b86-f639-4aad-a38c-7646c7bb15d3"/>
    <s v="бизнес"/>
    <s v="в аренде"/>
    <s v="краткосрочный"/>
    <x v="1"/>
    <b v="0"/>
    <n v="0.40850441564399587"/>
    <n v="0.91515151515151516"/>
    <n v="0.19800059432420386"/>
  </r>
  <r>
    <n v="1463"/>
    <n v="1"/>
    <n v="128678"/>
    <n v="723"/>
    <n v="1168044"/>
    <n v="9"/>
    <n v="23172.02"/>
    <n v="17.8"/>
    <n v="19"/>
    <n v="19076"/>
    <n v="133122"/>
    <x v="5"/>
    <s v="2a070e0e-0d08-4966-b857-0c57eeef4931"/>
    <s v="консолидация кредитов"/>
    <s v="в аренде"/>
    <s v="краткосрочный"/>
    <x v="1"/>
    <b v="0"/>
    <n v="0.13926482394770043"/>
    <n v="0.83030303030303032"/>
    <n v="0.238059730626586"/>
  </r>
  <r>
    <n v="1464"/>
    <n v="0"/>
    <n v="167002"/>
    <n v="723"/>
    <n v="1168044"/>
    <n v="11"/>
    <n v="18040.5"/>
    <n v="13.2"/>
    <n v="6"/>
    <n v="79097"/>
    <n v="178178"/>
    <x v="1"/>
    <s v="65220108-67b8-4631-8497-059168fcc464"/>
    <s v="консолидация кредитов"/>
    <s v="в ипотеке"/>
    <s v="краткосрочный"/>
    <x v="0"/>
    <b v="0"/>
    <n v="0.18921321252437207"/>
    <n v="0.83030303030303032"/>
    <n v="0.18534062073004098"/>
  </r>
  <r>
    <n v="1465"/>
    <n v="0"/>
    <n v="786104"/>
    <n v="701"/>
    <n v="2715594"/>
    <n v="0"/>
    <n v="52501.56"/>
    <n v="38"/>
    <n v="23"/>
    <n v="1762725"/>
    <n v="3836580"/>
    <x v="2"/>
    <s v="4962cffe-c225-4f8c-95b2-7207a1655a4a"/>
    <s v="консолидация кредитов"/>
    <s v="в ипотеке"/>
    <s v="долгосрочный"/>
    <x v="0"/>
    <b v="1"/>
    <n v="0.99610047023741255"/>
    <n v="0.69696969696969702"/>
    <n v="0.23200033583812602"/>
  </r>
  <r>
    <n v="1466"/>
    <n v="1"/>
    <m/>
    <n v="716"/>
    <n v="1458345"/>
    <n v="44"/>
    <n v="33055.82"/>
    <n v="13.5"/>
    <n v="18"/>
    <n v="261801"/>
    <n v="495330"/>
    <x v="10"/>
    <s v="05d6e70e-6bff-4918-acba-50f76ac58cde"/>
    <s v="приобретение автомобиля"/>
    <s v="в аренде"/>
    <s v="краткосрочный"/>
    <x v="0"/>
    <b v="0"/>
    <m/>
    <n v="0.78787878787878785"/>
    <n v="0.27200000000000002"/>
  </r>
  <r>
    <n v="1467"/>
    <n v="0"/>
    <n v="291500"/>
    <n v="609"/>
    <n v="840731"/>
    <n v="0"/>
    <n v="20317.46"/>
    <n v="15.1"/>
    <n v="5"/>
    <n v="125191"/>
    <n v="151470"/>
    <x v="1"/>
    <s v="a3de6da6-d59c-4320-b4b9-d32404bc7a1b"/>
    <s v="консолидация кредитов"/>
    <s v="в аренде"/>
    <s v="долгосрочный"/>
    <x v="1"/>
    <b v="0"/>
    <n v="0.35147379286615438"/>
    <n v="0.1393939393939394"/>
    <n v="0.28999706208049897"/>
  </r>
  <r>
    <n v="1468"/>
    <n v="0"/>
    <m/>
    <n v="746"/>
    <n v="3058829"/>
    <n v="24"/>
    <n v="20213.72"/>
    <n v="14"/>
    <n v="5"/>
    <n v="21679"/>
    <n v="374528"/>
    <x v="7"/>
    <s v="e1886207-6d8b-4bcd-b6e9-0c7d7ce1b4ac"/>
    <s v="консолидация кредитов"/>
    <s v="в ипотеке"/>
    <s v="краткосрочный"/>
    <x v="0"/>
    <b v="0"/>
    <m/>
    <n v="0.96969696969696972"/>
    <n v="7.9299836636830642E-2"/>
  </r>
  <r>
    <n v="1469"/>
    <n v="0"/>
    <n v="39776"/>
    <n v="723"/>
    <n v="1168044"/>
    <n v="66"/>
    <n v="12255.38"/>
    <n v="14.8"/>
    <n v="6"/>
    <n v="23484"/>
    <n v="72908"/>
    <x v="1"/>
    <s v="534be4c3-45bc-486d-8658-21c32fae814e"/>
    <s v="консолидация кредитов"/>
    <s v="в ипотеке"/>
    <s v="краткосрочный"/>
    <x v="0"/>
    <b v="0"/>
    <n v="2.3397178575524716E-2"/>
    <n v="0.83030303030303032"/>
    <n v="0.12590669529572515"/>
  </r>
  <r>
    <n v="1470"/>
    <n v="1"/>
    <m/>
    <n v="718"/>
    <n v="853898"/>
    <n v="0"/>
    <n v="12381.35"/>
    <n v="13.4"/>
    <n v="10"/>
    <n v="122227"/>
    <n v="375408"/>
    <x v="1"/>
    <s v="f4ab24a6-9bbd-4a0b-8dc1-d1388e1a5882"/>
    <s v="ремонт жилья"/>
    <s v="в ипотеке"/>
    <s v="краткосрочный"/>
    <x v="0"/>
    <b v="0"/>
    <m/>
    <n v="0.8"/>
    <n v="0.17399759690267455"/>
  </r>
  <r>
    <n v="1471"/>
    <n v="0"/>
    <n v="194722"/>
    <n v="718"/>
    <n v="1643481"/>
    <n v="0"/>
    <n v="18215.3"/>
    <n v="19.899999999999999"/>
    <n v="6"/>
    <n v="775637"/>
    <n v="1228612"/>
    <x v="1"/>
    <s v="0fdd6b51-cf89-4a42-9064-c88c90581acc"/>
    <s v="консолидация кредитов"/>
    <s v="в аренде"/>
    <s v="краткосрочный"/>
    <x v="0"/>
    <b v="0"/>
    <n v="0.2253412088542264"/>
    <n v="0.8"/>
    <n v="0.13300038150730065"/>
  </r>
  <r>
    <n v="1472"/>
    <n v="0"/>
    <n v="328152"/>
    <n v="699"/>
    <n v="944680"/>
    <n v="71"/>
    <n v="18027.77"/>
    <n v="15.6"/>
    <n v="16"/>
    <n v="301169"/>
    <n v="385308"/>
    <x v="10"/>
    <s v="75fc6688-6d38-4b76-b145-c80552130679"/>
    <s v="консолидация кредитов"/>
    <s v="в аренде"/>
    <s v="краткосрочный"/>
    <x v="0"/>
    <b v="0"/>
    <n v="0.39924303245785064"/>
    <n v="0.68484848484848482"/>
    <n v="0.2290016090104586"/>
  </r>
  <r>
    <n v="1473"/>
    <n v="0"/>
    <n v="197516"/>
    <n v="723"/>
    <n v="1168044"/>
    <n v="0"/>
    <n v="10894.98"/>
    <n v="17.100000000000001"/>
    <n v="9"/>
    <n v="415226"/>
    <n v="654126"/>
    <x v="1"/>
    <s v="d91ac4c6-6023-43e1-bc0e-1c1cdbde66ec"/>
    <s v="консолидация кредитов"/>
    <s v="в аренде"/>
    <s v="краткосрочный"/>
    <x v="0"/>
    <b v="0"/>
    <n v="0.22898268150017204"/>
    <n v="0.83030303030303032"/>
    <n v="0.11193050946710911"/>
  </r>
  <r>
    <n v="1474"/>
    <n v="1"/>
    <n v="29172"/>
    <n v="696"/>
    <n v="406942"/>
    <n v="0"/>
    <n v="8850.9599999999991"/>
    <n v="16.5"/>
    <n v="7"/>
    <n v="31673"/>
    <n v="188012"/>
    <x v="1"/>
    <s v="af21db09-b0d1-42c7-92e6-170170f5dcf8"/>
    <s v="иное"/>
    <s v="в собственности"/>
    <s v="краткосрочный"/>
    <x v="0"/>
    <b v="0"/>
    <n v="9.576786328707421E-3"/>
    <n v="0.66666666666666663"/>
    <n v="0.26099915958539543"/>
  </r>
  <r>
    <n v="1475"/>
    <n v="0"/>
    <m/>
    <n v="702"/>
    <n v="1238610"/>
    <n v="0"/>
    <n v="9712.7999999999993"/>
    <n v="17.7"/>
    <n v="9"/>
    <n v="43757"/>
    <n v="888910"/>
    <x v="9"/>
    <s v="3e14ef2e-8a50-40e8-bbf2-b895124d1486"/>
    <s v="бизнес"/>
    <s v="в ипотеке"/>
    <s v="краткосрочный"/>
    <x v="0"/>
    <b v="0"/>
    <m/>
    <n v="0.70303030303030301"/>
    <n v="9.4100322135296816E-2"/>
  </r>
  <r>
    <n v="1476"/>
    <n v="1"/>
    <n v="229790"/>
    <n v="678"/>
    <n v="2351250"/>
    <n v="0"/>
    <n v="38795.72"/>
    <n v="14.9"/>
    <n v="16"/>
    <n v="512202"/>
    <n v="1068584"/>
    <x v="8"/>
    <s v="ad125cf7-946f-459a-a3d0-08d36748b7aa"/>
    <s v="консолидация кредитов"/>
    <s v="в собственности"/>
    <s v="долгосрочный"/>
    <x v="1"/>
    <b v="0"/>
    <n v="0.27104599151278819"/>
    <n v="0.55757575757575761"/>
    <n v="0.19800048484848484"/>
  </r>
  <r>
    <n v="1477"/>
    <n v="0"/>
    <n v="162580"/>
    <n v="723"/>
    <n v="1168044"/>
    <n v="40"/>
    <n v="21805.35"/>
    <n v="29"/>
    <n v="13"/>
    <n v="281371"/>
    <n v="624140"/>
    <x v="1"/>
    <s v="f0701754-e783-414c-83de-af8cd9d920ed"/>
    <s v="консолидация кредитов"/>
    <s v="в ипотеке"/>
    <s v="краткосрочный"/>
    <x v="1"/>
    <b v="0"/>
    <n v="0.18344993691937148"/>
    <n v="0.83030303030303032"/>
    <n v="0.2240191294163576"/>
  </r>
  <r>
    <n v="1478"/>
    <n v="0"/>
    <m/>
    <n v="733"/>
    <n v="971660"/>
    <n v="0"/>
    <n v="15465.43"/>
    <n v="19.100000000000001"/>
    <n v="8"/>
    <n v="249375"/>
    <n v="301400"/>
    <x v="9"/>
    <s v="0427866b-c3da-4794-aa74-b13e9f30fa17"/>
    <s v="консолидация кредитов"/>
    <s v="в собственности"/>
    <s v="краткосрочный"/>
    <x v="0"/>
    <b v="0"/>
    <m/>
    <n v="0.89090909090909087"/>
    <n v="0.19099804458349628"/>
  </r>
  <r>
    <n v="1479"/>
    <n v="0"/>
    <n v="773696"/>
    <n v="723"/>
    <n v="1168044"/>
    <n v="0"/>
    <n v="8120.03"/>
    <n v="14.4"/>
    <n v="16"/>
    <n v="361570"/>
    <n v="1162942"/>
    <x v="4"/>
    <s v="d5c36d65-43eb-4fe6-9d73-ccf70a6f7147"/>
    <s v="приобретение жилья"/>
    <s v="в аренде"/>
    <s v="краткосрочный"/>
    <x v="0"/>
    <b v="0"/>
    <n v="0.97992889092785873"/>
    <n v="0.83030303030303032"/>
    <n v="8.3421823150497759E-2"/>
  </r>
  <r>
    <n v="1480"/>
    <n v="0"/>
    <m/>
    <n v="737"/>
    <n v="823878"/>
    <n v="0"/>
    <n v="11671.51"/>
    <n v="9.5"/>
    <n v="5"/>
    <n v="202388"/>
    <n v="374946"/>
    <x v="0"/>
    <s v="c8065825-f4d7-4db3-bede-5005691ad175"/>
    <s v="консолидация кредитов"/>
    <s v="в аренде"/>
    <s v="краткосрочный"/>
    <x v="0"/>
    <b v="0"/>
    <m/>
    <n v="0.91515151515151516"/>
    <n v="0.16999861629998617"/>
  </r>
  <r>
    <n v="1481"/>
    <n v="0"/>
    <n v="240966"/>
    <n v="723"/>
    <n v="1168044"/>
    <n v="27"/>
    <n v="25311.42"/>
    <n v="16"/>
    <n v="15"/>
    <n v="306432"/>
    <n v="438064"/>
    <x v="1"/>
    <s v="c4ced673-112c-4495-8f48-59d22c09b8c2"/>
    <s v="консолидация кредитов"/>
    <s v="в ипотеке"/>
    <s v="краткосрочный"/>
    <x v="0"/>
    <b v="0"/>
    <n v="0.28561188209657074"/>
    <n v="0.83030303030303032"/>
    <n v="0.26003903962521957"/>
  </r>
  <r>
    <n v="1482"/>
    <n v="0"/>
    <n v="609092"/>
    <n v="750"/>
    <n v="1690848"/>
    <n v="0"/>
    <n v="17049.46"/>
    <n v="23.6"/>
    <n v="8"/>
    <n v="109877"/>
    <n v="1479500"/>
    <x v="2"/>
    <s v="fd2a90b1-b171-4416-a473-4272aeb1b7e8"/>
    <s v="консолидация кредитов"/>
    <s v="в аренде"/>
    <s v="краткосрочный"/>
    <x v="0"/>
    <b v="0"/>
    <n v="0.76539740795962841"/>
    <n v="0.9939393939393939"/>
    <n v="0.12100053937432577"/>
  </r>
  <r>
    <n v="1483"/>
    <n v="1"/>
    <n v="166232"/>
    <n v="723"/>
    <n v="1152312"/>
    <n v="65"/>
    <n v="18532.98"/>
    <n v="21.3"/>
    <n v="6"/>
    <n v="31312"/>
    <n v="258918"/>
    <x v="1"/>
    <s v="2b7823a3-a277-4ca0-8e70-a52608a32549"/>
    <s v="консолидация кредитов"/>
    <s v="в аренде"/>
    <s v="краткосрочный"/>
    <x v="0"/>
    <b v="0"/>
    <n v="0.18820965707076501"/>
    <n v="0.83030303030303032"/>
    <n v="0.1929996042738425"/>
  </r>
  <r>
    <n v="1484"/>
    <n v="0"/>
    <m/>
    <n v="706"/>
    <n v="562685"/>
    <n v="41"/>
    <n v="1359.83"/>
    <n v="11.1"/>
    <n v="4"/>
    <n v="47823"/>
    <n v="146124"/>
    <x v="7"/>
    <s v="5da32a38-7c53-4ab3-931f-1754150c1f06"/>
    <s v="иное"/>
    <s v="в аренде"/>
    <s v="краткосрочный"/>
    <x v="0"/>
    <b v="0"/>
    <m/>
    <n v="0.72727272727272729"/>
    <n v="2.9000168833361473E-2"/>
  </r>
  <r>
    <n v="1485"/>
    <n v="0"/>
    <n v="670538"/>
    <n v="603"/>
    <n v="1302849"/>
    <n v="0"/>
    <n v="28120"/>
    <n v="17.5"/>
    <n v="8"/>
    <n v="195700"/>
    <n v="279400"/>
    <x v="8"/>
    <s v="58ddda92-44e9-4eef-b2e4-4de06813de2b"/>
    <s v="консолидация кредитов"/>
    <s v="в аренде"/>
    <s v="долгосрочный"/>
    <x v="0"/>
    <b v="0"/>
    <n v="0.8454811331574722"/>
    <n v="0.10303030303030303"/>
    <n v="0.25900161876011724"/>
  </r>
  <r>
    <n v="1486"/>
    <n v="0"/>
    <m/>
    <n v="742"/>
    <n v="1139088"/>
    <n v="9"/>
    <n v="19934.04"/>
    <n v="14.9"/>
    <n v="32"/>
    <n v="106818"/>
    <n v="479446"/>
    <x v="1"/>
    <s v="cd86abe1-15ef-44ca-b9a4-32abe32000aa"/>
    <s v="консолидация кредитов"/>
    <s v="в аренде"/>
    <s v="краткосрочный"/>
    <x v="0"/>
    <b v="0"/>
    <m/>
    <n v="0.94545454545454544"/>
    <n v="0.21000000000000002"/>
  </r>
  <r>
    <n v="1487"/>
    <n v="0"/>
    <n v="215798"/>
    <n v="723"/>
    <n v="1168044"/>
    <n v="0"/>
    <n v="3091.87"/>
    <n v="16"/>
    <n v="2"/>
    <n v="33535"/>
    <n v="43186"/>
    <x v="5"/>
    <s v="c6572bf6-9c30-46d1-8ce6-bce9dc55b9f2"/>
    <s v="консолидация кредитов"/>
    <s v="в аренде"/>
    <s v="краткосрочный"/>
    <x v="0"/>
    <b v="0"/>
    <n v="0.25280995527009981"/>
    <n v="0.83030303030303032"/>
    <n v="3.1764591059925823E-2"/>
  </r>
  <r>
    <n v="1488"/>
    <n v="0"/>
    <n v="206602"/>
    <n v="741"/>
    <n v="1607666"/>
    <n v="35"/>
    <n v="18622.28"/>
    <n v="11"/>
    <n v="11"/>
    <n v="173242"/>
    <n v="310024"/>
    <x v="1"/>
    <s v="64eae788-ea19-403a-b2d5-9bc9d1c8ce12"/>
    <s v="консолидация кредитов"/>
    <s v="в ипотеке"/>
    <s v="краткосрочный"/>
    <x v="0"/>
    <b v="0"/>
    <n v="0.24082463585273542"/>
    <n v="0.93939393939393945"/>
    <n v="0.13900111092726972"/>
  </r>
  <r>
    <n v="1489"/>
    <n v="0"/>
    <n v="335720"/>
    <n v="723"/>
    <n v="1168044"/>
    <n v="0"/>
    <n v="18375.28"/>
    <n v="12.9"/>
    <n v="14"/>
    <n v="97337"/>
    <n v="473572"/>
    <x v="0"/>
    <s v="5b8abdb0-207f-4ed1-8d13-2dad5f5e78eb"/>
    <s v="консолидация кредитов"/>
    <s v="в ипотеке"/>
    <s v="долгосрочный"/>
    <x v="1"/>
    <b v="0"/>
    <n v="0.40910654891616011"/>
    <n v="0.83030303030303032"/>
    <n v="0.18878001171188755"/>
  </r>
  <r>
    <n v="1490"/>
    <n v="1"/>
    <m/>
    <n v="720"/>
    <n v="1977748"/>
    <n v="0"/>
    <n v="6295.84"/>
    <n v="15.7"/>
    <n v="13"/>
    <n v="151506"/>
    <n v="504064"/>
    <x v="5"/>
    <s v="0c91f352-514c-4e46-ab16-72812c7009d7"/>
    <s v="ремонт жилья"/>
    <s v="в аренде"/>
    <s v="краткосрочный"/>
    <x v="0"/>
    <b v="0"/>
    <m/>
    <n v="0.81212121212121213"/>
    <n v="3.8200053798562811E-2"/>
  </r>
  <r>
    <n v="1491"/>
    <n v="0"/>
    <m/>
    <n v="738"/>
    <n v="1678878"/>
    <n v="41"/>
    <n v="17908.07"/>
    <n v="22"/>
    <n v="7"/>
    <n v="93879"/>
    <n v="216128"/>
    <x v="4"/>
    <s v="11ddc5c8-23f4-4a8d-b75a-20197df401c2"/>
    <s v="консолидация кредитов"/>
    <s v="в ипотеке"/>
    <s v="долгосрочный"/>
    <x v="0"/>
    <b v="0"/>
    <m/>
    <n v="0.92121212121212126"/>
    <n v="0.12800027160996807"/>
  </r>
  <r>
    <n v="1492"/>
    <n v="1"/>
    <n v="301620"/>
    <n v="724"/>
    <n v="1068674"/>
    <n v="19"/>
    <n v="23867.23"/>
    <n v="27.1"/>
    <n v="18"/>
    <n v="170962"/>
    <n v="423896"/>
    <x v="1"/>
    <s v="9dbdf5a9-9d16-4ade-8c3f-2c0b86636f60"/>
    <s v="консолидация кредитов"/>
    <s v="в ипотеке"/>
    <s v="краткосрочный"/>
    <x v="0"/>
    <b v="0"/>
    <n v="0.36466337882784722"/>
    <n v="0.83636363636363631"/>
    <n v="0.26800199125271129"/>
  </r>
  <r>
    <n v="1493"/>
    <n v="0"/>
    <n v="258500"/>
    <n v="723"/>
    <n v="1168044"/>
    <n v="0"/>
    <n v="28031.27"/>
    <n v="14.5"/>
    <n v="16"/>
    <n v="34713"/>
    <n v="638066"/>
    <x v="5"/>
    <s v="db573cbd-d6ca-4847-bc94-0e0f5114cf63"/>
    <s v="консолидация кредитов"/>
    <s v="в аренде"/>
    <s v="долгосрочный"/>
    <x v="0"/>
    <b v="0"/>
    <n v="0.30846427342585159"/>
    <n v="0.83030303030303032"/>
    <n v="0.28798165137614679"/>
  </r>
  <r>
    <n v="1494"/>
    <n v="0"/>
    <n v="283052"/>
    <n v="714"/>
    <n v="1062442"/>
    <n v="0"/>
    <n v="26472.51"/>
    <n v="16.5"/>
    <n v="16"/>
    <n v="224922"/>
    <n v="341770"/>
    <x v="3"/>
    <s v="3efc3a71-b34c-4ce8-9087-ccd589ea2529"/>
    <s v="консолидация кредитов"/>
    <s v="в ипотеке"/>
    <s v="краткосрочный"/>
    <x v="0"/>
    <b v="0"/>
    <n v="0.34046335588943688"/>
    <n v="0.77575757575757576"/>
    <n v="0.29899996423334169"/>
  </r>
  <r>
    <n v="1495"/>
    <n v="1"/>
    <n v="607926"/>
    <n v="647"/>
    <n v="1807166"/>
    <n v="0"/>
    <n v="23643.79"/>
    <n v="16.2"/>
    <n v="8"/>
    <n v="306888"/>
    <n v="440330"/>
    <x v="4"/>
    <s v="ed62d057-7b85-4de7-8fd1-9a0a213eef6e"/>
    <s v="консолидация кредитов"/>
    <s v="в аренде"/>
    <s v="долгосрочный"/>
    <x v="0"/>
    <b v="0"/>
    <n v="0.76387773827273775"/>
    <n v="0.36969696969696969"/>
    <n v="0.15700023130138571"/>
  </r>
  <r>
    <n v="1496"/>
    <n v="0"/>
    <n v="446028"/>
    <n v="693"/>
    <n v="2118633"/>
    <n v="0"/>
    <n v="16083.88"/>
    <n v="16.8"/>
    <n v="6"/>
    <n v="381976"/>
    <n v="446292"/>
    <x v="3"/>
    <s v="70e18920-01ef-4210-99cb-b4cb5f6dd5fd"/>
    <s v="консолидация кредитов"/>
    <s v="в аренде"/>
    <s v="краткосрочный"/>
    <x v="0"/>
    <b v="0"/>
    <n v="0.55287303589861225"/>
    <n v="0.64848484848484844"/>
    <n v="9.1099572224165301E-2"/>
  </r>
  <r>
    <n v="1497"/>
    <n v="0"/>
    <n v="531850"/>
    <n v="749"/>
    <n v="1626799"/>
    <n v="70"/>
    <n v="6547.97"/>
    <n v="15.8"/>
    <n v="12"/>
    <n v="380114"/>
    <n v="1202542"/>
    <x v="7"/>
    <s v="c8a92289-6e3a-418e-acf6-c0ebcd93983c"/>
    <s v="консолидация кредитов"/>
    <s v="в ипотеке"/>
    <s v="краткосрочный"/>
    <x v="1"/>
    <b v="0"/>
    <n v="0.66472645945635966"/>
    <n v="0.98787878787878791"/>
    <n v="4.830076733511638E-2"/>
  </r>
  <r>
    <n v="1498"/>
    <n v="0"/>
    <n v="355454"/>
    <n v="723"/>
    <n v="1168044"/>
    <n v="0"/>
    <n v="24123.35"/>
    <n v="13.9"/>
    <n v="21"/>
    <n v="263663"/>
    <n v="377828"/>
    <x v="1"/>
    <s v="f6b656ba-bd37-441a-bdf4-96b2f5544fd4"/>
    <s v="консолидация кредитов"/>
    <s v="в ипотеке"/>
    <s v="долгосрочный"/>
    <x v="0"/>
    <b v="0"/>
    <n v="0.43482624154146116"/>
    <n v="0.83030303030303032"/>
    <n v="0.2478333008003123"/>
  </r>
  <r>
    <n v="1499"/>
    <n v="0"/>
    <n v="492536"/>
    <n v="693"/>
    <n v="1070707"/>
    <n v="10"/>
    <n v="21146.43"/>
    <n v="19.8"/>
    <n v="14"/>
    <n v="479845"/>
    <n v="736890"/>
    <x v="0"/>
    <s v="b1c51dbc-523f-466a-a72c-c18d0d619b84"/>
    <s v="консолидация кредитов"/>
    <s v="в ипотеке"/>
    <s v="долгосрочный"/>
    <x v="1"/>
    <b v="0"/>
    <n v="0.61348778529647896"/>
    <n v="0.64848484848484844"/>
    <n v="0.23699962734903202"/>
  </r>
  <r>
    <n v="1500"/>
    <n v="0"/>
    <n v="140096"/>
    <n v="723"/>
    <n v="1168044"/>
    <n v="0"/>
    <n v="12406.43"/>
    <n v="8.6999999999999993"/>
    <n v="10"/>
    <n v="155078"/>
    <n v="292930"/>
    <x v="6"/>
    <s v="d1e5e19b-7960-4444-a337-c013a33bde09"/>
    <s v="консолидация кредитов"/>
    <s v="в аренде"/>
    <s v="краткосрочный"/>
    <x v="0"/>
    <b v="0"/>
    <n v="0.15414611767404518"/>
    <n v="0.83030303030303032"/>
    <n v="0.12745852039820418"/>
  </r>
  <r>
    <n v="1501"/>
    <n v="0"/>
    <n v="107448"/>
    <n v="692"/>
    <n v="668059"/>
    <n v="0"/>
    <n v="4804.53"/>
    <n v="17.399999999999999"/>
    <n v="4"/>
    <n v="131404"/>
    <n v="242660"/>
    <x v="4"/>
    <s v="3c5478e3-eabc-4103-af2c-c132af2998e7"/>
    <s v="иное"/>
    <s v="в аренде"/>
    <s v="краткосрочный"/>
    <x v="1"/>
    <b v="0"/>
    <n v="0.11159536644110563"/>
    <n v="0.64242424242424245"/>
    <n v="8.6301299735502393E-2"/>
  </r>
  <r>
    <n v="1502"/>
    <n v="0"/>
    <n v="184492"/>
    <n v="741"/>
    <n v="758708"/>
    <n v="80"/>
    <n v="14099.33"/>
    <n v="10.5"/>
    <n v="7"/>
    <n v="104329"/>
    <n v="408078"/>
    <x v="6"/>
    <s v="be88bd89-226e-4349-90e1-8647f88bb5d0"/>
    <s v="консолидация кредитов"/>
    <s v="в аренде"/>
    <s v="краткосрочный"/>
    <x v="1"/>
    <b v="0"/>
    <n v="0.21200825782773253"/>
    <n v="0.93939393939393945"/>
    <n v="0.22300010017028951"/>
  </r>
  <r>
    <n v="1503"/>
    <n v="0"/>
    <n v="483010"/>
    <n v="749"/>
    <n v="1536112"/>
    <n v="0"/>
    <n v="27394.01"/>
    <n v="16"/>
    <n v="12"/>
    <n v="232579"/>
    <n v="1235366"/>
    <x v="1"/>
    <s v="621b894b-261a-41dc-88a3-ea6d863a3a61"/>
    <s v="консолидация кредитов"/>
    <s v="в аренде"/>
    <s v="краткосрочный"/>
    <x v="0"/>
    <b v="0"/>
    <n v="0.60107237068471153"/>
    <n v="0.98787878787878791"/>
    <n v="0.21400009895111816"/>
  </r>
  <r>
    <n v="1504"/>
    <n v="0"/>
    <n v="132374"/>
    <n v="723"/>
    <n v="1168044"/>
    <n v="65"/>
    <n v="38903.07"/>
    <n v="25.9"/>
    <n v="13"/>
    <n v="591432"/>
    <n v="825088"/>
    <x v="1"/>
    <s v="312f4113-ca71-436a-a016-ae45958ddde4"/>
    <s v="путешествие"/>
    <s v="в собственности"/>
    <s v="краткосрочный"/>
    <x v="0"/>
    <b v="0"/>
    <n v="0.14408189012501435"/>
    <n v="0.83030303030303032"/>
    <n v="0.39967401912941636"/>
  </r>
  <r>
    <n v="1505"/>
    <n v="0"/>
    <n v="105842"/>
    <n v="723"/>
    <n v="1168044"/>
    <n v="40"/>
    <n v="10381.6"/>
    <n v="21"/>
    <n v="12"/>
    <n v="314811"/>
    <n v="538428"/>
    <x v="1"/>
    <s v="8a8fdc4a-6ccc-4b32-8414-20be994692ab"/>
    <s v="консолидация кредитов"/>
    <s v="в ипотеке"/>
    <s v="краткосрочный"/>
    <x v="0"/>
    <b v="0"/>
    <n v="0.1095022364950109"/>
    <n v="0.83030303030303032"/>
    <n v="0.10665625609994145"/>
  </r>
  <r>
    <n v="1506"/>
    <n v="0"/>
    <n v="267586"/>
    <n v="722"/>
    <n v="1315237"/>
    <n v="0"/>
    <n v="25318.26"/>
    <n v="13.9"/>
    <n v="7"/>
    <n v="458793"/>
    <n v="578688"/>
    <x v="5"/>
    <s v="b5b425c5-c4b6-48c4-95e3-53792305f6ed"/>
    <s v="консолидация кредитов"/>
    <s v="в аренде"/>
    <s v="краткосрочный"/>
    <x v="0"/>
    <b v="0"/>
    <n v="0.32030622777841494"/>
    <n v="0.82424242424242422"/>
    <n v="0.23099952327983472"/>
  </r>
  <r>
    <n v="1507"/>
    <n v="0"/>
    <n v="342144"/>
    <n v="696"/>
    <n v="671593"/>
    <n v="0"/>
    <n v="10577.49"/>
    <n v="8.4"/>
    <n v="4"/>
    <n v="186181"/>
    <n v="564344"/>
    <x v="3"/>
    <s v="3af35d63-33c0-4d72-868d-e485331e0da6"/>
    <s v="консолидация кредитов"/>
    <s v="в аренде"/>
    <s v="краткосрочный"/>
    <x v="0"/>
    <b v="0"/>
    <n v="0.41747906870053908"/>
    <n v="0.66666666666666663"/>
    <n v="0.18899821767052366"/>
  </r>
  <r>
    <n v="1508"/>
    <n v="1"/>
    <n v="475332"/>
    <n v="667"/>
    <n v="988969"/>
    <n v="0"/>
    <n v="11702.86"/>
    <n v="15.3"/>
    <n v="12"/>
    <n v="206207"/>
    <n v="414546"/>
    <x v="1"/>
    <s v="265c20dd-90b0-4fd3-8429-1dd4bf918af3"/>
    <s v="консолидация кредитов"/>
    <s v="в ипотеке"/>
    <s v="долгосрочный"/>
    <x v="1"/>
    <b v="0"/>
    <n v="0.59106548916160107"/>
    <n v="0.49090909090909091"/>
    <n v="0.14200073005321706"/>
  </r>
  <r>
    <n v="1509"/>
    <n v="0"/>
    <n v="384648"/>
    <n v="745"/>
    <n v="1267110"/>
    <n v="0"/>
    <n v="26081.3"/>
    <n v="20.9"/>
    <n v="13"/>
    <n v="344831"/>
    <n v="413314"/>
    <x v="1"/>
    <s v="4d1a6974-a684-474e-b47c-b1496352e95c"/>
    <s v="консолидация кредитов"/>
    <s v="в аренде"/>
    <s v="краткосрочный"/>
    <x v="0"/>
    <b v="0"/>
    <n v="0.47287532973964902"/>
    <n v="0.96363636363636362"/>
    <n v="0.24699955015744487"/>
  </r>
  <r>
    <n v="1510"/>
    <n v="0"/>
    <n v="206074"/>
    <n v="682"/>
    <n v="578930"/>
    <n v="65"/>
    <n v="11385.56"/>
    <n v="9.8000000000000007"/>
    <n v="6"/>
    <n v="85424"/>
    <n v="182842"/>
    <x v="9"/>
    <s v="e104b113-a9e7-459f-b196-cff5c6de9f12"/>
    <s v="консолидация кредитов"/>
    <s v="в аренде"/>
    <s v="краткосрочный"/>
    <x v="0"/>
    <b v="0"/>
    <n v="0.24013648354169057"/>
    <n v="0.58181818181818179"/>
    <n v="0.23599868723334427"/>
  </r>
  <r>
    <n v="1511"/>
    <n v="3"/>
    <n v="248952"/>
    <n v="713"/>
    <n v="1156150"/>
    <n v="67"/>
    <n v="31023.58"/>
    <n v="15.4"/>
    <n v="19"/>
    <n v="80408"/>
    <n v="151140"/>
    <x v="9"/>
    <s v="1c80d5ad-8367-4894-ab6f-cdda4c5504af"/>
    <s v="консолидация кредитов"/>
    <s v="в аренде"/>
    <s v="долгосрочный"/>
    <x v="0"/>
    <b v="0"/>
    <n v="0.29602018580112399"/>
    <n v="0.76969696969696966"/>
    <n v="0.32200230073952346"/>
  </r>
  <r>
    <n v="1512"/>
    <n v="0"/>
    <n v="540628"/>
    <n v="722"/>
    <n v="2898659"/>
    <n v="0"/>
    <n v="27778.95"/>
    <n v="25.2"/>
    <n v="7"/>
    <n v="603022"/>
    <n v="778404"/>
    <x v="1"/>
    <s v="a1a1755e-9ef6-4af4-b331-444e2756dac4"/>
    <s v="консолидация кредитов"/>
    <s v="в аренде"/>
    <s v="долгосрочный"/>
    <x v="1"/>
    <b v="0"/>
    <n v="0.67616699162748017"/>
    <n v="0.82424242424242422"/>
    <n v="0.11500055715418751"/>
  </r>
  <r>
    <n v="1513"/>
    <n v="1"/>
    <n v="322652"/>
    <n v="733"/>
    <n v="724470"/>
    <n v="42"/>
    <n v="11048.31"/>
    <n v="14.8"/>
    <n v="10"/>
    <n v="120422"/>
    <n v="188958"/>
    <x v="10"/>
    <s v="3e7e8f60-1fc1-411f-886b-3964cb9bc807"/>
    <s v="консолидация кредитов"/>
    <s v="в аренде"/>
    <s v="краткосрочный"/>
    <x v="0"/>
    <b v="0"/>
    <n v="0.39207477921780021"/>
    <n v="0.89090909090909087"/>
    <n v="0.18300236034618411"/>
  </r>
  <r>
    <n v="1514"/>
    <n v="0"/>
    <n v="193996"/>
    <n v="735"/>
    <n v="2233944"/>
    <n v="16"/>
    <n v="8246.9500000000007"/>
    <n v="16.5"/>
    <n v="14"/>
    <n v="285171"/>
    <n v="530860"/>
    <x v="1"/>
    <s v="65dd53bb-6b66-46c4-87c5-137dbed15bf6"/>
    <s v="консолидация кредитов"/>
    <s v="в аренде"/>
    <s v="краткосрочный"/>
    <x v="1"/>
    <b v="0"/>
    <n v="0.22439499942653973"/>
    <n v="0.90303030303030307"/>
    <n v="4.4299857113696675E-2"/>
  </r>
  <r>
    <n v="1515"/>
    <n v="0"/>
    <n v="87648"/>
    <n v="746"/>
    <n v="305102"/>
    <n v="0"/>
    <n v="5313.73"/>
    <n v="11.4"/>
    <n v="3"/>
    <n v="120498"/>
    <n v="356840"/>
    <x v="10"/>
    <s v="e49ded88-29f1-40f8-8048-5ef1a30eeef6"/>
    <s v="консолидация кредитов"/>
    <s v="в аренде"/>
    <s v="краткосрочный"/>
    <x v="0"/>
    <b v="0"/>
    <n v="8.5789654776923963E-2"/>
    <n v="0.96969696969696972"/>
    <n v="0.20899489351102252"/>
  </r>
  <r>
    <n v="1516"/>
    <n v="0"/>
    <n v="781088"/>
    <n v="731"/>
    <n v="1541888"/>
    <n v="0"/>
    <n v="22999.69"/>
    <n v="20.100000000000001"/>
    <n v="15"/>
    <n v="477983"/>
    <n v="769758"/>
    <x v="1"/>
    <s v="8cbfe936-992a-436f-b005-6edb06018847"/>
    <s v="консолидация кредитов"/>
    <s v="в ипотеке"/>
    <s v="краткосрочный"/>
    <x v="1"/>
    <b v="0"/>
    <n v="0.98956302328248658"/>
    <n v="0.87878787878787878"/>
    <n v="0.17899891561514195"/>
  </r>
  <r>
    <n v="1517"/>
    <n v="0"/>
    <n v="621918"/>
    <n v="715"/>
    <n v="2148425"/>
    <n v="19"/>
    <n v="20947.12"/>
    <n v="20.5"/>
    <n v="9"/>
    <n v="585884"/>
    <n v="784278"/>
    <x v="1"/>
    <s v="e604834b-2b48-44dd-9e24-19fad4c81602"/>
    <s v="консолидация кредитов"/>
    <s v="в ипотеке"/>
    <s v="долгосрочный"/>
    <x v="1"/>
    <b v="0"/>
    <n v="0.78211377451542607"/>
    <n v="0.78181818181818186"/>
    <n v="0.11699986734468273"/>
  </r>
  <r>
    <n v="1518"/>
    <n v="0"/>
    <n v="431948"/>
    <n v="723"/>
    <n v="1168044"/>
    <n v="8"/>
    <n v="25109.26"/>
    <n v="16.899999999999999"/>
    <n v="15"/>
    <n v="554230"/>
    <n v="1356740"/>
    <x v="1"/>
    <s v="5e1c9374-3032-4e45-94a3-db149205ce0f"/>
    <s v="консолидация кредитов"/>
    <s v="в аренде"/>
    <s v="краткосрочный"/>
    <x v="1"/>
    <b v="0"/>
    <n v="0.53452230760408304"/>
    <n v="0.83030303030303032"/>
    <n v="0.25796213156353698"/>
  </r>
  <r>
    <n v="1519"/>
    <n v="0"/>
    <n v="448734"/>
    <n v="723"/>
    <n v="1168044"/>
    <n v="7"/>
    <n v="16742.419999999998"/>
    <n v="18.399999999999999"/>
    <n v="21"/>
    <n v="495672"/>
    <n v="2539526"/>
    <x v="1"/>
    <s v="705577ba-484d-47f0-a553-d4c2c88d6e51"/>
    <s v="консолидация кредитов"/>
    <s v="в ипотеке"/>
    <s v="краткосрочный"/>
    <x v="0"/>
    <b v="0"/>
    <n v="0.55639981649271708"/>
    <n v="0.83030303030303032"/>
    <n v="0.17200468475502634"/>
  </r>
  <r>
    <n v="1520"/>
    <n v="0"/>
    <n v="319374"/>
    <n v="723"/>
    <n v="1168044"/>
    <n v="21"/>
    <n v="12721.64"/>
    <n v="18.600000000000001"/>
    <n v="4"/>
    <n v="58558"/>
    <n v="200024"/>
    <x v="1"/>
    <s v="c0ed6375-b0bf-4897-9435-3e60e03248ab"/>
    <s v="консолидация кредитов"/>
    <s v="в ипотеке"/>
    <s v="долгосрочный"/>
    <x v="1"/>
    <b v="0"/>
    <n v="0.38780250028673013"/>
    <n v="0.83030303030303032"/>
    <n v="0.13069685731016981"/>
  </r>
  <r>
    <n v="1521"/>
    <n v="0"/>
    <m/>
    <n v="751"/>
    <n v="700758"/>
    <n v="0"/>
    <n v="14482.37"/>
    <n v="25"/>
    <n v="13"/>
    <n v="259730"/>
    <n v="1432090"/>
    <x v="2"/>
    <s v="9fcf07e7-abc3-4ef6-b1d5-26a6561d25d6"/>
    <s v="консолидация кредитов"/>
    <s v="в аренде"/>
    <s v="краткосрочный"/>
    <x v="0"/>
    <b v="0"/>
    <m/>
    <n v="1"/>
    <n v="0.24800065072393038"/>
  </r>
  <r>
    <n v="1522"/>
    <n v="1"/>
    <n v="133914"/>
    <n v="699"/>
    <n v="1831182"/>
    <n v="61"/>
    <n v="17243.45"/>
    <n v="16.5"/>
    <n v="9"/>
    <n v="33364"/>
    <n v="58014"/>
    <x v="5"/>
    <s v="91688b35-d725-4ac5-85f8-981a9a75b06d"/>
    <s v="иное"/>
    <s v="в ипотеке"/>
    <s v="краткосрочный"/>
    <x v="0"/>
    <b v="0"/>
    <n v="0.14608900103222847"/>
    <n v="0.68484848484848482"/>
    <n v="0.11299881715744257"/>
  </r>
  <r>
    <n v="1523"/>
    <n v="0"/>
    <n v="286968"/>
    <n v="719"/>
    <n v="1408185"/>
    <n v="6"/>
    <n v="20066.66"/>
    <n v="17.899999999999999"/>
    <n v="17"/>
    <n v="457900"/>
    <n v="1109218"/>
    <x v="1"/>
    <s v="f0dbbaf0-b2d7-48d5-8248-073986908b40"/>
    <s v="консолидация кредитов"/>
    <s v="в ипотеке"/>
    <s v="краткосрочный"/>
    <x v="0"/>
    <b v="0"/>
    <n v="0.34556715219635281"/>
    <n v="0.80606060606060603"/>
    <n v="0.17100020238818053"/>
  </r>
  <r>
    <n v="1524"/>
    <n v="0"/>
    <n v="568392"/>
    <n v="712"/>
    <n v="1906916"/>
    <n v="0"/>
    <n v="34006.58"/>
    <n v="18.100000000000001"/>
    <n v="19"/>
    <n v="474430"/>
    <n v="682396"/>
    <x v="10"/>
    <s v="a1156a6b-62a3-4cea-b7d3-27592e8f26ed"/>
    <s v="консолидация кредитов"/>
    <s v="в ипотеке"/>
    <s v="долгосрочный"/>
    <x v="0"/>
    <b v="0"/>
    <n v="0.71235233398325493"/>
    <n v="0.76363636363636367"/>
    <n v="0.21399944203100715"/>
  </r>
  <r>
    <n v="1525"/>
    <n v="0"/>
    <n v="756602"/>
    <n v="723"/>
    <n v="1168044"/>
    <n v="0"/>
    <n v="48618.34"/>
    <n v="30.2"/>
    <n v="13"/>
    <n v="1265723"/>
    <n v="1787280"/>
    <x v="0"/>
    <s v="d698584d-c6aa-4a57-8eed-0d8db2d2f633"/>
    <s v="консолидация кредитов"/>
    <s v="в ипотеке"/>
    <s v="краткосрочный"/>
    <x v="1"/>
    <b v="1"/>
    <n v="0.9576499598577819"/>
    <n v="0.83030303030303032"/>
    <n v="0.49948467694710125"/>
  </r>
  <r>
    <n v="1526"/>
    <n v="0"/>
    <n v="431948"/>
    <n v="671"/>
    <n v="932615"/>
    <n v="0"/>
    <n v="10258.67"/>
    <n v="16.2"/>
    <n v="12"/>
    <n v="120194"/>
    <n v="529166"/>
    <x v="2"/>
    <s v="81e5428b-a03d-4f53-b150-00aef1d1ed68"/>
    <s v="бизнес"/>
    <s v="в ипотеке"/>
    <s v="краткосрочный"/>
    <x v="1"/>
    <b v="0"/>
    <n v="0.53452230760408304"/>
    <n v="0.51515151515151514"/>
    <n v="0.13199877763064072"/>
  </r>
  <r>
    <n v="1527"/>
    <n v="0"/>
    <n v="479490"/>
    <n v="747"/>
    <n v="1223524"/>
    <n v="78"/>
    <n v="28344.77"/>
    <n v="25.9"/>
    <n v="9"/>
    <n v="277134"/>
    <n v="438372"/>
    <x v="8"/>
    <s v="1e1534ac-8c70-4298-a7e0-eb74462ae000"/>
    <s v="консолидация кредитов"/>
    <s v="в ипотеке"/>
    <s v="краткосрочный"/>
    <x v="0"/>
    <b v="0"/>
    <n v="0.59648468861107928"/>
    <n v="0.97575757575757571"/>
    <n v="0.27799801229890059"/>
  </r>
  <r>
    <n v="1528"/>
    <n v="0"/>
    <m/>
    <n v="713"/>
    <n v="2597870"/>
    <n v="0"/>
    <n v="19462.46"/>
    <n v="13.3"/>
    <n v="7"/>
    <n v="286729"/>
    <n v="529518"/>
    <x v="2"/>
    <s v="716fec9a-d973-48ec-b5f2-84f4dfe78298"/>
    <s v="консолидация кредитов"/>
    <s v="в аренде"/>
    <s v="долгосрочный"/>
    <x v="0"/>
    <b v="0"/>
    <m/>
    <n v="0.76969696969696966"/>
    <n v="8.9900387625246839E-2"/>
  </r>
  <r>
    <n v="1529"/>
    <n v="0"/>
    <m/>
    <n v="706"/>
    <n v="983744"/>
    <n v="0"/>
    <n v="14977.51"/>
    <n v="17.8"/>
    <n v="7"/>
    <n v="423852"/>
    <n v="683518"/>
    <x v="4"/>
    <s v="8de45d20-3cb2-408d-b886-1b1d58ac37ba"/>
    <s v="консолидация кредитов"/>
    <s v="в аренде"/>
    <s v="краткосрочный"/>
    <x v="0"/>
    <b v="0"/>
    <m/>
    <n v="0.72727272727272729"/>
    <n v="0.18270009270704574"/>
  </r>
  <r>
    <n v="1530"/>
    <n v="0"/>
    <n v="117876"/>
    <n v="723"/>
    <n v="1168044"/>
    <n v="37"/>
    <n v="11014.3"/>
    <n v="5"/>
    <n v="5"/>
    <n v="63935"/>
    <n v="157872"/>
    <x v="9"/>
    <s v="379c1838-fe78-4132-a7fc-df948703a0ac"/>
    <s v="консолидация кредитов"/>
    <s v="в аренде"/>
    <s v="краткосрочный"/>
    <x v="1"/>
    <b v="0"/>
    <n v="0.12518637458424131"/>
    <n v="0.83030303030303032"/>
    <n v="0.11315635369900448"/>
  </r>
  <r>
    <n v="1531"/>
    <n v="0"/>
    <n v="352418"/>
    <n v="745"/>
    <n v="1512305"/>
    <n v="0"/>
    <n v="8204.39"/>
    <n v="25.9"/>
    <n v="9"/>
    <n v="283708"/>
    <n v="585574"/>
    <x v="1"/>
    <s v="0e467f42-e276-4bee-a032-de91fc0571c2"/>
    <s v="консолидация кредитов"/>
    <s v="в аренде"/>
    <s v="краткосрочный"/>
    <x v="0"/>
    <b v="0"/>
    <n v="0.43086936575295331"/>
    <n v="0.96363636363636362"/>
    <n v="6.5101074188077132E-2"/>
  </r>
  <r>
    <n v="1532"/>
    <n v="0"/>
    <n v="408540"/>
    <n v="718"/>
    <n v="1335054"/>
    <n v="18"/>
    <n v="21027.11"/>
    <n v="14.7"/>
    <n v="12"/>
    <n v="271548"/>
    <n v="335566"/>
    <x v="0"/>
    <s v="1e8561ec-4905-42f6-b4e3-2310e45227e0"/>
    <s v="консолидация кредитов"/>
    <s v="в ипотеке"/>
    <s v="краткосрочный"/>
    <x v="0"/>
    <b v="0"/>
    <n v="0.50401422181442823"/>
    <n v="0.8"/>
    <n v="0.18900008538980445"/>
  </r>
  <r>
    <n v="1533"/>
    <n v="0"/>
    <n v="300388"/>
    <n v="692"/>
    <n v="1152996"/>
    <n v="28"/>
    <n v="25750.32"/>
    <n v="10.1"/>
    <n v="17"/>
    <n v="130302"/>
    <n v="369798"/>
    <x v="2"/>
    <s v="90dcefd9-b407-45eb-9937-cf0b0177eb10"/>
    <s v="консолидация кредитов"/>
    <s v="в ипотеке"/>
    <s v="краткосрочный"/>
    <x v="1"/>
    <b v="0"/>
    <n v="0.36305769010207595"/>
    <n v="0.64242424242424245"/>
    <n v="0.26800079098279611"/>
  </r>
  <r>
    <n v="1534"/>
    <n v="0"/>
    <n v="327800"/>
    <n v="749"/>
    <n v="1226735"/>
    <n v="79"/>
    <n v="19627.57"/>
    <n v="14.1"/>
    <n v="14"/>
    <n v="290776"/>
    <n v="1058750"/>
    <x v="5"/>
    <s v="e5ba349d-d3a4-4822-870b-d333152133db"/>
    <s v="консолидация кредитов"/>
    <s v="в ипотеке"/>
    <s v="краткосрочный"/>
    <x v="0"/>
    <b v="0"/>
    <n v="0.39878426425048746"/>
    <n v="0.98787878787878791"/>
    <n v="0.19199814140788352"/>
  </r>
  <r>
    <n v="1535"/>
    <n v="0"/>
    <m/>
    <n v="727"/>
    <n v="1467256"/>
    <n v="0"/>
    <n v="21153.08"/>
    <n v="38.5"/>
    <n v="16"/>
    <n v="635968"/>
    <n v="1207206"/>
    <x v="1"/>
    <s v="fca4d57e-e22e-48e2-9d1a-42b750452c25"/>
    <s v="консолидация кредитов"/>
    <s v="в ипотеке"/>
    <s v="долгосрочный"/>
    <x v="0"/>
    <b v="0"/>
    <m/>
    <n v="0.8545454545454545"/>
    <n v="0.17300113954211127"/>
  </r>
  <r>
    <n v="1536"/>
    <n v="0"/>
    <n v="188672"/>
    <n v="652"/>
    <n v="1008748"/>
    <n v="47"/>
    <n v="3127.21"/>
    <n v="11"/>
    <n v="5"/>
    <n v="68153"/>
    <n v="96580"/>
    <x v="1"/>
    <s v="0f772e7e-f71a-4fd0-ac87-50db06d4f263"/>
    <s v="консолидация кредитов"/>
    <s v="в аренде"/>
    <s v="краткосрочный"/>
    <x v="0"/>
    <b v="0"/>
    <n v="0.21745613029017088"/>
    <n v="0.4"/>
    <n v="3.7201084909214199E-2"/>
  </r>
  <r>
    <n v="1537"/>
    <n v="0"/>
    <n v="546876"/>
    <n v="723"/>
    <n v="1168044"/>
    <n v="0"/>
    <n v="24642.62"/>
    <n v="23.4"/>
    <n v="13"/>
    <n v="141094"/>
    <n v="214698"/>
    <x v="3"/>
    <s v="3a2ab379-e2b1-468e-ae54-72c784616788"/>
    <s v="консолидация кредитов"/>
    <s v="в ипотеке"/>
    <s v="долгосрочный"/>
    <x v="1"/>
    <b v="0"/>
    <n v="0.68431012730817753"/>
    <n v="0.83030303030303032"/>
    <n v="0.25316806558657035"/>
  </r>
  <r>
    <n v="1538"/>
    <n v="0"/>
    <n v="225126"/>
    <n v="725"/>
    <n v="1263785"/>
    <n v="48"/>
    <n v="15165.23"/>
    <n v="10.6"/>
    <n v="11"/>
    <n v="106571"/>
    <n v="333498"/>
    <x v="7"/>
    <s v="eb6e6610-5f80-4552-8839-ce4d88ada950"/>
    <s v="консолидация кредитов"/>
    <s v="в ипотеке"/>
    <s v="краткосрочный"/>
    <x v="0"/>
    <b v="0"/>
    <n v="0.26496731276522539"/>
    <n v="0.84242424242424241"/>
    <n v="0.14399819589566262"/>
  </r>
  <r>
    <n v="1539"/>
    <n v="0"/>
    <n v="450208"/>
    <n v="658"/>
    <n v="1030370"/>
    <n v="26"/>
    <n v="12536.01"/>
    <n v="18.7"/>
    <n v="11"/>
    <n v="341411"/>
    <n v="945758"/>
    <x v="2"/>
    <s v="823f3d4a-da40-4f0e-85f7-83e3fd0aa351"/>
    <s v="консолидация кредитов"/>
    <s v="в аренде"/>
    <s v="долгосрочный"/>
    <x v="1"/>
    <b v="0"/>
    <n v="0.55832090836105053"/>
    <n v="0.43636363636363634"/>
    <n v="0.1459981560022128"/>
  </r>
  <r>
    <n v="1540"/>
    <n v="1"/>
    <n v="328658"/>
    <n v="731"/>
    <n v="1589464"/>
    <n v="78"/>
    <n v="20133.16"/>
    <n v="20.6"/>
    <n v="12"/>
    <n v="94278"/>
    <n v="983378"/>
    <x v="2"/>
    <s v="85bc0dad-26b3-429d-83e8-486559bb4640"/>
    <s v="консолидация кредитов"/>
    <s v="в аренде"/>
    <s v="краткосрочный"/>
    <x v="0"/>
    <b v="0"/>
    <n v="0.39990251175593533"/>
    <n v="0.87878787878787878"/>
    <n v="0.15199961748111313"/>
  </r>
  <r>
    <n v="1541"/>
    <n v="0"/>
    <n v="171622"/>
    <n v="723"/>
    <n v="1168044"/>
    <n v="26"/>
    <n v="6221.93"/>
    <n v="13.2"/>
    <n v="7"/>
    <n v="111131"/>
    <n v="199474"/>
    <x v="1"/>
    <s v="0b920c5c-a312-4356-b9d0-c3eb4e3ca486"/>
    <s v="консолидация кредитов"/>
    <s v="в ипотеке"/>
    <s v="краткосрочный"/>
    <x v="0"/>
    <b v="0"/>
    <n v="0.19523454524601444"/>
    <n v="0.83030303030303032"/>
    <n v="6.3921530353308609E-2"/>
  </r>
  <r>
    <n v="1542"/>
    <n v="0"/>
    <n v="399630"/>
    <n v="712"/>
    <n v="1335985"/>
    <n v="0"/>
    <n v="28946.5"/>
    <n v="10.199999999999999"/>
    <n v="13"/>
    <n v="579025"/>
    <n v="687632"/>
    <x v="6"/>
    <s v="ce2d5b7f-5c98-40ac-a6fc-e3f23ad7878d"/>
    <s v="консолидация кредитов"/>
    <s v="в аренде"/>
    <s v="краткосрочный"/>
    <x v="0"/>
    <b v="0"/>
    <n v="0.49240165156554649"/>
    <n v="0.76363636363636367"/>
    <n v="0.26000142217165612"/>
  </r>
  <r>
    <n v="1543"/>
    <n v="0"/>
    <n v="365178"/>
    <n v="714"/>
    <n v="788614"/>
    <n v="0"/>
    <n v="10514.79"/>
    <n v="19.3"/>
    <n v="8"/>
    <n v="242991"/>
    <n v="318296"/>
    <x v="6"/>
    <s v="9d143754-01a5-444d-8f02-acf85b51c55c"/>
    <s v="консолидация кредитов"/>
    <s v="в аренде"/>
    <s v="долгосрочный"/>
    <x v="1"/>
    <b v="0"/>
    <n v="0.44749971326987042"/>
    <n v="0.77575757575757576"/>
    <n v="0.15999903628391079"/>
  </r>
  <r>
    <n v="1544"/>
    <n v="0"/>
    <n v="351296"/>
    <n v="723"/>
    <n v="1168044"/>
    <n v="0"/>
    <n v="45129.56"/>
    <n v="12.1"/>
    <n v="22"/>
    <n v="149264"/>
    <n v="297990"/>
    <x v="6"/>
    <s v="d2d7893c-27c4-4cc7-8e40-69e4e83eb358"/>
    <s v="консолидация кредитов"/>
    <s v="в ипотеке"/>
    <s v="краткосрочный"/>
    <x v="0"/>
    <b v="1"/>
    <n v="0.42940704209198305"/>
    <n v="0.83030303030303032"/>
    <n v="0.46364239703298848"/>
  </r>
  <r>
    <n v="1545"/>
    <n v="1"/>
    <n v="86218"/>
    <n v="720"/>
    <n v="468255"/>
    <n v="0"/>
    <n v="12721.07"/>
    <n v="13.9"/>
    <n v="6"/>
    <n v="27322"/>
    <n v="158202"/>
    <x v="9"/>
    <s v="e4f235d2-1867-4741-813e-9896f760ceb6"/>
    <s v="консолидация кредитов"/>
    <s v="в аренде"/>
    <s v="краткосрочный"/>
    <x v="0"/>
    <b v="0"/>
    <n v="8.3925908934510837E-2"/>
    <n v="0.81212121212121213"/>
    <n v="0.32600365185636032"/>
  </r>
  <r>
    <n v="1546"/>
    <n v="1"/>
    <n v="460284"/>
    <n v="639"/>
    <n v="1211497"/>
    <n v="0"/>
    <n v="13225.52"/>
    <n v="9.4"/>
    <n v="14"/>
    <n v="91371"/>
    <n v="542564"/>
    <x v="5"/>
    <s v="f1a06b3f-5500-4988-b7dc-551304c90e22"/>
    <s v="консолидация кредитов"/>
    <s v="в аренде"/>
    <s v="долгосрочный"/>
    <x v="0"/>
    <b v="0"/>
    <n v="0.57145314829682303"/>
    <n v="0.32121212121212123"/>
    <n v="0.13100010978153476"/>
  </r>
  <r>
    <n v="1547"/>
    <n v="0"/>
    <n v="618398"/>
    <n v="714"/>
    <n v="4100941"/>
    <n v="0"/>
    <n v="16403.650000000001"/>
    <n v="26.1"/>
    <n v="30"/>
    <n v="637165"/>
    <n v="1901482"/>
    <x v="1"/>
    <s v="3a91fac6-fd28-464a-990f-f0a533d2efe0"/>
    <s v="консолидация кредитов"/>
    <s v="в ипотеке"/>
    <s v="краткосрочный"/>
    <x v="0"/>
    <b v="0"/>
    <n v="0.77752609244179383"/>
    <n v="0.77575757575757576"/>
    <n v="4.7999666418024556E-2"/>
  </r>
  <r>
    <n v="1548"/>
    <n v="0"/>
    <m/>
    <n v="694"/>
    <n v="741228"/>
    <n v="0"/>
    <n v="21371.96"/>
    <n v="9"/>
    <n v="10"/>
    <n v="244188"/>
    <n v="525536"/>
    <x v="4"/>
    <s v="8b07719a-4f23-4e50-9abb-dec1929755e3"/>
    <s v="консолидация кредитов"/>
    <s v="в аренде"/>
    <s v="краткосрочный"/>
    <x v="0"/>
    <b v="0"/>
    <m/>
    <n v="0.65454545454545454"/>
    <n v="0.34599815441402643"/>
  </r>
  <r>
    <n v="1549"/>
    <n v="0"/>
    <n v="179256"/>
    <n v="702"/>
    <n v="677312"/>
    <n v="0"/>
    <n v="6208.63"/>
    <n v="14"/>
    <n v="5"/>
    <n v="277647"/>
    <n v="344960"/>
    <x v="1"/>
    <s v="49b74cc7-4736-40f6-9f72-e9c98a787c08"/>
    <s v="консолидация кредитов"/>
    <s v="в ипотеке"/>
    <s v="краткосрочный"/>
    <x v="1"/>
    <b v="0"/>
    <n v="0.20518408074320449"/>
    <n v="0.70303030303030301"/>
    <n v="0.10999887791741472"/>
  </r>
  <r>
    <n v="1550"/>
    <n v="0"/>
    <n v="132330"/>
    <n v="692"/>
    <n v="761900"/>
    <n v="0"/>
    <n v="10730.06"/>
    <n v="7.4"/>
    <n v="7"/>
    <n v="91295"/>
    <n v="132308"/>
    <x v="4"/>
    <s v="0c1ed830-7fe1-402b-af4a-ab7e722c2a49"/>
    <s v="консолидация кредитов"/>
    <s v="в аренде"/>
    <s v="краткосрочный"/>
    <x v="0"/>
    <b v="0"/>
    <n v="0.14402454409909393"/>
    <n v="0.64242424242424245"/>
    <n v="0.16899950124688279"/>
  </r>
  <r>
    <n v="1551"/>
    <n v="1"/>
    <n v="69982"/>
    <n v="723"/>
    <n v="1168044"/>
    <n v="72"/>
    <n v="4362.59"/>
    <n v="15.9"/>
    <n v="9"/>
    <n v="121220"/>
    <n v="293040"/>
    <x v="1"/>
    <s v="289cbf03-97f2-4c1c-98ef-7785ccdc0e94"/>
    <s v="консолидация кредитов"/>
    <s v="в ипотеке"/>
    <s v="краткосрочный"/>
    <x v="0"/>
    <b v="0"/>
    <n v="6.2765225369881869E-2"/>
    <n v="0.83030303030303032"/>
    <n v="4.4819441733359361E-2"/>
  </r>
  <r>
    <n v="1552"/>
    <n v="0"/>
    <n v="324500"/>
    <n v="711"/>
    <n v="971508"/>
    <n v="0"/>
    <n v="19915.8"/>
    <n v="15.1"/>
    <n v="23"/>
    <n v="333431"/>
    <n v="547624"/>
    <x v="4"/>
    <s v="68dcbeb3-fa40-459b-abbc-27190252dab6"/>
    <s v="консолидация кредитов"/>
    <s v="в ипотеке"/>
    <s v="краткосрочный"/>
    <x v="0"/>
    <b v="0"/>
    <n v="0.39448331230645717"/>
    <n v="0.75757575757575757"/>
    <n v="0.24599859187984041"/>
  </r>
  <r>
    <n v="1553"/>
    <n v="0"/>
    <n v="643500"/>
    <n v="739"/>
    <n v="1852500"/>
    <n v="0"/>
    <n v="20377.5"/>
    <n v="22.7"/>
    <n v="16"/>
    <n v="356193"/>
    <n v="1422190"/>
    <x v="1"/>
    <s v="5f182706-5f96-4d9c-a103-3796e3a0a612"/>
    <s v="консолидация кредитов"/>
    <s v="в ипотеке"/>
    <s v="долгосрочный"/>
    <x v="0"/>
    <b v="0"/>
    <n v="0.81024200022938409"/>
    <n v="0.92727272727272725"/>
    <n v="0.13200000000000001"/>
  </r>
  <r>
    <n v="1554"/>
    <n v="0"/>
    <n v="756140"/>
    <n v="723"/>
    <n v="1168044"/>
    <n v="0"/>
    <n v="24208.85"/>
    <n v="9.5"/>
    <n v="11"/>
    <n v="248995"/>
    <n v="553366"/>
    <x v="3"/>
    <s v="3b11af3e-fe5a-497a-adbd-910ed6f6f306"/>
    <s v="иное"/>
    <s v="в аренде"/>
    <s v="краткосрочный"/>
    <x v="0"/>
    <b v="0"/>
    <n v="0.9570478265856176"/>
    <n v="0.83030303030303032"/>
    <n v="0.24871169236775326"/>
  </r>
  <r>
    <n v="1555"/>
    <n v="0"/>
    <n v="172370"/>
    <n v="742"/>
    <n v="800166"/>
    <n v="0"/>
    <n v="20737.740000000002"/>
    <n v="25.5"/>
    <n v="11"/>
    <n v="289180"/>
    <n v="558052"/>
    <x v="1"/>
    <s v="20cec3d1-26e8-4b68-9d5e-92c9482ef377"/>
    <s v="консолидация кредитов"/>
    <s v="в ипотеке"/>
    <s v="краткосрочный"/>
    <x v="1"/>
    <b v="0"/>
    <n v="0.1962094276866613"/>
    <n v="0.94545454545454544"/>
    <n v="0.31100156717481126"/>
  </r>
  <r>
    <n v="1556"/>
    <n v="0"/>
    <n v="671616"/>
    <n v="723"/>
    <n v="1168044"/>
    <n v="0"/>
    <n v="28013.599999999999"/>
    <n v="16.8"/>
    <n v="10"/>
    <n v="186561"/>
    <n v="544126"/>
    <x v="7"/>
    <s v="54d6bb24-4e69-44e2-ba19-a846cf648335"/>
    <s v="консолидация кредитов"/>
    <s v="в ипотеке"/>
    <s v="долгосрочный"/>
    <x v="0"/>
    <b v="0"/>
    <n v="0.84688611079252207"/>
    <n v="0.83030303030303032"/>
    <n v="0.28780011711887565"/>
  </r>
  <r>
    <n v="1557"/>
    <n v="0"/>
    <n v="262790"/>
    <n v="728"/>
    <n v="756504"/>
    <n v="21"/>
    <n v="10339.040000000001"/>
    <n v="16"/>
    <n v="14"/>
    <n v="718694"/>
    <n v="1524138"/>
    <x v="1"/>
    <s v="f3d82ff4-05d0-4513-9254-a267db8be887"/>
    <s v="консолидация кредитов"/>
    <s v="в ипотеке"/>
    <s v="долгосрочный"/>
    <x v="1"/>
    <b v="0"/>
    <n v="0.31405551095309098"/>
    <n v="0.8606060606060606"/>
    <n v="0.16400241109101871"/>
  </r>
  <r>
    <n v="1558"/>
    <n v="0"/>
    <m/>
    <n v="744"/>
    <n v="1232283"/>
    <n v="0"/>
    <n v="11193.28"/>
    <n v="14"/>
    <n v="7"/>
    <n v="203984"/>
    <n v="628188"/>
    <x v="7"/>
    <s v="3bbee81c-510a-490a-84fe-a3a2e42ba220"/>
    <s v="консолидация кредитов"/>
    <s v="в ипотеке"/>
    <s v="краткосрочный"/>
    <x v="0"/>
    <b v="0"/>
    <m/>
    <n v="0.95757575757575752"/>
    <n v="0.10900041630047644"/>
  </r>
  <r>
    <n v="1559"/>
    <n v="0"/>
    <n v="292952"/>
    <n v="649"/>
    <n v="2062260"/>
    <n v="43"/>
    <n v="18388.580000000002"/>
    <n v="9.1"/>
    <n v="8"/>
    <n v="68780"/>
    <n v="143770"/>
    <x v="9"/>
    <s v="60218360-9629-4cba-a91b-111951e7dbba"/>
    <s v="ремонт жилья"/>
    <s v="в ипотеке"/>
    <s v="долгосрочный"/>
    <x v="0"/>
    <b v="0"/>
    <n v="0.35336621172152771"/>
    <n v="0.38181818181818183"/>
    <n v="0.10700055279159758"/>
  </r>
  <r>
    <n v="1560"/>
    <n v="0"/>
    <n v="380050"/>
    <n v="698"/>
    <n v="1520817"/>
    <n v="15"/>
    <n v="18249.689999999999"/>
    <n v="19.8"/>
    <n v="8"/>
    <n v="367802"/>
    <n v="835076"/>
    <x v="7"/>
    <s v="4d99f63f-df13-4e54-aec1-1f0e77dee138"/>
    <s v="консолидация кредитов"/>
    <s v="в аренде"/>
    <s v="долгосрочный"/>
    <x v="0"/>
    <b v="0"/>
    <n v="0.46688267003096684"/>
    <n v="0.67878787878787883"/>
    <n v="0.1439991004834901"/>
  </r>
  <r>
    <n v="1561"/>
    <n v="0"/>
    <n v="360998"/>
    <n v="729"/>
    <n v="2319672"/>
    <n v="7"/>
    <n v="17126.98"/>
    <n v="23.4"/>
    <n v="9"/>
    <n v="175864"/>
    <n v="557898"/>
    <x v="9"/>
    <s v="359d092f-2884-4cad-adec-5c3bfe2fbf76"/>
    <s v="консолидация кредитов"/>
    <s v="в аренде"/>
    <s v="долгосрочный"/>
    <x v="0"/>
    <b v="0"/>
    <n v="0.44205184080743204"/>
    <n v="0.8666666666666667"/>
    <n v="8.8600353843129545E-2"/>
  </r>
  <r>
    <n v="1562"/>
    <n v="0"/>
    <n v="768856"/>
    <n v="739"/>
    <n v="3737395"/>
    <n v="43"/>
    <n v="29026.87"/>
    <n v="19.7"/>
    <n v="10"/>
    <n v="130853"/>
    <n v="470514"/>
    <x v="6"/>
    <s v="a8694f04-0d6f-4b18-851a-2b5496bbc394"/>
    <s v="консолидация кредитов"/>
    <s v="в ипотеке"/>
    <s v="краткосрочный"/>
    <x v="0"/>
    <b v="0"/>
    <n v="0.97362082807661432"/>
    <n v="0.92727272727272725"/>
    <n v="9.319925777179025E-2"/>
  </r>
  <r>
    <n v="1563"/>
    <n v="0"/>
    <m/>
    <n v="684"/>
    <n v="1239446"/>
    <n v="0"/>
    <n v="30159.84"/>
    <n v="8"/>
    <n v="13"/>
    <n v="287736"/>
    <n v="808676"/>
    <x v="2"/>
    <s v="b0fac61e-b41a-4aa5-8217-1763c5237337"/>
    <s v="консолидация кредитов"/>
    <s v="в аренде"/>
    <s v="долгосрочный"/>
    <x v="0"/>
    <b v="0"/>
    <m/>
    <n v="0.59393939393939399"/>
    <n v="0.29199987736456445"/>
  </r>
  <r>
    <n v="1564"/>
    <n v="0"/>
    <n v="354530"/>
    <n v="724"/>
    <n v="822890"/>
    <n v="0"/>
    <n v="15730.86"/>
    <n v="11"/>
    <n v="15"/>
    <n v="262637"/>
    <n v="1055912"/>
    <x v="3"/>
    <s v="02c36826-da5d-41b3-8b8e-5b58add0c339"/>
    <s v="консолидация кредитов"/>
    <s v="в аренде"/>
    <s v="долгосрочный"/>
    <x v="0"/>
    <b v="0"/>
    <n v="0.43362197499713268"/>
    <n v="0.83636363636363631"/>
    <n v="0.22939921496190255"/>
  </r>
  <r>
    <n v="1565"/>
    <n v="1"/>
    <n v="218350"/>
    <n v="676"/>
    <n v="1282310"/>
    <n v="0"/>
    <n v="7020.69"/>
    <n v="16.899999999999999"/>
    <n v="8"/>
    <n v="232617"/>
    <n v="406252"/>
    <x v="3"/>
    <s v="dd44a6d0-4997-487f-adf0-e85f537dd45b"/>
    <s v="консолидация кредитов"/>
    <s v="в аренде"/>
    <s v="долгосрочный"/>
    <x v="0"/>
    <b v="0"/>
    <n v="0.25613602477348318"/>
    <n v="0.54545454545454541"/>
    <n v="6.5700400059268027E-2"/>
  </r>
  <r>
    <n v="1566"/>
    <n v="0"/>
    <m/>
    <n v="703"/>
    <n v="844056"/>
    <n v="0"/>
    <n v="13927"/>
    <n v="28.6"/>
    <n v="13"/>
    <n v="368353"/>
    <n v="478676"/>
    <x v="1"/>
    <s v="773c2c9b-59c4-4667-994d-bd42b87aa403"/>
    <s v="консолидация кредитов"/>
    <s v="в ипотеке"/>
    <s v="краткосрочный"/>
    <x v="0"/>
    <b v="0"/>
    <m/>
    <n v="0.70909090909090911"/>
    <n v="0.19800108049702864"/>
  </r>
  <r>
    <n v="1567"/>
    <n v="0"/>
    <n v="112904"/>
    <n v="749"/>
    <n v="1337353"/>
    <n v="0"/>
    <n v="12259.18"/>
    <n v="11.5"/>
    <n v="5"/>
    <n v="67735"/>
    <n v="122540"/>
    <x v="3"/>
    <s v="b1db9aaf-739a-4e1a-9453-1cb51ed562f1"/>
    <s v="консолидация кредитов"/>
    <s v="в ипотеке"/>
    <s v="краткосрочный"/>
    <x v="0"/>
    <b v="0"/>
    <n v="0.11870627365523569"/>
    <n v="0.98787878787878791"/>
    <n v="0.11000099450182563"/>
  </r>
  <r>
    <n v="1568"/>
    <n v="0"/>
    <m/>
    <n v="743"/>
    <n v="920626"/>
    <n v="0"/>
    <n v="10126.81"/>
    <n v="30.2"/>
    <n v="5"/>
    <n v="197752"/>
    <n v="429616"/>
    <x v="1"/>
    <s v="3a7885b6-fc27-4105-a779-97bcf7d1dca7"/>
    <s v="ремонт жилья"/>
    <s v="в аренде"/>
    <s v="краткосрочный"/>
    <x v="0"/>
    <b v="0"/>
    <m/>
    <n v="0.95151515151515154"/>
    <n v="0.13199900936971148"/>
  </r>
  <r>
    <n v="1569"/>
    <n v="0"/>
    <n v="244310"/>
    <n v="743"/>
    <n v="1216361"/>
    <n v="44"/>
    <n v="24732.49"/>
    <n v="28"/>
    <n v="19"/>
    <n v="334267"/>
    <n v="716760"/>
    <x v="10"/>
    <s v="06d51e8e-ef9f-4ccf-9b6d-219e97b15fb3"/>
    <s v="консолидация кредитов"/>
    <s v="в аренде"/>
    <s v="краткосрочный"/>
    <x v="0"/>
    <b v="0"/>
    <n v="0.28997018006652137"/>
    <n v="0.95151515151515154"/>
    <n v="0.24399818803792625"/>
  </r>
  <r>
    <n v="1570"/>
    <n v="0"/>
    <n v="118184"/>
    <n v="704"/>
    <n v="286330"/>
    <n v="38"/>
    <n v="7349.01"/>
    <n v="13"/>
    <n v="6"/>
    <n v="164483"/>
    <n v="278454"/>
    <x v="4"/>
    <s v="daef3dd3-ac49-43e3-a90e-e44f45af8dca"/>
    <s v="консолидация кредитов"/>
    <s v="в аренде"/>
    <s v="краткосрочный"/>
    <x v="0"/>
    <b v="0"/>
    <n v="0.12558779676568413"/>
    <n v="0.7151515151515152"/>
    <n v="0.30799469143994695"/>
  </r>
  <r>
    <n v="1571"/>
    <n v="1"/>
    <n v="68244"/>
    <n v="740"/>
    <n v="1871310"/>
    <n v="14"/>
    <n v="2744.74"/>
    <n v="20.7"/>
    <n v="6"/>
    <n v="64125"/>
    <n v="160380"/>
    <x v="8"/>
    <s v="b8a66042-638c-4b8e-88f1-6b9c7d094bb4"/>
    <s v="консолидация кредитов"/>
    <s v="в собственности"/>
    <s v="краткосрочный"/>
    <x v="0"/>
    <b v="0"/>
    <n v="6.0500057346025919E-2"/>
    <n v="0.93333333333333335"/>
    <n v="1.7600974718245507E-2"/>
  </r>
  <r>
    <n v="1572"/>
    <n v="1"/>
    <n v="319572"/>
    <n v="723"/>
    <n v="1168044"/>
    <n v="0"/>
    <n v="33020.86"/>
    <n v="19.100000000000001"/>
    <n v="16"/>
    <n v="178600"/>
    <n v="408672"/>
    <x v="1"/>
    <s v="f78f3759-9ff6-483b-a277-695810b0b8eb"/>
    <s v="консолидация кредитов"/>
    <s v="в ипотеке"/>
    <s v="долгосрочный"/>
    <x v="0"/>
    <b v="0"/>
    <n v="0.38806055740337192"/>
    <n v="0.83030303030303032"/>
    <n v="0.33924263127073978"/>
  </r>
  <r>
    <n v="1573"/>
    <n v="0"/>
    <n v="422092"/>
    <n v="723"/>
    <n v="1013384"/>
    <n v="65"/>
    <n v="11653.84"/>
    <n v="29"/>
    <n v="9"/>
    <n v="412680"/>
    <n v="651882"/>
    <x v="1"/>
    <s v="4287473b-57b4-44f6-bdc2-8bb70a8c5b85"/>
    <s v="консолидация кредитов"/>
    <s v="в аренде"/>
    <s v="краткосрочный"/>
    <x v="0"/>
    <b v="0"/>
    <n v="0.52167679779791265"/>
    <n v="0.83030303030303032"/>
    <n v="0.13799910004499774"/>
  </r>
  <r>
    <n v="1574"/>
    <n v="1"/>
    <n v="67320"/>
    <n v="723"/>
    <n v="1168044"/>
    <n v="0"/>
    <n v="7031.9"/>
    <n v="16.7"/>
    <n v="8"/>
    <n v="95"/>
    <n v="112222"/>
    <x v="8"/>
    <s v="d40f741a-92e1-4547-addd-775eed289441"/>
    <s v="иное"/>
    <s v="в аренде"/>
    <s v="краткосрочный"/>
    <x v="1"/>
    <b v="0"/>
    <n v="5.9295790801697446E-2"/>
    <n v="0.83030303030303032"/>
    <n v="7.2242826468865901E-2"/>
  </r>
  <r>
    <n v="1575"/>
    <n v="0"/>
    <n v="343486"/>
    <n v="751"/>
    <n v="6489070"/>
    <n v="0"/>
    <n v="3785.37"/>
    <n v="15.4"/>
    <n v="11"/>
    <n v="38019"/>
    <n v="285912"/>
    <x v="3"/>
    <s v="29ccf1c2-c56f-47bc-ba23-cc40f58076b9"/>
    <s v="иное"/>
    <s v="в ипотеке"/>
    <s v="краткосрочный"/>
    <x v="0"/>
    <b v="0"/>
    <n v="0.41922812249111135"/>
    <n v="1"/>
    <n v="7.0001464000234229E-3"/>
  </r>
  <r>
    <n v="1576"/>
    <n v="0"/>
    <n v="132814"/>
    <n v="717"/>
    <n v="1022523"/>
    <n v="25"/>
    <n v="26074.27"/>
    <n v="14.9"/>
    <n v="12"/>
    <n v="94411"/>
    <n v="153098"/>
    <x v="1"/>
    <s v="5875264a-d7cf-4f6b-8be6-9cb4ed78142b"/>
    <s v="ремонт жилья"/>
    <s v="в ипотеке"/>
    <s v="краткосрочный"/>
    <x v="1"/>
    <b v="0"/>
    <n v="0.14465535038421837"/>
    <n v="0.79393939393939394"/>
    <n v="0.30599921957745696"/>
  </r>
  <r>
    <n v="1577"/>
    <n v="0"/>
    <n v="218416"/>
    <n v="716"/>
    <n v="867711"/>
    <n v="31"/>
    <n v="12798.59"/>
    <n v="12.4"/>
    <n v="12"/>
    <n v="93138"/>
    <n v="194326"/>
    <x v="6"/>
    <s v="01d86d59-a20f-4d2e-9cb4-b9157a6b13e8"/>
    <s v="консолидация кредитов"/>
    <s v="в ипотеке"/>
    <s v="краткосрочный"/>
    <x v="0"/>
    <b v="0"/>
    <n v="0.2562220438123638"/>
    <n v="0.78787878787878785"/>
    <n v="0.17699796360769887"/>
  </r>
  <r>
    <n v="1578"/>
    <n v="0"/>
    <n v="436788"/>
    <n v="720"/>
    <n v="980780"/>
    <n v="29"/>
    <n v="7691.01"/>
    <n v="18"/>
    <n v="6"/>
    <n v="343748"/>
    <n v="510928"/>
    <x v="9"/>
    <s v="3ff1f7f8-d578-48f8-9466-7550c3aa0e85"/>
    <s v="консолидация кредитов"/>
    <s v="в аренде"/>
    <s v="долгосрочный"/>
    <x v="0"/>
    <b v="0"/>
    <n v="0.54083037045532745"/>
    <n v="0.81212121212121213"/>
    <n v="9.4100736148779535E-2"/>
  </r>
  <r>
    <n v="1579"/>
    <n v="0"/>
    <m/>
    <n v="738"/>
    <n v="792490"/>
    <n v="0"/>
    <n v="7990.83"/>
    <n v="11.6"/>
    <n v="6"/>
    <n v="238925"/>
    <n v="366894"/>
    <x v="10"/>
    <s v="c33445ab-e7a6-4218-a199-579ec286d04e"/>
    <s v="консолидация кредитов"/>
    <s v="в аренде"/>
    <s v="краткосрочный"/>
    <x v="0"/>
    <b v="0"/>
    <m/>
    <n v="0.92121212121212126"/>
    <n v="0.1209983217453848"/>
  </r>
  <r>
    <n v="1580"/>
    <n v="0"/>
    <n v="43890"/>
    <n v="749"/>
    <n v="1326808"/>
    <n v="0"/>
    <n v="6269.24"/>
    <n v="33.5"/>
    <n v="19"/>
    <n v="92625"/>
    <n v="957638"/>
    <x v="9"/>
    <s v="6b257294-0226-467c-8767-3ef94c7fb2c7"/>
    <s v="иное"/>
    <s v="в ипотеке"/>
    <s v="краткосрочный"/>
    <x v="0"/>
    <b v="0"/>
    <n v="2.8759031999082463E-2"/>
    <n v="0.98787878787878791"/>
    <n v="5.6700652995761255E-2"/>
  </r>
  <r>
    <n v="1581"/>
    <n v="0"/>
    <n v="173646"/>
    <n v="710"/>
    <n v="875026"/>
    <n v="19"/>
    <n v="13949.61"/>
    <n v="21.4"/>
    <n v="11"/>
    <n v="112176"/>
    <n v="195294"/>
    <x v="10"/>
    <s v="145159fa-cfd1-4b9c-9848-f80631497bb6"/>
    <s v="консолидация кредитов"/>
    <s v="в ипотеке"/>
    <s v="краткосрочный"/>
    <x v="0"/>
    <b v="0"/>
    <n v="0.19787246243835302"/>
    <n v="0.75151515151515147"/>
    <n v="0.19130325270334828"/>
  </r>
  <r>
    <n v="1582"/>
    <n v="0"/>
    <n v="438372"/>
    <n v="737"/>
    <n v="1703673"/>
    <n v="14"/>
    <n v="18314.48"/>
    <n v="18"/>
    <n v="17"/>
    <n v="287527"/>
    <n v="545776"/>
    <x v="1"/>
    <s v="b28905eb-a713-4f51-88ca-e264d2667f54"/>
    <s v="консолидация кредитов"/>
    <s v="в ипотеке"/>
    <s v="краткосрочный"/>
    <x v="0"/>
    <b v="0"/>
    <n v="0.54289482738846195"/>
    <n v="0.91515151515151516"/>
    <n v="0.12899996654287529"/>
  </r>
  <r>
    <n v="1583"/>
    <n v="0"/>
    <n v="44924"/>
    <n v="647"/>
    <n v="582027"/>
    <n v="0"/>
    <n v="1668.39"/>
    <n v="6.4"/>
    <n v="5"/>
    <n v="52839"/>
    <n v="179982"/>
    <x v="4"/>
    <s v="33748f75-2183-410f-80f1-6137f15dc6cf"/>
    <s v="иное"/>
    <s v="в аренде"/>
    <s v="краткосрочный"/>
    <x v="0"/>
    <b v="0"/>
    <n v="3.0106663608211952E-2"/>
    <n v="0.36969696969696969"/>
    <n v="3.4398198021741259E-2"/>
  </r>
  <r>
    <n v="1584"/>
    <n v="0"/>
    <n v="257840"/>
    <n v="741"/>
    <n v="835088"/>
    <n v="34"/>
    <n v="15448.9"/>
    <n v="27.2"/>
    <n v="12"/>
    <n v="193325"/>
    <n v="328724"/>
    <x v="8"/>
    <s v="f1f9e87c-d5a6-4315-be58-ef2992d3d185"/>
    <s v="консолидация кредитов"/>
    <s v="в ипотеке"/>
    <s v="краткосрочный"/>
    <x v="0"/>
    <b v="0"/>
    <n v="0.30760408303704551"/>
    <n v="0.93939393939393945"/>
    <n v="0.22199672369858026"/>
  </r>
  <r>
    <n v="1585"/>
    <n v="1"/>
    <n v="757152"/>
    <n v="723"/>
    <n v="1168044"/>
    <n v="13"/>
    <n v="26778.41"/>
    <n v="32.5"/>
    <n v="11"/>
    <n v="131879"/>
    <n v="445192"/>
    <x v="10"/>
    <s v="29a594bc-1ca1-4272-b9d4-1ac2fcd0cdc6"/>
    <s v="консолидация кредитов"/>
    <s v="в ипотеке"/>
    <s v="долгосрочный"/>
    <x v="1"/>
    <b v="0"/>
    <n v="0.95836678518178686"/>
    <n v="0.83030303030303032"/>
    <n v="0.27511028694124534"/>
  </r>
  <r>
    <n v="1586"/>
    <n v="0"/>
    <n v="522456"/>
    <n v="735"/>
    <n v="2068055"/>
    <n v="39"/>
    <n v="44290.71"/>
    <n v="24.5"/>
    <n v="16"/>
    <n v="392502"/>
    <n v="598774"/>
    <x v="7"/>
    <s v="8c6678d2-f486-428d-9ea2-a9a54ffb5246"/>
    <s v="консолидация кредитов"/>
    <s v="в ипотеке"/>
    <s v="краткосрочный"/>
    <x v="0"/>
    <b v="1"/>
    <n v="0.65248308292235346"/>
    <n v="0.90303030303030307"/>
    <n v="0.25699921907299372"/>
  </r>
  <r>
    <n v="1587"/>
    <n v="0"/>
    <n v="337766"/>
    <n v="746"/>
    <n v="1050111"/>
    <n v="0"/>
    <n v="16276.73"/>
    <n v="19.2"/>
    <n v="10"/>
    <n v="334704"/>
    <n v="1203598"/>
    <x v="8"/>
    <s v="d85626a4-48c9-4746-b073-3348864324f5"/>
    <s v="консолидация кредитов"/>
    <s v="в ипотеке"/>
    <s v="краткосрочный"/>
    <x v="0"/>
    <b v="0"/>
    <n v="0.41177313912145891"/>
    <n v="0.96969696969696972"/>
    <n v="0.18600010855995222"/>
  </r>
  <r>
    <n v="1588"/>
    <n v="0"/>
    <n v="440836"/>
    <n v="723"/>
    <n v="1168044"/>
    <n v="18"/>
    <n v="28338.880000000001"/>
    <n v="18.8"/>
    <n v="12"/>
    <n v="596258"/>
    <n v="838882"/>
    <x v="1"/>
    <s v="2dd6f780-0831-4779-ab97-f913ed0b48f6"/>
    <s v="консолидация кредитов"/>
    <s v="в ипотеке"/>
    <s v="долгосрочный"/>
    <x v="1"/>
    <b v="0"/>
    <n v="0.54610620484000461"/>
    <n v="0.83030303030303032"/>
    <n v="0.29114190903767323"/>
  </r>
  <r>
    <n v="1589"/>
    <n v="0"/>
    <n v="324104"/>
    <n v="721"/>
    <n v="3358782"/>
    <n v="0"/>
    <n v="22084.080000000002"/>
    <n v="13.4"/>
    <n v="12"/>
    <n v="292429"/>
    <n v="538340"/>
    <x v="1"/>
    <s v="94c8b781-f9eb-4dc1-932d-ab47ad51d042"/>
    <s v="консолидация кредитов"/>
    <s v="в ипотеке"/>
    <s v="краткосрочный"/>
    <x v="0"/>
    <b v="0"/>
    <n v="0.39396719807317354"/>
    <n v="0.81818181818181823"/>
    <n v="7.890031565013747E-2"/>
  </r>
  <r>
    <n v="1590"/>
    <n v="0"/>
    <n v="116138"/>
    <n v="718"/>
    <n v="361399"/>
    <n v="0"/>
    <n v="5421.08"/>
    <n v="24.5"/>
    <n v="7"/>
    <n v="180481"/>
    <n v="257048"/>
    <x v="1"/>
    <s v="a18cb579-6dd3-484e-abd9-65846d31bca7"/>
    <s v="консолидация кредитов"/>
    <s v="в аренде"/>
    <s v="краткосрочный"/>
    <x v="0"/>
    <b v="0"/>
    <n v="0.12292120656038537"/>
    <n v="0.8"/>
    <n v="0.18000315440828557"/>
  </r>
  <r>
    <n v="1591"/>
    <n v="0"/>
    <n v="558866"/>
    <n v="685"/>
    <n v="1835989"/>
    <n v="0"/>
    <n v="27233.84"/>
    <n v="26.6"/>
    <n v="12"/>
    <n v="427177"/>
    <n v="635778"/>
    <x v="2"/>
    <s v="fa54d330-b6a8-4c39-b245-9527bb483378"/>
    <s v="консолидация кредитов"/>
    <s v="в ипотеке"/>
    <s v="долгосрочный"/>
    <x v="0"/>
    <b v="0"/>
    <n v="0.69993691937148761"/>
    <n v="0.6"/>
    <n v="0.17800002069729176"/>
  </r>
  <r>
    <n v="1592"/>
    <n v="1"/>
    <n v="529496"/>
    <n v="721"/>
    <n v="1043024"/>
    <n v="66"/>
    <n v="13646.37"/>
    <n v="17.899999999999999"/>
    <n v="7"/>
    <n v="141037"/>
    <n v="174460"/>
    <x v="8"/>
    <s v="58569d71-b1d2-4226-b524-8fd1bacb5453"/>
    <s v="консолидация кредитов"/>
    <s v="в ипотеке"/>
    <s v="долгосрочный"/>
    <x v="0"/>
    <b v="0"/>
    <n v="0.66165844706961807"/>
    <n v="0.81818181818181823"/>
    <n v="0.15700160303118624"/>
  </r>
  <r>
    <n v="1593"/>
    <n v="1"/>
    <n v="189244"/>
    <n v="645"/>
    <n v="482125"/>
    <n v="0"/>
    <n v="6106.98"/>
    <n v="15.2"/>
    <n v="11"/>
    <n v="92416"/>
    <n v="321332"/>
    <x v="1"/>
    <s v="c03878ff-cce3-496a-8055-b5baa510084b"/>
    <s v="консолидация кредитов"/>
    <s v="в собственности"/>
    <s v="краткосрочный"/>
    <x v="0"/>
    <b v="0"/>
    <n v="0.21820162862713613"/>
    <n v="0.3575757575757576"/>
    <n v="0.15200157635467978"/>
  </r>
  <r>
    <n v="1594"/>
    <n v="0"/>
    <n v="131538"/>
    <n v="737"/>
    <n v="1098143"/>
    <n v="0"/>
    <n v="26538.44"/>
    <n v="21.8"/>
    <n v="8"/>
    <n v="690042"/>
    <n v="861916"/>
    <x v="1"/>
    <s v="945ebe95-ca44-41f5-b1fa-dfdefa4e0477"/>
    <s v="ремонт жилья"/>
    <s v="в ипотеке"/>
    <s v="краткосрочный"/>
    <x v="1"/>
    <b v="0"/>
    <n v="0.14299231563252668"/>
    <n v="0.91515151515151516"/>
    <n v="0.28999982698063909"/>
  </r>
  <r>
    <n v="1595"/>
    <n v="0"/>
    <m/>
    <n v="738"/>
    <n v="1576620"/>
    <n v="0"/>
    <n v="24384.98"/>
    <n v="12.6"/>
    <n v="11"/>
    <n v="87970"/>
    <n v="499290"/>
    <x v="10"/>
    <s v="b4f48ac9-19a5-4f4f-a5d4-8465f8b8a7d0"/>
    <s v="консолидация кредитов"/>
    <s v="в аренде"/>
    <s v="долгосрочный"/>
    <x v="0"/>
    <b v="0"/>
    <m/>
    <n v="0.92121212121212126"/>
    <n v="0.18559942154736081"/>
  </r>
  <r>
    <n v="1596"/>
    <n v="0"/>
    <n v="239360"/>
    <n v="730"/>
    <n v="563787"/>
    <n v="0"/>
    <n v="9819.2000000000007"/>
    <n v="9"/>
    <n v="23"/>
    <n v="145578"/>
    <n v="581218"/>
    <x v="4"/>
    <s v="a75fc3a1-677e-408b-bc43-8cd272905092"/>
    <s v="консолидация кредитов"/>
    <s v="в ипотеке"/>
    <s v="долгосрочный"/>
    <x v="1"/>
    <b v="0"/>
    <n v="0.28351875215047595"/>
    <n v="0.87272727272727268"/>
    <n v="0.20899807906177334"/>
  </r>
  <r>
    <n v="1597"/>
    <n v="0"/>
    <n v="519178"/>
    <n v="715"/>
    <n v="1120962"/>
    <n v="16"/>
    <n v="17281.45"/>
    <n v="27.1"/>
    <n v="5"/>
    <n v="272137"/>
    <n v="361350"/>
    <x v="1"/>
    <s v="ed74b109-325f-44b5-9d66-619bb2a8fff0"/>
    <s v="консолидация кредитов"/>
    <s v="в ипотеке"/>
    <s v="долгосрочный"/>
    <x v="0"/>
    <b v="0"/>
    <n v="0.64821080399128339"/>
    <n v="0.78181818181818186"/>
    <n v="0.18499949150818673"/>
  </r>
  <r>
    <n v="1598"/>
    <n v="1"/>
    <n v="187726"/>
    <n v="725"/>
    <n v="694811"/>
    <n v="0"/>
    <n v="16964.91"/>
    <n v="22.5"/>
    <n v="12"/>
    <n v="184186"/>
    <n v="318296"/>
    <x v="1"/>
    <s v="33aa069d-a514-4c4e-b8c5-eaf9d20831aa"/>
    <s v="консолидация кредитов"/>
    <s v="в ипотеке"/>
    <s v="краткосрочный"/>
    <x v="0"/>
    <b v="0"/>
    <n v="0.21622319073288221"/>
    <n v="0.84242424242424241"/>
    <n v="0.29299898821406112"/>
  </r>
  <r>
    <n v="1599"/>
    <n v="0"/>
    <n v="78452"/>
    <n v="724"/>
    <n v="941070"/>
    <n v="38"/>
    <n v="22507.21"/>
    <n v="22.4"/>
    <n v="13"/>
    <n v="43738"/>
    <n v="267960"/>
    <x v="3"/>
    <s v="8c979501-9968-4e5b-8eca-8c22405a899c"/>
    <s v="иное"/>
    <s v="в собственности"/>
    <s v="краткосрочный"/>
    <x v="0"/>
    <b v="0"/>
    <n v="7.3804335359559589E-2"/>
    <n v="0.83636363636363631"/>
    <n v="0.28699939430648091"/>
  </r>
  <r>
    <n v="1600"/>
    <n v="1"/>
    <n v="427328"/>
    <n v="710"/>
    <n v="1029895"/>
    <n v="33"/>
    <n v="23172.78"/>
    <n v="19.7"/>
    <n v="11"/>
    <n v="79192"/>
    <n v="203302"/>
    <x v="10"/>
    <s v="63c5a3e5-1b7d-423b-9a8e-b93e8ff2ad3b"/>
    <s v="консолидация кредитов"/>
    <s v="в ипотеке"/>
    <s v="краткосрочный"/>
    <x v="0"/>
    <b v="0"/>
    <n v="0.52850097488244063"/>
    <n v="0.75151515151515147"/>
    <n v="0.27000166036343509"/>
  </r>
  <r>
    <n v="1601"/>
    <n v="0"/>
    <n v="105798"/>
    <n v="689"/>
    <n v="228437"/>
    <n v="33"/>
    <n v="7138.49"/>
    <n v="12.5"/>
    <n v="12"/>
    <n v="197809"/>
    <n v="235862"/>
    <x v="3"/>
    <s v="649c03f7-478d-439f-abcf-260688117cc7"/>
    <s v="консолидация кредитов"/>
    <s v="в аренде"/>
    <s v="краткосрочный"/>
    <x v="0"/>
    <b v="0"/>
    <n v="0.10944489046909049"/>
    <n v="0.62424242424242427"/>
    <n v="0.37499126673875072"/>
  </r>
  <r>
    <n v="1602"/>
    <n v="0"/>
    <n v="326744"/>
    <n v="724"/>
    <n v="1693071"/>
    <n v="4"/>
    <n v="27653.55"/>
    <n v="15.2"/>
    <n v="9"/>
    <n v="333621"/>
    <n v="568106"/>
    <x v="4"/>
    <s v="cc3cdc8d-b2ec-48c3-8c50-5e597443296e"/>
    <s v="консолидация кредитов"/>
    <s v="в аренде"/>
    <s v="долгосрочный"/>
    <x v="0"/>
    <b v="0"/>
    <n v="0.39740795962839776"/>
    <n v="0.83636363636363631"/>
    <n v="0.19600040399959601"/>
  </r>
  <r>
    <n v="1603"/>
    <n v="0"/>
    <n v="43824"/>
    <n v="723"/>
    <n v="1168044"/>
    <n v="80"/>
    <n v="12111.36"/>
    <n v="16.600000000000001"/>
    <n v="4"/>
    <n v="102106"/>
    <n v="131516"/>
    <x v="8"/>
    <s v="2a4a6121-e607-49f7-82ea-6c12297affec"/>
    <s v="иное"/>
    <s v="в собственности"/>
    <s v="краткосрочный"/>
    <x v="0"/>
    <b v="0"/>
    <n v="2.8673012960201857E-2"/>
    <n v="0.83030303030303032"/>
    <n v="0.12442709349990241"/>
  </r>
  <r>
    <n v="1604"/>
    <n v="0"/>
    <n v="336006"/>
    <n v="739"/>
    <n v="2321496"/>
    <n v="0"/>
    <n v="9111.83"/>
    <n v="24.1"/>
    <n v="6"/>
    <n v="502170"/>
    <n v="1321518"/>
    <x v="1"/>
    <s v="b8602659-ced8-47b6-bb1e-34036163c025"/>
    <s v="иное"/>
    <s v="в ипотеке"/>
    <s v="краткосрочный"/>
    <x v="0"/>
    <b v="0"/>
    <n v="0.40947929808464273"/>
    <n v="0.92727272727272725"/>
    <n v="4.7099783932429778E-2"/>
  </r>
  <r>
    <n v="1605"/>
    <n v="0"/>
    <n v="213664"/>
    <n v="736"/>
    <n v="776948"/>
    <n v="20"/>
    <n v="8028.45"/>
    <n v="8"/>
    <n v="5"/>
    <n v="124203"/>
    <n v="191246"/>
    <x v="5"/>
    <s v="686dbe54-31da-48de-aa5e-23209628ee30"/>
    <s v="консолидация кредитов"/>
    <s v="в аренде"/>
    <s v="краткосрочный"/>
    <x v="0"/>
    <b v="0"/>
    <n v="0.25002867301296022"/>
    <n v="0.90909090909090906"/>
    <n v="0.12399980436271153"/>
  </r>
  <r>
    <n v="1606"/>
    <n v="0"/>
    <n v="64460"/>
    <n v="725"/>
    <n v="280706"/>
    <n v="0"/>
    <n v="3508.73"/>
    <n v="7"/>
    <n v="6"/>
    <n v="69597"/>
    <n v="125906"/>
    <x v="1"/>
    <s v="1f364296-f23f-4f4e-ac15-ca0328004750"/>
    <s v="консолидация кредитов"/>
    <s v="в аренде"/>
    <s v="краткосрочный"/>
    <x v="1"/>
    <b v="0"/>
    <n v="5.5568299116871202E-2"/>
    <n v="0.84242424242424241"/>
    <n v="0.14999593881142548"/>
  </r>
  <r>
    <n v="1607"/>
    <n v="0"/>
    <m/>
    <n v="714"/>
    <n v="556263"/>
    <n v="0"/>
    <n v="3504.55"/>
    <n v="9.8000000000000007"/>
    <n v="4"/>
    <n v="102866"/>
    <n v="255618"/>
    <x v="1"/>
    <s v="5b1d9cf7-d09c-4a2f-91c8-79ea213f3afb"/>
    <s v="консолидация кредитов"/>
    <s v="в аренде"/>
    <s v="краткосрочный"/>
    <x v="0"/>
    <b v="0"/>
    <m/>
    <n v="0.77575757575757576"/>
    <n v="7.5602008402500254E-2"/>
  </r>
  <r>
    <n v="1608"/>
    <n v="0"/>
    <n v="76670"/>
    <n v="723"/>
    <n v="1168044"/>
    <n v="38"/>
    <n v="6487.17"/>
    <n v="16.2"/>
    <n v="6"/>
    <n v="24890"/>
    <n v="48444"/>
    <x v="8"/>
    <s v="9b9602a0-2fd0-4a2e-be3a-de02542e3286"/>
    <s v="консолидация кредитов"/>
    <s v="в аренде"/>
    <s v="краткосрочный"/>
    <x v="0"/>
    <b v="0"/>
    <n v="7.1481821309783228E-2"/>
    <n v="0.83030303030303032"/>
    <n v="6.6646496193636537E-2"/>
  </r>
  <r>
    <n v="1609"/>
    <n v="0"/>
    <n v="200706"/>
    <n v="701"/>
    <n v="655899"/>
    <n v="0"/>
    <n v="12352.66"/>
    <n v="8.1999999999999993"/>
    <n v="9"/>
    <n v="50996"/>
    <n v="164934"/>
    <x v="5"/>
    <s v="d37955be-29fb-42e9-b9fc-2795dfd2a381"/>
    <s v="консолидация кредитов"/>
    <s v="в аренде"/>
    <s v="краткосрочный"/>
    <x v="0"/>
    <b v="0"/>
    <n v="0.2331402683794013"/>
    <n v="0.69696969696969702"/>
    <n v="0.22599808812027461"/>
  </r>
  <r>
    <n v="1610"/>
    <n v="0"/>
    <n v="208582"/>
    <n v="691"/>
    <n v="1262797"/>
    <n v="0"/>
    <n v="26150.65"/>
    <n v="20"/>
    <n v="8"/>
    <n v="982566"/>
    <n v="1182654"/>
    <x v="3"/>
    <s v="3c0cf898-1a00-4d16-a4ed-7f09fa5e71ea"/>
    <s v="консолидация кредитов"/>
    <s v="в ипотеке"/>
    <s v="долгосрочный"/>
    <x v="0"/>
    <b v="0"/>
    <n v="0.24340520701915358"/>
    <n v="0.63636363636363635"/>
    <n v="0.24850217414200385"/>
  </r>
  <r>
    <n v="1611"/>
    <n v="0"/>
    <n v="137610"/>
    <n v="735"/>
    <n v="1114122"/>
    <n v="0"/>
    <n v="8615.93"/>
    <n v="10.7"/>
    <n v="10"/>
    <n v="119738"/>
    <n v="298804"/>
    <x v="8"/>
    <s v="c7624725-b91d-4eec-a065-0430f9e4a8ce"/>
    <s v="консолидация кредитов"/>
    <s v="в ипотеке"/>
    <s v="краткосрочный"/>
    <x v="0"/>
    <b v="0"/>
    <n v="0.15090606720954239"/>
    <n v="0.90303030303030307"/>
    <n v="9.2800573007264922E-2"/>
  </r>
  <r>
    <n v="1612"/>
    <n v="1"/>
    <n v="206690"/>
    <n v="655"/>
    <n v="1499176"/>
    <n v="13"/>
    <n v="22737.49"/>
    <n v="15.7"/>
    <n v="10"/>
    <n v="65683"/>
    <n v="140844"/>
    <x v="6"/>
    <s v="80f1cdaf-3225-4f44-8b1c-f88bbcae57c5"/>
    <s v="консолидация кредитов"/>
    <s v="в ипотеке"/>
    <s v="краткосрочный"/>
    <x v="0"/>
    <b v="0"/>
    <n v="0.2409393279045762"/>
    <n v="0.41818181818181815"/>
    <n v="0.18199989861097032"/>
  </r>
  <r>
    <n v="1613"/>
    <n v="0"/>
    <m/>
    <n v="743"/>
    <n v="518111"/>
    <n v="0"/>
    <n v="9442.43"/>
    <n v="11.2"/>
    <n v="6"/>
    <n v="98629"/>
    <n v="189090"/>
    <x v="8"/>
    <s v="d05d78b2-4a68-4819-b944-28ac99f3815b"/>
    <s v="бизнес"/>
    <s v="в аренде"/>
    <s v="краткосрочный"/>
    <x v="0"/>
    <b v="0"/>
    <m/>
    <n v="0.95151515151515154"/>
    <n v="0.21869668854743485"/>
  </r>
  <r>
    <n v="1614"/>
    <n v="0"/>
    <n v="540518"/>
    <n v="687"/>
    <n v="1556024"/>
    <n v="0"/>
    <n v="27360.19"/>
    <n v="14.6"/>
    <n v="10"/>
    <n v="2114738"/>
    <n v="2817760"/>
    <x v="1"/>
    <s v="7d960bb3-0274-4b69-9d07-11e7af87ba70"/>
    <s v="консолидация кредитов"/>
    <s v="в ипотеке"/>
    <s v="долгосрочный"/>
    <x v="0"/>
    <b v="0"/>
    <n v="0.67602362656267923"/>
    <n v="0.61212121212121207"/>
    <n v="0.21100078147894891"/>
  </r>
  <r>
    <n v="1615"/>
    <n v="2"/>
    <n v="347688"/>
    <n v="703"/>
    <n v="1058699"/>
    <n v="48"/>
    <n v="9439.9599999999991"/>
    <n v="15.2"/>
    <n v="8"/>
    <n v="100111"/>
    <n v="287650"/>
    <x v="0"/>
    <s v="9804713b-61de-44a9-9efc-14e520018481"/>
    <s v="консолидация кредитов"/>
    <s v="в ипотеке"/>
    <s v="долгосрочный"/>
    <x v="1"/>
    <b v="0"/>
    <n v="0.42470466796650991"/>
    <n v="0.70909090909090911"/>
    <n v="0.10699879758080436"/>
  </r>
  <r>
    <n v="1616"/>
    <n v="0"/>
    <n v="134464"/>
    <n v="723"/>
    <n v="1168044"/>
    <n v="30"/>
    <n v="26965.75"/>
    <n v="8.3000000000000007"/>
    <n v="10"/>
    <n v="86298"/>
    <n v="167926"/>
    <x v="9"/>
    <s v="e1a08473-db17-4a07-b888-b4425368aedb"/>
    <s v="иное"/>
    <s v="в собственности"/>
    <s v="краткосрочный"/>
    <x v="1"/>
    <b v="0"/>
    <n v="0.14680582635623352"/>
    <n v="0.83030303030303032"/>
    <n v="0.27703494046457156"/>
  </r>
  <r>
    <n v="1617"/>
    <n v="0"/>
    <n v="211508"/>
    <n v="722"/>
    <n v="908010"/>
    <n v="18"/>
    <n v="13090.62"/>
    <n v="12.5"/>
    <n v="13"/>
    <n v="68989"/>
    <n v="108526"/>
    <x v="10"/>
    <s v="d18edc72-d117-4491-b73f-f6f4761c36cb"/>
    <s v="консолидация кредитов"/>
    <s v="в ипотеке"/>
    <s v="краткосрочный"/>
    <x v="0"/>
    <b v="0"/>
    <n v="0.24721871774286042"/>
    <n v="0.82424242424242422"/>
    <n v="0.17300188323917137"/>
  </r>
  <r>
    <n v="1618"/>
    <n v="0"/>
    <n v="175934"/>
    <n v="739"/>
    <n v="816677"/>
    <n v="12"/>
    <n v="3763.52"/>
    <n v="13.5"/>
    <n v="5"/>
    <n v="149055"/>
    <n v="221540"/>
    <x v="2"/>
    <s v="90b0ee93-dabc-4e96-851b-e5865bb02fa0"/>
    <s v="консолидация кредитов"/>
    <s v="в аренде"/>
    <s v="краткосрочный"/>
    <x v="0"/>
    <b v="0"/>
    <n v="0.20085445578621403"/>
    <n v="0.92727272727272725"/>
    <n v="5.5300002326501167E-2"/>
  </r>
  <r>
    <n v="1619"/>
    <n v="0"/>
    <n v="396506"/>
    <n v="721"/>
    <n v="1750280"/>
    <n v="41"/>
    <n v="13491.71"/>
    <n v="25.8"/>
    <n v="11"/>
    <n v="48013"/>
    <n v="96866"/>
    <x v="1"/>
    <s v="7d592a84-c9c5-41ef-9e95-56182f1d657d"/>
    <s v="консолидация кредитов"/>
    <s v="в ипотеке"/>
    <s v="долгосрочный"/>
    <x v="0"/>
    <b v="0"/>
    <n v="0.48833008372519782"/>
    <n v="0.81818181818181823"/>
    <n v="9.2499782891880156E-2"/>
  </r>
  <r>
    <n v="1620"/>
    <n v="0"/>
    <n v="770616"/>
    <n v="694"/>
    <n v="1996596"/>
    <n v="0"/>
    <n v="50414.03"/>
    <n v="15.4"/>
    <n v="10"/>
    <n v="455031"/>
    <n v="1039214"/>
    <x v="5"/>
    <s v="51a37845-1b53-450c-9e65-83d462be3270"/>
    <s v="консолидация кредитов"/>
    <s v="в аренде"/>
    <s v="долгосрочный"/>
    <x v="1"/>
    <b v="1"/>
    <n v="0.97591466911343039"/>
    <n v="0.65454545454545454"/>
    <n v="0.30299988580564119"/>
  </r>
  <r>
    <n v="1621"/>
    <n v="0"/>
    <n v="143352"/>
    <n v="699"/>
    <n v="671783"/>
    <n v="0"/>
    <n v="11868.16"/>
    <n v="9.9"/>
    <n v="7"/>
    <n v="236531"/>
    <n v="377740"/>
    <x v="4"/>
    <s v="2728bf13-764f-44da-8938-0c1cea146b4e"/>
    <s v="консолидация кредитов"/>
    <s v="в аренде"/>
    <s v="краткосрочный"/>
    <x v="0"/>
    <b v="0"/>
    <n v="0.15838972359215506"/>
    <n v="0.68484848484848482"/>
    <n v="0.21199988686822976"/>
  </r>
  <r>
    <n v="1622"/>
    <n v="1"/>
    <n v="242748"/>
    <n v="680"/>
    <n v="795910"/>
    <n v="28"/>
    <n v="8887.44"/>
    <n v="11.3"/>
    <n v="6"/>
    <n v="111169"/>
    <n v="242880"/>
    <x v="1"/>
    <s v="ced8bb43-4628-43bb-8018-eeb25fc8403e"/>
    <s v="консолидация кредитов"/>
    <s v="в ипотеке"/>
    <s v="долгосрочный"/>
    <x v="1"/>
    <b v="0"/>
    <n v="0.28793439614634708"/>
    <n v="0.5696969696969697"/>
    <n v="0.1339966579135832"/>
  </r>
  <r>
    <n v="1623"/>
    <n v="0"/>
    <n v="65230"/>
    <n v="741"/>
    <n v="1107776"/>
    <n v="0"/>
    <n v="5686.7"/>
    <n v="18.2"/>
    <n v="7"/>
    <n v="36347"/>
    <n v="243298"/>
    <x v="1"/>
    <s v="6fb791ca-5124-4149-a445-b9f1bc40d990"/>
    <s v="приобретение автомобиля"/>
    <s v="в аренде"/>
    <s v="краткосрочный"/>
    <x v="0"/>
    <b v="0"/>
    <n v="5.6571854570478267E-2"/>
    <n v="0.93939393939393945"/>
    <n v="6.1601262349066953E-2"/>
  </r>
  <r>
    <n v="1624"/>
    <n v="0"/>
    <n v="265716"/>
    <n v="719"/>
    <n v="658312"/>
    <n v="0"/>
    <n v="11959.36"/>
    <n v="27.5"/>
    <n v="9"/>
    <n v="397119"/>
    <n v="594858"/>
    <x v="8"/>
    <s v="4c4f7973-829d-48bd-91db-1f96ce1d6f24"/>
    <s v="консолидация кредитов"/>
    <s v="в аренде"/>
    <s v="краткосрочный"/>
    <x v="1"/>
    <b v="0"/>
    <n v="0.31786902167679781"/>
    <n v="0.80606060606060603"/>
    <n v="0.21800046178711613"/>
  </r>
  <r>
    <n v="1625"/>
    <n v="2"/>
    <m/>
    <n v="680"/>
    <n v="870561"/>
    <n v="0"/>
    <n v="6993.52"/>
    <n v="30.5"/>
    <n v="10"/>
    <n v="261934"/>
    <n v="421256"/>
    <x v="3"/>
    <s v="cdfd06c1-7e1f-4ffa-b89e-25e3e41f4753"/>
    <s v="консолидация кредитов"/>
    <s v="в аренде"/>
    <s v="долгосрочный"/>
    <x v="0"/>
    <b v="0"/>
    <m/>
    <n v="0.5696969696969697"/>
    <n v="9.6400183330059591E-2"/>
  </r>
  <r>
    <n v="1626"/>
    <n v="0"/>
    <n v="387244"/>
    <n v="725"/>
    <n v="2316480"/>
    <n v="0"/>
    <n v="4285.45"/>
    <n v="7.1"/>
    <n v="6"/>
    <n v="75544"/>
    <n v="403062"/>
    <x v="5"/>
    <s v="0d327452-6657-45d3-9260-cd9ae68ffaa2"/>
    <s v="иное"/>
    <s v="в аренде"/>
    <s v="краткосрочный"/>
    <x v="0"/>
    <b v="0"/>
    <n v="0.47625874526895284"/>
    <n v="0.84242424242424241"/>
    <n v="2.2199803149606297E-2"/>
  </r>
  <r>
    <n v="1627"/>
    <n v="0"/>
    <n v="304678"/>
    <n v="723"/>
    <n v="1168044"/>
    <n v="3"/>
    <n v="28972.34"/>
    <n v="18.5"/>
    <n v="15"/>
    <n v="239020"/>
    <n v="685014"/>
    <x v="8"/>
    <s v="3e0f7e65-9dcb-4da1-8166-d0a10d92fa58"/>
    <s v="консолидация кредитов"/>
    <s v="в аренде"/>
    <s v="краткосрочный"/>
    <x v="0"/>
    <b v="0"/>
    <n v="0.36864892762931528"/>
    <n v="0.83030303030303032"/>
    <n v="0.29764981456178019"/>
  </r>
  <r>
    <n v="1628"/>
    <n v="0"/>
    <n v="751300"/>
    <n v="716"/>
    <n v="3614978"/>
    <n v="69"/>
    <n v="72600.710000000006"/>
    <n v="11.9"/>
    <n v="29"/>
    <n v="957752"/>
    <n v="2128522"/>
    <x v="10"/>
    <s v="e849b404-a91e-4ffe-92f1-2a06e99d65a6"/>
    <s v="консолидация кредитов"/>
    <s v="в ипотеке"/>
    <s v="краткосрочный"/>
    <x v="0"/>
    <b v="1"/>
    <n v="0.95073976373437319"/>
    <n v="0.78787878787878785"/>
    <n v="0.24099967413356319"/>
  </r>
  <r>
    <n v="1629"/>
    <n v="0"/>
    <m/>
    <n v="733"/>
    <n v="1503280"/>
    <n v="74"/>
    <n v="31694.28"/>
    <n v="15.5"/>
    <n v="11"/>
    <n v="497344"/>
    <n v="1225268"/>
    <x v="5"/>
    <s v="292f4ac4-71bf-44e2-b8b0-5b594a9456e4"/>
    <s v="консолидация кредитов"/>
    <s v="в ипотеке"/>
    <s v="долгосрочный"/>
    <x v="0"/>
    <b v="0"/>
    <m/>
    <n v="0.89090909090909087"/>
    <n v="0.2530010111223458"/>
  </r>
  <r>
    <n v="1630"/>
    <n v="0"/>
    <n v="334158"/>
    <n v="674"/>
    <n v="1074013"/>
    <n v="0"/>
    <n v="9003.91"/>
    <n v="10.7"/>
    <n v="11"/>
    <n v="261155"/>
    <n v="316316"/>
    <x v="3"/>
    <s v="dbec6e5e-d9f4-4a31-bb2d-c48788f08448"/>
    <s v="консолидация кредитов"/>
    <s v="в собственности"/>
    <s v="долгосрочный"/>
    <x v="0"/>
    <b v="0"/>
    <n v="0.40707076499598577"/>
    <n v="0.53333333333333333"/>
    <n v="0.10060112866417818"/>
  </r>
  <r>
    <n v="1631"/>
    <n v="0"/>
    <n v="213378"/>
    <n v="723"/>
    <n v="1168044"/>
    <n v="0"/>
    <n v="10135.36"/>
    <n v="9.3000000000000007"/>
    <n v="10"/>
    <n v="231686"/>
    <n v="379984"/>
    <x v="1"/>
    <s v="4b6003ad-5e2a-404e-b955-b4ec6a1d4123"/>
    <s v="консолидация кредитов"/>
    <s v="в ипотеке"/>
    <s v="краткосрочный"/>
    <x v="1"/>
    <b v="0"/>
    <n v="0.24965592384447757"/>
    <n v="0.83030303030303032"/>
    <n v="0.10412648838571151"/>
  </r>
  <r>
    <n v="1632"/>
    <n v="0"/>
    <n v="314688"/>
    <n v="723"/>
    <n v="1168044"/>
    <n v="0"/>
    <n v="8736.01"/>
    <n v="18.600000000000001"/>
    <n v="13"/>
    <n v="188480"/>
    <n v="808258"/>
    <x v="5"/>
    <s v="bbd0e803-568b-4574-b260-a96efbeae309"/>
    <s v="иное"/>
    <s v="в ипотеке"/>
    <s v="краткосрочный"/>
    <x v="0"/>
    <b v="0"/>
    <n v="0.38169514852620712"/>
    <n v="0.83030303030303032"/>
    <n v="8.9750146398594577E-2"/>
  </r>
  <r>
    <n v="1633"/>
    <n v="0"/>
    <n v="191686"/>
    <n v="710"/>
    <n v="1166334"/>
    <n v="16"/>
    <n v="13510.14"/>
    <n v="23.4"/>
    <n v="5"/>
    <n v="423282"/>
    <n v="527010"/>
    <x v="9"/>
    <s v="b1559fc5-f350-4930-ac2d-cfb347693b93"/>
    <s v="иное"/>
    <s v="в ипотеке"/>
    <s v="краткосрочный"/>
    <x v="1"/>
    <b v="0"/>
    <n v="0.22138433306571856"/>
    <n v="0.75151515151515147"/>
    <n v="0.1390010751637181"/>
  </r>
  <r>
    <n v="1634"/>
    <n v="0"/>
    <m/>
    <n v="737"/>
    <n v="898358"/>
    <n v="69"/>
    <n v="16919.12"/>
    <n v="28.9"/>
    <n v="12"/>
    <n v="607886"/>
    <n v="889834"/>
    <x v="2"/>
    <s v="4297b6ab-e01f-472c-b2f0-755deabddd30"/>
    <s v="консолидация кредитов"/>
    <s v="в ипотеке"/>
    <s v="краткосрочный"/>
    <x v="0"/>
    <b v="0"/>
    <m/>
    <n v="0.91515151515151516"/>
    <n v="0.22600059219153162"/>
  </r>
  <r>
    <n v="1635"/>
    <n v="0"/>
    <n v="323840"/>
    <n v="672"/>
    <n v="1277161"/>
    <n v="0"/>
    <n v="15112.98"/>
    <n v="8.5"/>
    <n v="10"/>
    <n v="292220"/>
    <n v="716870"/>
    <x v="8"/>
    <s v="29b4a514-5220-40d8-bd70-aeb73d08831e"/>
    <s v="иное"/>
    <s v="в аренде"/>
    <s v="долгосрочный"/>
    <x v="0"/>
    <b v="0"/>
    <n v="0.39362312191765109"/>
    <n v="0.52121212121212124"/>
    <n v="0.14199913714872284"/>
  </r>
  <r>
    <n v="1636"/>
    <n v="0"/>
    <n v="348612"/>
    <n v="719"/>
    <n v="715065"/>
    <n v="0"/>
    <n v="19247.189999999999"/>
    <n v="12"/>
    <n v="12"/>
    <n v="288895"/>
    <n v="427218"/>
    <x v="1"/>
    <s v="96b7db3f-0a45-4260-b8e2-6d04c2f7c0b0"/>
    <s v="консолидация кредитов"/>
    <s v="в аренде"/>
    <s v="краткосрочный"/>
    <x v="0"/>
    <b v="0"/>
    <n v="0.42590893451083839"/>
    <n v="0.80606060606060603"/>
    <n v="0.32300039856516538"/>
  </r>
  <r>
    <n v="1637"/>
    <n v="0"/>
    <m/>
    <n v="730"/>
    <n v="758328"/>
    <n v="14"/>
    <n v="9416.02"/>
    <n v="12.7"/>
    <n v="21"/>
    <n v="147079"/>
    <n v="743666"/>
    <x v="5"/>
    <s v="b33e028b-37e2-4b60-8348-a57a9ae8ef42"/>
    <s v="консолидация кредитов"/>
    <s v="в аренде"/>
    <s v="краткосрочный"/>
    <x v="0"/>
    <b v="0"/>
    <m/>
    <n v="0.87272727272727268"/>
    <n v="0.14900180396873122"/>
  </r>
  <r>
    <n v="1638"/>
    <n v="0"/>
    <n v="265760"/>
    <n v="711"/>
    <n v="994612"/>
    <n v="11"/>
    <n v="15002.21"/>
    <n v="34.200000000000003"/>
    <n v="10"/>
    <n v="350854"/>
    <n v="766502"/>
    <x v="2"/>
    <s v="8f29694d-8b10-433d-908c-f78f736ae40d"/>
    <s v="иное"/>
    <s v="в ипотеке"/>
    <s v="долгосрочный"/>
    <x v="1"/>
    <b v="0"/>
    <n v="0.3179263677027182"/>
    <n v="0.75757575757575757"/>
    <n v="0.1810017574692443"/>
  </r>
  <r>
    <n v="1639"/>
    <n v="0"/>
    <n v="106766"/>
    <n v="728"/>
    <n v="1786608"/>
    <n v="6"/>
    <n v="22034.87"/>
    <n v="11.9"/>
    <n v="10"/>
    <n v="82346"/>
    <n v="226996"/>
    <x v="4"/>
    <s v="569bdc25-e6f9-4f99-bcfe-2ae85a5e944d"/>
    <s v="консолидация кредитов"/>
    <s v="в аренде"/>
    <s v="краткосрочный"/>
    <x v="0"/>
    <b v="0"/>
    <n v="0.11070650303933938"/>
    <n v="0.8606060606060606"/>
    <n v="0.14800025523226135"/>
  </r>
  <r>
    <n v="1640"/>
    <n v="0"/>
    <n v="109890"/>
    <n v="718"/>
    <n v="778145"/>
    <n v="8"/>
    <n v="6056.63"/>
    <n v="15.1"/>
    <n v="8"/>
    <n v="75962"/>
    <n v="158180"/>
    <x v="6"/>
    <s v="a0f51fd3-d44e-478a-93e5-8eb103aae837"/>
    <s v="консолидация кредитов"/>
    <s v="в ипотеке"/>
    <s v="краткосрочный"/>
    <x v="0"/>
    <b v="0"/>
    <n v="0.11477807087968804"/>
    <n v="0.8"/>
    <n v="9.3401049932853142E-2"/>
  </r>
  <r>
    <n v="1641"/>
    <n v="0"/>
    <n v="356444"/>
    <n v="723"/>
    <n v="1168044"/>
    <n v="0"/>
    <n v="4368.67"/>
    <n v="14.9"/>
    <n v="8"/>
    <n v="155306"/>
    <n v="222816"/>
    <x v="1"/>
    <s v="92be0d20-ef42-48b9-9cd3-70aa8eb6146a"/>
    <s v="консолидация кредитов"/>
    <s v="в ипотеке"/>
    <s v="краткосрочный"/>
    <x v="1"/>
    <b v="0"/>
    <n v="0.43611652712467025"/>
    <n v="0.83030303030303032"/>
    <n v="4.4881905133710716E-2"/>
  </r>
  <r>
    <n v="1642"/>
    <n v="0"/>
    <n v="221716"/>
    <n v="719"/>
    <n v="1131906"/>
    <n v="27"/>
    <n v="20940.28"/>
    <n v="14.7"/>
    <n v="13"/>
    <n v="111150"/>
    <n v="262130"/>
    <x v="1"/>
    <s v="bd2970f9-92ce-4192-b80c-ff83cea87bd3"/>
    <s v="консолидация кредитов"/>
    <s v="в аренде"/>
    <s v="долгосрочный"/>
    <x v="0"/>
    <b v="0"/>
    <n v="0.26052299575639409"/>
    <n v="0.80606060606060603"/>
    <n v="0.22200020143015409"/>
  </r>
  <r>
    <n v="1643"/>
    <n v="0"/>
    <n v="510488"/>
    <n v="685"/>
    <n v="1102171"/>
    <n v="15"/>
    <n v="14971.05"/>
    <n v="26"/>
    <n v="9"/>
    <n v="428906"/>
    <n v="1232308"/>
    <x v="0"/>
    <s v="01bd144a-479e-4317-adff-8138388bf998"/>
    <s v="консолидация кредитов"/>
    <s v="в аренде"/>
    <s v="долгосрочный"/>
    <x v="0"/>
    <b v="0"/>
    <n v="0.63688496387200366"/>
    <n v="0.6"/>
    <n v="0.16299884500680928"/>
  </r>
  <r>
    <n v="1644"/>
    <n v="1"/>
    <n v="352000"/>
    <n v="716"/>
    <n v="1140000"/>
    <n v="0"/>
    <n v="6726"/>
    <n v="25.8"/>
    <n v="22"/>
    <n v="185117"/>
    <n v="570064"/>
    <x v="9"/>
    <s v="4143f442-9590-4552-9eb3-baf1ca0326a9"/>
    <s v="консолидация кредитов"/>
    <s v="в ипотеке"/>
    <s v="долгосрочный"/>
    <x v="1"/>
    <b v="0"/>
    <n v="0.43032457850670947"/>
    <n v="0.78787878787878785"/>
    <n v="7.0800000000000002E-2"/>
  </r>
  <r>
    <n v="1645"/>
    <n v="1"/>
    <n v="74272"/>
    <n v="740"/>
    <n v="1072303"/>
    <n v="0"/>
    <n v="10186.85"/>
    <n v="27.2"/>
    <n v="9"/>
    <n v="160854"/>
    <n v="763290"/>
    <x v="0"/>
    <s v="dd151820-42c3-401b-aae1-c49ced57a6ba"/>
    <s v="консолидация кредитов"/>
    <s v="в ипотеке"/>
    <s v="краткосрочный"/>
    <x v="0"/>
    <b v="0"/>
    <n v="6.8356462897121231E-2"/>
    <n v="0.93333333333333335"/>
    <n v="0.11399968106029733"/>
  </r>
  <r>
    <n v="1646"/>
    <n v="0"/>
    <m/>
    <n v="740"/>
    <n v="1305262"/>
    <n v="0"/>
    <n v="27693.45"/>
    <n v="20.3"/>
    <n v="5"/>
    <n v="439584"/>
    <n v="643478"/>
    <x v="1"/>
    <s v="0f6d5e13-d94d-4174-a035-caa2518c017d"/>
    <s v="консолидация кредитов"/>
    <s v="в аренде"/>
    <s v="краткосрочный"/>
    <x v="0"/>
    <b v="0"/>
    <m/>
    <n v="0.93333333333333335"/>
    <n v="0.2546012984366357"/>
  </r>
  <r>
    <n v="1647"/>
    <n v="0"/>
    <n v="215666"/>
    <n v="691"/>
    <n v="651909"/>
    <n v="36"/>
    <n v="2982.62"/>
    <n v="11.3"/>
    <n v="7"/>
    <n v="79496"/>
    <n v="196262"/>
    <x v="2"/>
    <s v="a55184ff-cd24-4248-893a-4e0f93d91e47"/>
    <s v="иное"/>
    <s v="в аренде"/>
    <s v="краткосрочный"/>
    <x v="0"/>
    <b v="0"/>
    <n v="0.25263791719233858"/>
    <n v="0.63636363636363635"/>
    <n v="5.4902509399318004E-2"/>
  </r>
  <r>
    <n v="1648"/>
    <n v="0"/>
    <n v="108240"/>
    <n v="721"/>
    <n v="1458136"/>
    <n v="23"/>
    <n v="24788.35"/>
    <n v="19.7"/>
    <n v="10"/>
    <n v="162070"/>
    <n v="700260"/>
    <x v="1"/>
    <s v="93479576-2563-451f-9752-120784c76ef2"/>
    <s v="иное"/>
    <s v="в ипотеке"/>
    <s v="краткосрочный"/>
    <x v="0"/>
    <b v="0"/>
    <n v="0.11262759490767289"/>
    <n v="0.81818181818181823"/>
    <n v="0.20400031272803085"/>
  </r>
  <r>
    <n v="1649"/>
    <n v="0"/>
    <n v="263714"/>
    <n v="743"/>
    <n v="3416238"/>
    <n v="0"/>
    <n v="14547.54"/>
    <n v="13.8"/>
    <n v="9"/>
    <n v="271966"/>
    <n v="775654"/>
    <x v="1"/>
    <s v="8b2f90cf-d08b-4b9e-9583-c415a383050d"/>
    <s v="ремонт жилья"/>
    <s v="в ипотеке"/>
    <s v="краткосрочный"/>
    <x v="0"/>
    <b v="0"/>
    <n v="0.3152597774974194"/>
    <n v="0.95151515151515154"/>
    <n v="5.1100210231254384E-2"/>
  </r>
  <r>
    <n v="1650"/>
    <n v="0"/>
    <n v="436480"/>
    <n v="679"/>
    <n v="2261760"/>
    <n v="30"/>
    <n v="19790.400000000001"/>
    <n v="15.7"/>
    <n v="9"/>
    <n v="341145"/>
    <n v="530222"/>
    <x v="2"/>
    <s v="bc1b324c-f66d-4f60-a8ec-525fe6456ab4"/>
    <s v="консолидация кредитов"/>
    <s v="в ипотеке"/>
    <s v="краткосрочный"/>
    <x v="0"/>
    <b v="0"/>
    <n v="0.54042894827388466"/>
    <n v="0.5636363636363636"/>
    <n v="0.10500000000000001"/>
  </r>
  <r>
    <n v="1651"/>
    <n v="0"/>
    <n v="439868"/>
    <n v="738"/>
    <n v="893855"/>
    <n v="0"/>
    <n v="13556.69"/>
    <n v="17.3"/>
    <n v="5"/>
    <n v="233130"/>
    <n v="5191098"/>
    <x v="1"/>
    <s v="5b351e23-f3ca-4a7e-ba50-b2ae9b7071fc"/>
    <s v="консолидация кредитов"/>
    <s v="в ипотеке"/>
    <s v="долгосрочный"/>
    <x v="1"/>
    <b v="0"/>
    <n v="0.54484459226975568"/>
    <n v="0.92121212121212126"/>
    <n v="0.18199851206291848"/>
  </r>
  <r>
    <n v="1652"/>
    <n v="0"/>
    <n v="433928"/>
    <n v="747"/>
    <n v="1030579"/>
    <n v="0"/>
    <n v="13740.99"/>
    <n v="20"/>
    <n v="7"/>
    <n v="264708"/>
    <n v="1001660"/>
    <x v="9"/>
    <s v="10cb1231-2c52-4636-9837-3d00cd32ff99"/>
    <s v="консолидация кредитов"/>
    <s v="в собственности"/>
    <s v="краткосрочный"/>
    <x v="0"/>
    <b v="0"/>
    <n v="0.53710287877050122"/>
    <n v="0.97575757575757571"/>
    <n v="0.1599992625504692"/>
  </r>
  <r>
    <n v="1653"/>
    <n v="0"/>
    <n v="356422"/>
    <n v="723"/>
    <n v="1303932"/>
    <n v="0"/>
    <n v="15321.22"/>
    <n v="21.1"/>
    <n v="10"/>
    <n v="323323"/>
    <n v="446226"/>
    <x v="7"/>
    <s v="c7ca1a28-e92a-4008-8150-db0bce34b03f"/>
    <s v="консолидация кредитов"/>
    <s v="в аренде"/>
    <s v="краткосрочный"/>
    <x v="0"/>
    <b v="0"/>
    <n v="0.43608785411171008"/>
    <n v="0.83030303030303032"/>
    <n v="0.14100017485574401"/>
  </r>
  <r>
    <n v="1654"/>
    <n v="1"/>
    <n v="544346"/>
    <n v="684"/>
    <n v="1692387"/>
    <n v="0"/>
    <n v="3511.77"/>
    <n v="31.9"/>
    <n v="9"/>
    <n v="137047"/>
    <n v="337612"/>
    <x v="5"/>
    <s v="2014280f-4223-404a-b077-e79ba9a79cff"/>
    <s v="ремонт жилья"/>
    <s v="в ипотеке"/>
    <s v="долгосрочный"/>
    <x v="0"/>
    <b v="0"/>
    <n v="0.68101273081775437"/>
    <n v="0.59393939393939399"/>
    <n v="2.4900474891381228E-2"/>
  </r>
  <r>
    <n v="1655"/>
    <n v="0"/>
    <n v="440220"/>
    <n v="661"/>
    <n v="1083551"/>
    <n v="18"/>
    <n v="17336.740000000002"/>
    <n v="11.9"/>
    <n v="9"/>
    <n v="105298"/>
    <n v="330418"/>
    <x v="1"/>
    <s v="49abfdda-f725-47f1-9ecc-e56a426dfc43"/>
    <s v="консолидация кредитов"/>
    <s v="в ипотеке"/>
    <s v="долгосрочный"/>
    <x v="0"/>
    <b v="0"/>
    <n v="0.54530336047711891"/>
    <n v="0.45454545454545453"/>
    <n v="0.1919991583229585"/>
  </r>
  <r>
    <n v="1656"/>
    <n v="0"/>
    <n v="394174"/>
    <n v="654"/>
    <n v="1915846"/>
    <n v="29"/>
    <n v="22990.19"/>
    <n v="27"/>
    <n v="15"/>
    <n v="71516"/>
    <n v="507958"/>
    <x v="4"/>
    <s v="b568aacf-dd27-46b8-acf1-522c7de59985"/>
    <s v="приобретение жилья"/>
    <s v="в собственности"/>
    <s v="краткосрочный"/>
    <x v="0"/>
    <b v="0"/>
    <n v="0.48529074435141645"/>
    <n v="0.41212121212121211"/>
    <n v="0.14400023801495526"/>
  </r>
  <r>
    <n v="1657"/>
    <n v="0"/>
    <n v="259512"/>
    <n v="713"/>
    <n v="1251359"/>
    <n v="55"/>
    <n v="25861.47"/>
    <n v="28.4"/>
    <n v="15"/>
    <n v="433276"/>
    <n v="534270"/>
    <x v="10"/>
    <s v="8bac7b01-376b-4d3c-8134-965683795f55"/>
    <s v="консолидация кредитов"/>
    <s v="в аренде"/>
    <s v="долгосрочный"/>
    <x v="1"/>
    <b v="0"/>
    <n v="0.30978323202202085"/>
    <n v="0.76969696969696966"/>
    <n v="0.24800048587176021"/>
  </r>
  <r>
    <n v="1658"/>
    <n v="0"/>
    <n v="222002"/>
    <n v="723"/>
    <n v="1168044"/>
    <n v="0"/>
    <n v="11690.13"/>
    <n v="8.5"/>
    <n v="5"/>
    <n v="155743"/>
    <n v="217536"/>
    <x v="2"/>
    <s v="b181b75f-cb87-48eb-bbd0-fca933dcd395"/>
    <s v="консолидация кредитов"/>
    <s v="в аренде"/>
    <s v="долгосрочный"/>
    <x v="0"/>
    <b v="0"/>
    <n v="0.26089574492487672"/>
    <n v="0.83030303030303032"/>
    <n v="0.12009955104430997"/>
  </r>
  <r>
    <n v="1659"/>
    <n v="0"/>
    <n v="90090"/>
    <n v="711"/>
    <n v="1653437"/>
    <n v="0"/>
    <n v="27695.16"/>
    <n v="18.5"/>
    <n v="16"/>
    <n v="265696"/>
    <n v="479952"/>
    <x v="4"/>
    <s v="40061953-706e-4329-919c-faa927a9adbe"/>
    <s v="приобретение автомобиля"/>
    <s v="в аренде"/>
    <s v="краткосрочный"/>
    <x v="1"/>
    <b v="0"/>
    <n v="8.8972359215506364E-2"/>
    <n v="0.75757575757575757"/>
    <n v="0.2010006549992531"/>
  </r>
  <r>
    <n v="1660"/>
    <n v="1"/>
    <n v="218020"/>
    <n v="737"/>
    <n v="860491"/>
    <n v="78"/>
    <n v="6403.38"/>
    <n v="24.9"/>
    <n v="11"/>
    <n v="140125"/>
    <n v="377322"/>
    <x v="1"/>
    <s v="4de7f66c-71a9-4b46-841b-1690269e98a2"/>
    <s v="консолидация кредитов"/>
    <s v="в ипотеке"/>
    <s v="краткосрочный"/>
    <x v="0"/>
    <b v="0"/>
    <n v="0.25570592957908017"/>
    <n v="0.91515151515151516"/>
    <n v="8.929850515577735E-2"/>
  </r>
  <r>
    <n v="1661"/>
    <n v="0"/>
    <n v="197472"/>
    <n v="720"/>
    <n v="909530"/>
    <n v="0"/>
    <n v="17357.07"/>
    <n v="17.100000000000001"/>
    <n v="18"/>
    <n v="448647"/>
    <n v="700128"/>
    <x v="0"/>
    <s v="4a448cc6-5759-4e8d-bdbb-ab728bfb7dc8"/>
    <s v="консолидация кредитов"/>
    <s v="в ипотеке"/>
    <s v="краткосрочный"/>
    <x v="0"/>
    <b v="0"/>
    <n v="0.22892533547425165"/>
    <n v="0.81212121212121213"/>
    <n v="0.22900271568832253"/>
  </r>
  <r>
    <n v="1662"/>
    <n v="0"/>
    <n v="717794"/>
    <n v="646"/>
    <n v="1549792"/>
    <n v="76"/>
    <n v="26346.54"/>
    <n v="22.6"/>
    <n v="9"/>
    <n v="552577"/>
    <n v="771804"/>
    <x v="1"/>
    <s v="e774b29a-b846-4025-b71f-7085b26d3420"/>
    <s v="консолидация кредитов"/>
    <s v="в ипотеке"/>
    <s v="долгосрочный"/>
    <x v="0"/>
    <b v="0"/>
    <n v="0.90707076499598582"/>
    <n v="0.36363636363636365"/>
    <n v="0.20400058846606514"/>
  </r>
  <r>
    <n v="1663"/>
    <n v="1"/>
    <n v="216414"/>
    <n v="706"/>
    <n v="1682127"/>
    <n v="47"/>
    <n v="11816.86"/>
    <n v="16.100000000000001"/>
    <n v="18"/>
    <n v="112347"/>
    <n v="357390"/>
    <x v="1"/>
    <s v="476d4337-26cd-4f3f-9b78-06e0947f59bb"/>
    <s v="медицинские препараты"/>
    <s v="в ипотеке"/>
    <s v="краткосрочный"/>
    <x v="0"/>
    <b v="0"/>
    <n v="0.25361279963298544"/>
    <n v="0.72727272727272729"/>
    <n v="8.4299413777913321E-2"/>
  </r>
  <r>
    <n v="1664"/>
    <n v="0"/>
    <n v="112706"/>
    <n v="723"/>
    <n v="1168044"/>
    <n v="56"/>
    <n v="14489.59"/>
    <n v="20"/>
    <n v="13"/>
    <n v="198588"/>
    <n v="332772"/>
    <x v="10"/>
    <s v="f1988b5f-524e-4a99-b3ab-e4c5398f7eaf"/>
    <s v="ремонт жилья"/>
    <s v="в аренде"/>
    <s v="краткосрочный"/>
    <x v="0"/>
    <b v="0"/>
    <n v="0.11844821653859387"/>
    <n v="0.83030303030303032"/>
    <n v="0.14886004294358773"/>
  </r>
  <r>
    <n v="1665"/>
    <n v="0"/>
    <m/>
    <n v="719"/>
    <n v="1285274"/>
    <n v="0"/>
    <n v="11353.26"/>
    <n v="11.7"/>
    <n v="4"/>
    <n v="166250"/>
    <n v="302676"/>
    <x v="3"/>
    <s v="79d10348-fba6-4e7e-98bd-848c1da87c90"/>
    <s v="консолидация кредитов"/>
    <s v="в ипотеке"/>
    <s v="долгосрочный"/>
    <x v="0"/>
    <b v="0"/>
    <m/>
    <n v="0.80606060606060603"/>
    <n v="0.10600005913136032"/>
  </r>
  <r>
    <n v="1666"/>
    <n v="1"/>
    <n v="215512"/>
    <n v="708"/>
    <n v="1535048"/>
    <n v="38"/>
    <n v="9325.39"/>
    <n v="15.8"/>
    <n v="9"/>
    <n v="126388"/>
    <n v="206712"/>
    <x v="1"/>
    <s v="de5dd7c7-007d-48fb-b46e-86834df7030b"/>
    <s v="консолидация кредитов"/>
    <s v="в ипотеке"/>
    <s v="краткосрочный"/>
    <x v="0"/>
    <b v="0"/>
    <n v="0.25243720610161718"/>
    <n v="0.73939393939393938"/>
    <n v="7.2899792058619656E-2"/>
  </r>
  <r>
    <n v="1667"/>
    <n v="0"/>
    <n v="429220"/>
    <n v="731"/>
    <n v="1297415"/>
    <n v="0"/>
    <n v="25515.86"/>
    <n v="22.2"/>
    <n v="14"/>
    <n v="444790"/>
    <n v="682132"/>
    <x v="1"/>
    <s v="ea28c5f1-320b-41e9-b363-0ef8ff11f147"/>
    <s v="консолидация кредитов"/>
    <s v="в ипотеке"/>
    <s v="краткосрочный"/>
    <x v="1"/>
    <b v="0"/>
    <n v="0.53096685399701804"/>
    <n v="0.87878787878787878"/>
    <n v="0.236000292890093"/>
  </r>
  <r>
    <n v="1668"/>
    <n v="0"/>
    <n v="445456"/>
    <n v="745"/>
    <n v="2885340"/>
    <n v="0"/>
    <n v="53859.68"/>
    <n v="15.6"/>
    <n v="13"/>
    <n v="261231"/>
    <n v="598972"/>
    <x v="2"/>
    <s v="b1e73481-ba55-4b0f-bb94-f5221888d790"/>
    <s v="консолидация кредитов"/>
    <s v="в ипотеке"/>
    <s v="краткосрочный"/>
    <x v="0"/>
    <b v="1"/>
    <n v="0.55212753756164701"/>
    <n v="0.96363636363636362"/>
    <n v="0.224"/>
  </r>
  <r>
    <n v="1669"/>
    <n v="0"/>
    <n v="274780"/>
    <n v="723"/>
    <n v="1168044"/>
    <n v="0"/>
    <n v="7562.19"/>
    <n v="12.7"/>
    <n v="14"/>
    <n v="120688"/>
    <n v="347644"/>
    <x v="4"/>
    <s v="726acbef-b894-44aa-8827-f99fa541dba9"/>
    <s v="консолидация кредитов"/>
    <s v="в ипотеке"/>
    <s v="краткосрочный"/>
    <x v="0"/>
    <b v="0"/>
    <n v="0.32968230301640095"/>
    <n v="0.83030303030303032"/>
    <n v="7.7690806168260781E-2"/>
  </r>
  <r>
    <n v="1670"/>
    <n v="0"/>
    <n v="99594"/>
    <n v="723"/>
    <n v="1168044"/>
    <n v="40"/>
    <n v="13371.82"/>
    <n v="17.600000000000001"/>
    <n v="9"/>
    <n v="80978"/>
    <n v="669812"/>
    <x v="1"/>
    <s v="15e78333-7be0-47c1-9440-6ea1da4f9bf5"/>
    <s v="консолидация кредитов"/>
    <s v="в аренде"/>
    <s v="краткосрочный"/>
    <x v="1"/>
    <b v="0"/>
    <n v="0.10135910081431357"/>
    <n v="0.83030303030303032"/>
    <n v="0.13737653718524301"/>
  </r>
  <r>
    <n v="1671"/>
    <n v="0"/>
    <n v="263626"/>
    <n v="744"/>
    <n v="1290195"/>
    <n v="0"/>
    <n v="29459.5"/>
    <n v="11.2"/>
    <n v="16"/>
    <n v="359138"/>
    <n v="973852"/>
    <x v="10"/>
    <s v="650bb2dc-df1e-4744-af4d-e4f2d7016c6d"/>
    <s v="консолидация кредитов"/>
    <s v="в ипотеке"/>
    <s v="краткосрочный"/>
    <x v="0"/>
    <b v="0"/>
    <n v="0.31514508544557862"/>
    <n v="0.95757575757575752"/>
    <n v="0.27400044179368233"/>
  </r>
  <r>
    <n v="1672"/>
    <n v="0"/>
    <n v="264924"/>
    <n v="749"/>
    <n v="2497721"/>
    <n v="0"/>
    <n v="16713.919999999998"/>
    <n v="19.899999999999999"/>
    <n v="7"/>
    <n v="217322"/>
    <n v="793804"/>
    <x v="1"/>
    <s v="e5d35061-0c80-43fa-953d-837443a4dbec"/>
    <s v="ремонт жилья"/>
    <s v="в ипотеке"/>
    <s v="краткосрочный"/>
    <x v="0"/>
    <b v="0"/>
    <n v="0.31683679321023051"/>
    <n v="0.98787878787878791"/>
    <n v="8.0300017495949297E-2"/>
  </r>
  <r>
    <n v="1673"/>
    <n v="0"/>
    <n v="213356"/>
    <n v="729"/>
    <n v="799083"/>
    <n v="18"/>
    <n v="6306.1"/>
    <n v="10"/>
    <n v="12"/>
    <n v="118617"/>
    <n v="224422"/>
    <x v="10"/>
    <s v="524a08da-9a15-4796-b930-736dd4567d90"/>
    <s v="консолидация кредитов"/>
    <s v="в ипотеке"/>
    <s v="краткосрочный"/>
    <x v="1"/>
    <b v="0"/>
    <n v="0.24962725083151738"/>
    <n v="0.8666666666666667"/>
    <n v="9.4700049932234825E-2"/>
  </r>
  <r>
    <n v="1674"/>
    <n v="0"/>
    <n v="268664"/>
    <n v="740"/>
    <n v="1102171"/>
    <n v="0"/>
    <n v="27462.41"/>
    <n v="13.2"/>
    <n v="13"/>
    <n v="194313"/>
    <n v="635558"/>
    <x v="7"/>
    <s v="75cdaf88-6cad-4a52-9264-53dae3afdb4d"/>
    <s v="консолидация кредитов"/>
    <s v="в ипотеке"/>
    <s v="краткосрочный"/>
    <x v="0"/>
    <b v="0"/>
    <n v="0.32171120541346487"/>
    <n v="0.93333333333333335"/>
    <n v="0.29899981037425227"/>
  </r>
  <r>
    <n v="1675"/>
    <n v="0"/>
    <n v="263274"/>
    <n v="723"/>
    <n v="1168044"/>
    <n v="0"/>
    <n v="6065.75"/>
    <n v="14.7"/>
    <n v="6"/>
    <n v="191444"/>
    <n v="337392"/>
    <x v="1"/>
    <s v="d6eeb750-a12f-49ef-943b-d4a5c4d88907"/>
    <s v="консолидация кредитов"/>
    <s v="в аренде"/>
    <s v="краткосрочный"/>
    <x v="0"/>
    <b v="0"/>
    <n v="0.31468631723821539"/>
    <n v="0.83030303030303032"/>
    <n v="6.2317001756783133E-2"/>
  </r>
  <r>
    <n v="1676"/>
    <n v="0"/>
    <n v="174108"/>
    <n v="643"/>
    <n v="1221662"/>
    <n v="0"/>
    <n v="10567.42"/>
    <n v="8.9"/>
    <n v="5"/>
    <n v="122265"/>
    <n v="169752"/>
    <x v="6"/>
    <s v="0594396c-a1e1-4efb-9baf-6a80716d7c3d"/>
    <s v="консолидация кредитов"/>
    <s v="в аренде"/>
    <s v="долгосрочный"/>
    <x v="0"/>
    <b v="0"/>
    <n v="0.19847459571051726"/>
    <n v="0.34545454545454546"/>
    <n v="0.10380042925129863"/>
  </r>
  <r>
    <n v="1677"/>
    <n v="0"/>
    <n v="506264"/>
    <n v="633"/>
    <n v="1821796"/>
    <n v="17"/>
    <n v="21405.97"/>
    <n v="23.3"/>
    <n v="11"/>
    <n v="192660"/>
    <n v="505868"/>
    <x v="1"/>
    <s v="df80bc8e-d8fe-4ef3-b31d-ce38a91fce7d"/>
    <s v="консолидация кредитов"/>
    <s v="в ипотеке"/>
    <s v="долгосрочный"/>
    <x v="0"/>
    <b v="0"/>
    <n v="0.63137974538364494"/>
    <n v="0.28484848484848485"/>
    <n v="0.14099912394142922"/>
  </r>
  <r>
    <n v="1678"/>
    <n v="0"/>
    <n v="482944"/>
    <n v="696"/>
    <n v="1327872"/>
    <n v="39"/>
    <n v="11618.88"/>
    <n v="22.8"/>
    <n v="10"/>
    <n v="207974"/>
    <n v="254540"/>
    <x v="1"/>
    <s v="2afaa2bf-afe8-40eb-851b-c076bd9217e7"/>
    <s v="консолидация кредитов"/>
    <s v="в ипотеке"/>
    <s v="долгосрочный"/>
    <x v="0"/>
    <b v="0"/>
    <n v="0.60098635164583092"/>
    <n v="0.66666666666666663"/>
    <n v="0.105"/>
  </r>
  <r>
    <n v="1679"/>
    <n v="0"/>
    <n v="350592"/>
    <n v="723"/>
    <n v="1168044"/>
    <n v="0"/>
    <n v="33590.1"/>
    <n v="8.6999999999999993"/>
    <n v="14"/>
    <n v="362615"/>
    <n v="471240"/>
    <x v="5"/>
    <s v="c36ba462-46a7-48a7-afb6-b036750f996b"/>
    <s v="консолидация кредитов"/>
    <s v="в аренде"/>
    <s v="краткосрочный"/>
    <x v="1"/>
    <b v="0"/>
    <n v="0.42848950567725658"/>
    <n v="0.83030303030303032"/>
    <n v="0.34509076712863557"/>
  </r>
  <r>
    <n v="1680"/>
    <n v="0"/>
    <n v="32406"/>
    <n v="732"/>
    <n v="1586253"/>
    <n v="10"/>
    <n v="10204.9"/>
    <n v="21.9"/>
    <n v="4"/>
    <n v="0"/>
    <n v="0"/>
    <x v="5"/>
    <s v="0f606a5d-9a63-4f00-8415-9d6cad41e08f"/>
    <s v="иное"/>
    <s v="в ипотеке"/>
    <s v="краткосрочный"/>
    <x v="0"/>
    <b v="0"/>
    <n v="1.3791719233857094E-2"/>
    <n v="0.88484848484848488"/>
    <n v="7.7200043120485826E-2"/>
  </r>
  <r>
    <n v="1681"/>
    <n v="0"/>
    <n v="454058"/>
    <n v="749"/>
    <n v="2644116"/>
    <n v="0"/>
    <n v="9805.33"/>
    <n v="29.5"/>
    <n v="9"/>
    <n v="263359"/>
    <n v="1040798"/>
    <x v="6"/>
    <s v="4959fbc6-301c-4a74-8e4d-2c186f722e1f"/>
    <s v="консолидация кредитов"/>
    <s v="в ипотеке"/>
    <s v="краткосрочный"/>
    <x v="0"/>
    <b v="0"/>
    <n v="0.56333868562908596"/>
    <n v="0.98787878787878791"/>
    <n v="4.4500301802190223E-2"/>
  </r>
  <r>
    <n v="1682"/>
    <n v="0"/>
    <n v="352880"/>
    <n v="670"/>
    <n v="1055868"/>
    <n v="0"/>
    <n v="28772.46"/>
    <n v="16.5"/>
    <n v="9"/>
    <n v="348764"/>
    <n v="702328"/>
    <x v="7"/>
    <s v="45153cbc-4c45-48cd-a927-33113dc00dab"/>
    <s v="консолидация кредитов"/>
    <s v="в аренде"/>
    <s v="долгосрочный"/>
    <x v="0"/>
    <b v="0"/>
    <n v="0.43147149902511756"/>
    <n v="0.50909090909090904"/>
    <n v="0.32700064780824872"/>
  </r>
  <r>
    <n v="1683"/>
    <n v="1"/>
    <n v="335060"/>
    <n v="681"/>
    <n v="1936955"/>
    <n v="0"/>
    <n v="20983.599999999999"/>
    <n v="17.5"/>
    <n v="13"/>
    <n v="381691"/>
    <n v="598862"/>
    <x v="8"/>
    <s v="b4775d32-426f-4619-a30c-67a3ae73d1a0"/>
    <s v="консолидация кредитов"/>
    <s v="в ипотеке"/>
    <s v="долгосрочный"/>
    <x v="1"/>
    <b v="0"/>
    <n v="0.40824635852735408"/>
    <n v="0.5757575757575758"/>
    <n v="0.12999950953945755"/>
  </r>
  <r>
    <n v="1684"/>
    <n v="1"/>
    <n v="266992"/>
    <n v="745"/>
    <n v="864671"/>
    <n v="0"/>
    <n v="1441.15"/>
    <n v="17.2"/>
    <n v="8"/>
    <n v="31008"/>
    <n v="398992"/>
    <x v="5"/>
    <s v="8a589bd6-5856-45e9-87f9-68ddda842c4e"/>
    <s v="консолидация кредитов"/>
    <s v="в аренде"/>
    <s v="краткосрочный"/>
    <x v="0"/>
    <b v="0"/>
    <n v="0.31953205642848953"/>
    <n v="0.96363636363636362"/>
    <n v="2.0000439473510732E-2"/>
  </r>
  <r>
    <n v="1685"/>
    <n v="0"/>
    <n v="403172"/>
    <n v="738"/>
    <n v="1973074"/>
    <n v="0"/>
    <n v="11443.89"/>
    <n v="6"/>
    <n v="9"/>
    <n v="94468"/>
    <n v="504108"/>
    <x v="4"/>
    <s v="7121f2ba-7291-4d14-9df7-37b1497c8aa9"/>
    <s v="иное"/>
    <s v="в аренде"/>
    <s v="краткосрочный"/>
    <x v="0"/>
    <b v="0"/>
    <n v="0.49701800665213902"/>
    <n v="0.92121212121212126"/>
    <n v="6.9600369778325594E-2"/>
  </r>
  <r>
    <n v="1686"/>
    <n v="0"/>
    <n v="284328"/>
    <n v="677"/>
    <n v="1818908"/>
    <n v="36"/>
    <n v="23039.4"/>
    <n v="10.1"/>
    <n v="14"/>
    <n v="174401"/>
    <n v="332706"/>
    <x v="3"/>
    <s v="51912caf-1e03-4ac7-bfec-e899a2e2375b"/>
    <s v="ремонт жилья"/>
    <s v="в ипотеке"/>
    <s v="краткосрочный"/>
    <x v="0"/>
    <b v="0"/>
    <n v="0.3421263906411286"/>
    <n v="0.55151515151515151"/>
    <n v="0.15199933146701208"/>
  </r>
  <r>
    <n v="1687"/>
    <n v="2"/>
    <n v="242528"/>
    <n v="698"/>
    <n v="582730"/>
    <n v="30"/>
    <n v="13451.43"/>
    <n v="14.2"/>
    <n v="13"/>
    <n v="252301"/>
    <n v="404052"/>
    <x v="1"/>
    <s v="2e3817d2-1fd0-433a-8474-6855663ba1f9"/>
    <s v="консолидация кредитов"/>
    <s v="в аренде"/>
    <s v="краткосрочный"/>
    <x v="1"/>
    <b v="0"/>
    <n v="0.28764766601674502"/>
    <n v="0.67878787878787883"/>
    <n v="0.27700163025758068"/>
  </r>
  <r>
    <n v="1688"/>
    <n v="0"/>
    <m/>
    <n v="745"/>
    <n v="1042188"/>
    <n v="0"/>
    <n v="20496.25"/>
    <n v="14"/>
    <n v="17"/>
    <n v="148333"/>
    <n v="596376"/>
    <x v="8"/>
    <s v="0ac9c1a1-94b9-4894-af59-6a34ebcf14a1"/>
    <s v="консолидация кредитов"/>
    <s v="в аренде"/>
    <s v="краткосрочный"/>
    <x v="0"/>
    <b v="0"/>
    <m/>
    <n v="0.96363636363636362"/>
    <n v="0.2359986873769416"/>
  </r>
  <r>
    <n v="1689"/>
    <n v="1"/>
    <n v="328614"/>
    <n v="723"/>
    <n v="1168044"/>
    <n v="18"/>
    <n v="9193.7199999999993"/>
    <n v="17"/>
    <n v="8"/>
    <n v="207442"/>
    <n v="271722"/>
    <x v="1"/>
    <s v="9eb8ecc6-c7d1-4c2f-bf34-24ef39c577e7"/>
    <s v="консолидация кредитов"/>
    <s v="в аренде"/>
    <s v="краткосрочный"/>
    <x v="0"/>
    <b v="0"/>
    <n v="0.39984516573001488"/>
    <n v="0.83030303030303032"/>
    <n v="9.4452469256295135E-2"/>
  </r>
  <r>
    <n v="1690"/>
    <n v="0"/>
    <n v="157410"/>
    <n v="743"/>
    <n v="699124"/>
    <n v="0"/>
    <n v="8739.0499999999993"/>
    <n v="9.6999999999999993"/>
    <n v="6"/>
    <n v="60306"/>
    <n v="114664"/>
    <x v="3"/>
    <s v="bb578c23-5a0d-474b-ba68-14cacc9b4081"/>
    <s v="консолидация кредитов"/>
    <s v="в ипотеке"/>
    <s v="краткосрочный"/>
    <x v="0"/>
    <b v="0"/>
    <n v="0.17671177887372405"/>
    <n v="0.95151515151515154"/>
    <n v="0.15"/>
  </r>
  <r>
    <n v="1691"/>
    <n v="0"/>
    <n v="472450"/>
    <n v="747"/>
    <n v="1398913"/>
    <n v="4"/>
    <n v="17952.72"/>
    <n v="23.8"/>
    <n v="11"/>
    <n v="110523"/>
    <n v="699248"/>
    <x v="1"/>
    <s v="f4bdfc41-dee0-4457-adf1-0b83d61b8173"/>
    <s v="консолидация кредитов"/>
    <s v="в ипотеке"/>
    <s v="краткосрочный"/>
    <x v="0"/>
    <b v="0"/>
    <n v="0.58730932446381467"/>
    <n v="0.97575757575757571"/>
    <n v="0.15400002716394803"/>
  </r>
  <r>
    <n v="1692"/>
    <n v="0"/>
    <n v="772552"/>
    <n v="717"/>
    <n v="1620339"/>
    <n v="0"/>
    <n v="19038.95"/>
    <n v="24.3"/>
    <n v="10"/>
    <n v="1096452"/>
    <n v="2057660"/>
    <x v="1"/>
    <s v="7b439716-513e-46a3-bcec-9f8fec82101a"/>
    <s v="консолидация кредитов"/>
    <s v="в ипотеке"/>
    <s v="долгосрочный"/>
    <x v="0"/>
    <b v="0"/>
    <n v="0.97843789425392824"/>
    <n v="0.79393939393939394"/>
    <n v="0.14099975375523272"/>
  </r>
  <r>
    <n v="1693"/>
    <n v="1"/>
    <n v="171710"/>
    <n v="731"/>
    <n v="926820"/>
    <n v="0"/>
    <n v="12203.13"/>
    <n v="16.5"/>
    <n v="19"/>
    <n v="115672"/>
    <n v="379412"/>
    <x v="7"/>
    <s v="7d20bfbe-3a36-4eb8-b237-cab70920d527"/>
    <s v="консолидация кредитов"/>
    <s v="в аренде"/>
    <s v="краткосрочный"/>
    <x v="1"/>
    <b v="0"/>
    <n v="0.19534923729785525"/>
    <n v="0.87878787878787878"/>
    <n v="0.158"/>
  </r>
  <r>
    <n v="1694"/>
    <n v="1"/>
    <n v="240240"/>
    <n v="743"/>
    <n v="1400566"/>
    <n v="6"/>
    <n v="19689.7"/>
    <n v="22.1"/>
    <n v="11"/>
    <n v="203889"/>
    <n v="618002"/>
    <x v="9"/>
    <s v="afe5a05c-8165-4767-82e8-28d0b6e55136"/>
    <s v="консолидация кредитов"/>
    <s v="в ипотеке"/>
    <s v="краткосрочный"/>
    <x v="0"/>
    <b v="0"/>
    <n v="0.28466567266888404"/>
    <n v="0.95151515151515154"/>
    <n v="0.16870065387850341"/>
  </r>
  <r>
    <n v="1695"/>
    <n v="0"/>
    <n v="44088"/>
    <n v="735"/>
    <n v="868224"/>
    <n v="0"/>
    <n v="12719.36"/>
    <n v="13.2"/>
    <n v="5"/>
    <n v="48070"/>
    <n v="154198"/>
    <x v="3"/>
    <s v="64cba960-e172-4db3-bc0e-a4fa5fc127bf"/>
    <s v="ремонт жилья"/>
    <s v="в ипотеке"/>
    <s v="краткосрочный"/>
    <x v="0"/>
    <b v="0"/>
    <n v="2.901708911572428E-2"/>
    <n v="0.90303030303030307"/>
    <n v="0.1757983193277311"/>
  </r>
  <r>
    <n v="1696"/>
    <n v="0"/>
    <n v="224730"/>
    <n v="747"/>
    <n v="873392"/>
    <n v="0"/>
    <n v="3879.42"/>
    <n v="10.9"/>
    <n v="17"/>
    <n v="116033"/>
    <n v="574112"/>
    <x v="8"/>
    <s v="208fecb9-40fb-47aa-8e3b-e5d28faceea9"/>
    <s v="консолидация кредитов"/>
    <s v="в ипотеке"/>
    <s v="краткосрочный"/>
    <x v="0"/>
    <b v="0"/>
    <n v="0.26445119853194171"/>
    <n v="0.97575757575757571"/>
    <n v="5.3301427079707621E-2"/>
  </r>
  <r>
    <n v="1697"/>
    <n v="0"/>
    <m/>
    <n v="701"/>
    <n v="1571946"/>
    <n v="0"/>
    <n v="26461.11"/>
    <n v="17.899999999999999"/>
    <n v="8"/>
    <n v="332196"/>
    <n v="404866"/>
    <x v="1"/>
    <s v="cd65a2dd-4f9a-4224-be7e-e03baac13687"/>
    <s v="иное"/>
    <s v="в ипотеке"/>
    <s v="долгосрочный"/>
    <x v="0"/>
    <b v="0"/>
    <m/>
    <n v="0.69696969696969702"/>
    <n v="0.20200014504315034"/>
  </r>
  <r>
    <n v="1698"/>
    <n v="0"/>
    <n v="190806"/>
    <n v="723"/>
    <n v="1168044"/>
    <n v="0"/>
    <n v="10936.21"/>
    <n v="9.9"/>
    <n v="19"/>
    <n v="100035"/>
    <n v="171336"/>
    <x v="4"/>
    <s v="78abf564-eebc-4086-bc72-2fbd79dd9e36"/>
    <s v="консолидация кредитов"/>
    <s v="в аренде"/>
    <s v="краткосрочный"/>
    <x v="1"/>
    <b v="0"/>
    <n v="0.22023741254731047"/>
    <n v="0.83030303030303032"/>
    <n v="0.11235408940074175"/>
  </r>
  <r>
    <n v="1699"/>
    <n v="0"/>
    <n v="225280"/>
    <n v="743"/>
    <n v="778240"/>
    <n v="15"/>
    <n v="7717.61"/>
    <n v="24"/>
    <n v="9"/>
    <n v="253232"/>
    <n v="430584"/>
    <x v="2"/>
    <s v="0890811f-0a70-4caa-b8ca-adadcaa4a826"/>
    <s v="консолидация кредитов"/>
    <s v="в ипотеке"/>
    <s v="краткосрочный"/>
    <x v="0"/>
    <b v="0"/>
    <n v="0.26516802385594679"/>
    <n v="0.95151515151515154"/>
    <n v="0.11900097656249999"/>
  </r>
  <r>
    <n v="1700"/>
    <n v="0"/>
    <n v="324830"/>
    <n v="717"/>
    <n v="709916"/>
    <n v="0"/>
    <n v="12955.91"/>
    <n v="13.8"/>
    <n v="14"/>
    <n v="280421"/>
    <n v="753346"/>
    <x v="0"/>
    <s v="dfe87834-58da-4fd1-a688-16b7b5c1b8d9"/>
    <s v="консолидация кредитов"/>
    <s v="в аренде"/>
    <s v="краткосрочный"/>
    <x v="1"/>
    <b v="0"/>
    <n v="0.39491340750086018"/>
    <n v="0.79393939393939394"/>
    <n v="0.21899903650572744"/>
  </r>
  <r>
    <n v="1701"/>
    <n v="0"/>
    <n v="752686"/>
    <n v="715"/>
    <n v="1671525"/>
    <n v="0"/>
    <n v="16018.71"/>
    <n v="13.1"/>
    <n v="9"/>
    <n v="336053"/>
    <n v="481580"/>
    <x v="8"/>
    <s v="94b29841-fd9f-44c6-8e2d-8ae244c7bb83"/>
    <s v="консолидация кредитов"/>
    <s v="в ипотеке"/>
    <s v="долгосрочный"/>
    <x v="0"/>
    <b v="0"/>
    <n v="0.95254616355086597"/>
    <n v="0.78181818181818186"/>
    <n v="0.11499948849104859"/>
  </r>
  <r>
    <n v="1702"/>
    <n v="0"/>
    <n v="112442"/>
    <n v="724"/>
    <n v="1420782"/>
    <n v="0"/>
    <n v="23206.03"/>
    <n v="28.4"/>
    <n v="11"/>
    <n v="140410"/>
    <n v="193314"/>
    <x v="1"/>
    <s v="483f9f34-14a6-4344-802d-8e371c06e157"/>
    <s v="консолидация кредитов"/>
    <s v="в аренде"/>
    <s v="краткосрочный"/>
    <x v="1"/>
    <b v="0"/>
    <n v="0.11810414038307146"/>
    <n v="0.83636363636363631"/>
    <n v="0.19599935809997593"/>
  </r>
  <r>
    <n v="1703"/>
    <n v="0"/>
    <n v="520608"/>
    <n v="748"/>
    <n v="1386316"/>
    <n v="40"/>
    <n v="23913.97"/>
    <n v="29"/>
    <n v="25"/>
    <n v="674918"/>
    <n v="3256132"/>
    <x v="1"/>
    <s v="b1b25b17-bfbe-450f-911b-0f187ae6abf2"/>
    <s v="консолидация кредитов"/>
    <s v="в ипотеке"/>
    <s v="краткосрочный"/>
    <x v="0"/>
    <b v="0"/>
    <n v="0.6500745498336965"/>
    <n v="0.98181818181818181"/>
    <n v="0.20700016446466751"/>
  </r>
  <r>
    <n v="1704"/>
    <n v="0"/>
    <n v="172040"/>
    <n v="731"/>
    <n v="612902"/>
    <n v="29"/>
    <n v="11134.19"/>
    <n v="9.8000000000000007"/>
    <n v="29"/>
    <n v="98648"/>
    <n v="562628"/>
    <x v="5"/>
    <s v="a8821e0c-35c7-4279-a9e9-96984c838262"/>
    <s v="консолидация кредитов"/>
    <s v="в собственности"/>
    <s v="краткосрочный"/>
    <x v="0"/>
    <b v="0"/>
    <n v="0.19577933249225829"/>
    <n v="0.87878787878787878"/>
    <n v="0.21799615599231201"/>
  </r>
  <r>
    <n v="1705"/>
    <n v="0"/>
    <n v="396792"/>
    <n v="723"/>
    <n v="1168044"/>
    <n v="0"/>
    <n v="15627.88"/>
    <n v="13.9"/>
    <n v="5"/>
    <n v="347852"/>
    <n v="452034"/>
    <x v="1"/>
    <s v="6363f1fd-5f4f-43b0-8783-10fa9507fc8c"/>
    <s v="консолидация кредитов"/>
    <s v="в ипотеке"/>
    <s v="долгосрочный"/>
    <x v="0"/>
    <b v="0"/>
    <n v="0.48870283289368049"/>
    <n v="0.83030303030303032"/>
    <n v="0.16055436267811829"/>
  </r>
  <r>
    <n v="1706"/>
    <n v="0"/>
    <n v="215138"/>
    <n v="734"/>
    <n v="1746461"/>
    <n v="25"/>
    <n v="11424.7"/>
    <n v="25.8"/>
    <n v="8"/>
    <n v="324501"/>
    <n v="393844"/>
    <x v="1"/>
    <s v="5a169042-6120-4528-be22-c8d81582246a"/>
    <s v="консолидация кредитов"/>
    <s v="в ипотеке"/>
    <s v="краткосрочный"/>
    <x v="1"/>
    <b v="0"/>
    <n v="0.25194976488129373"/>
    <n v="0.89696969696969697"/>
    <n v="7.8499548515540862E-2"/>
  </r>
  <r>
    <n v="1707"/>
    <n v="0"/>
    <n v="345664"/>
    <n v="719"/>
    <n v="1306060"/>
    <n v="0"/>
    <n v="17958.419999999998"/>
    <n v="21.6"/>
    <n v="6"/>
    <n v="234099"/>
    <n v="311212"/>
    <x v="8"/>
    <s v="9ce8ebe2-7dde-428f-8f8d-ac7e2b101845"/>
    <s v="консолидация кредитов"/>
    <s v="в ипотеке"/>
    <s v="долгосрочный"/>
    <x v="1"/>
    <b v="0"/>
    <n v="0.42206675077417133"/>
    <n v="0.80606060606060603"/>
    <n v="0.16500087285423334"/>
  </r>
  <r>
    <n v="1708"/>
    <n v="0"/>
    <n v="37752"/>
    <n v="715"/>
    <n v="767372"/>
    <n v="9"/>
    <n v="11446.74"/>
    <n v="14.2"/>
    <n v="5"/>
    <n v="703"/>
    <n v="205480"/>
    <x v="5"/>
    <s v="353a480d-6ee8-4588-acc6-6a1c77363429"/>
    <s v="иное"/>
    <s v="в аренде"/>
    <s v="краткосрочный"/>
    <x v="0"/>
    <b v="0"/>
    <n v="2.0759261383186144E-2"/>
    <n v="0.78181818181818186"/>
    <n v="0.17900168366841637"/>
  </r>
  <r>
    <n v="1709"/>
    <n v="0"/>
    <n v="156266"/>
    <n v="737"/>
    <n v="965998"/>
    <n v="0"/>
    <n v="21734.86"/>
    <n v="15"/>
    <n v="9"/>
    <n v="156503"/>
    <n v="495154"/>
    <x v="7"/>
    <s v="1fa5ff55-f380-45bd-90ce-c8b35b0b0b29"/>
    <s v="консолидация кредитов"/>
    <s v="в ипотеке"/>
    <s v="краткосрочный"/>
    <x v="1"/>
    <b v="0"/>
    <n v="0.17522078219979356"/>
    <n v="0.91515151515151516"/>
    <n v="0.26999881987333307"/>
  </r>
  <r>
    <n v="1710"/>
    <n v="0"/>
    <n v="197714"/>
    <n v="746"/>
    <n v="1081480"/>
    <n v="0"/>
    <n v="7209.93"/>
    <n v="20.5"/>
    <n v="14"/>
    <n v="101479"/>
    <n v="1129722"/>
    <x v="1"/>
    <s v="b4f7b5d3-e138-46cd-b77b-2b28b70e2890"/>
    <s v="иное"/>
    <s v="в ипотеке"/>
    <s v="долгосрочный"/>
    <x v="0"/>
    <b v="0"/>
    <n v="0.22924073861681385"/>
    <n v="0.96969696969696972"/>
    <n v="8.0000702740688698E-2"/>
  </r>
  <r>
    <n v="1711"/>
    <n v="0"/>
    <n v="629860"/>
    <n v="723"/>
    <n v="1168044"/>
    <n v="0"/>
    <n v="35438.99"/>
    <n v="17"/>
    <n v="13"/>
    <n v="984884"/>
    <n v="1798720"/>
    <x v="1"/>
    <s v="73cfea7d-a454-4e3a-84cc-ff274688a6da"/>
    <s v="консолидация кредитов"/>
    <s v="в ипотеке"/>
    <s v="краткосрочный"/>
    <x v="0"/>
    <b v="0"/>
    <n v="0.792464732194059"/>
    <n v="0.83030303030303032"/>
    <n v="0.36408549677923091"/>
  </r>
  <r>
    <n v="1712"/>
    <n v="0"/>
    <n v="281644"/>
    <n v="723"/>
    <n v="1168044"/>
    <n v="34"/>
    <n v="17788.18"/>
    <n v="34.1"/>
    <n v="21"/>
    <n v="671593"/>
    <n v="1419044"/>
    <x v="1"/>
    <s v="ac24a40c-5ab4-4d57-a3dc-de7c86de4672"/>
    <s v="консолидация кредитов"/>
    <s v="в ипотеке"/>
    <s v="долгосрочный"/>
    <x v="0"/>
    <b v="0"/>
    <n v="0.33862828305998394"/>
    <n v="0.83030303030303032"/>
    <n v="0.18274838961545969"/>
  </r>
  <r>
    <n v="1713"/>
    <n v="0"/>
    <m/>
    <n v="748"/>
    <n v="2235255"/>
    <n v="0"/>
    <n v="41910.959999999999"/>
    <n v="15"/>
    <n v="13"/>
    <n v="840123"/>
    <n v="1487420"/>
    <x v="8"/>
    <s v="c4930dd2-fa40-487d-bbcc-51b3deb135f4"/>
    <s v="консолидация кредитов"/>
    <s v="в ипотеке"/>
    <s v="краткосрочный"/>
    <x v="0"/>
    <b v="0"/>
    <m/>
    <n v="0.98181818181818181"/>
    <n v="0.22499961749330613"/>
  </r>
  <r>
    <n v="1714"/>
    <n v="1"/>
    <n v="549890"/>
    <n v="713"/>
    <n v="1082791"/>
    <n v="5"/>
    <n v="18226.89"/>
    <n v="32.4"/>
    <n v="13"/>
    <n v="173831"/>
    <n v="575102"/>
    <x v="4"/>
    <s v="ea91b8ee-58bb-416f-a519-8dad286fb595"/>
    <s v="консолидация кредитов"/>
    <s v="в аренде"/>
    <s v="краткосрочный"/>
    <x v="1"/>
    <b v="0"/>
    <n v="0.68823833008372515"/>
    <n v="0.76969696969696966"/>
    <n v="0.20199898225973434"/>
  </r>
  <r>
    <n v="1715"/>
    <n v="0"/>
    <n v="257950"/>
    <n v="730"/>
    <n v="851466"/>
    <n v="0"/>
    <n v="19299.63"/>
    <n v="8.1999999999999993"/>
    <n v="7"/>
    <n v="144438"/>
    <n v="268884"/>
    <x v="2"/>
    <s v="64c41a05-5d70-4d73-8292-23194f167da1"/>
    <s v="консолидация кредитов"/>
    <s v="в аренде"/>
    <s v="долгосрочный"/>
    <x v="0"/>
    <b v="0"/>
    <n v="0.30774744810184657"/>
    <n v="0.87272727272727268"/>
    <n v="0.27199625117150894"/>
  </r>
  <r>
    <n v="1716"/>
    <n v="0"/>
    <n v="171820"/>
    <n v="719"/>
    <n v="649249"/>
    <n v="0"/>
    <n v="3468.07"/>
    <n v="20.5"/>
    <n v="3"/>
    <n v="97755"/>
    <n v="118162"/>
    <x v="10"/>
    <s v="a97b4197-7c89-4078-a3b1-1618f4bb35be"/>
    <s v="консолидация кредитов"/>
    <s v="в аренде"/>
    <s v="краткосрочный"/>
    <x v="0"/>
    <b v="0"/>
    <n v="0.19549260236265628"/>
    <n v="0.80606060606060603"/>
    <n v="6.4099967808960809E-2"/>
  </r>
  <r>
    <n v="1717"/>
    <n v="1"/>
    <n v="321794"/>
    <n v="720"/>
    <n v="741076"/>
    <n v="0"/>
    <n v="12536.58"/>
    <n v="30.6"/>
    <n v="7"/>
    <n v="226423"/>
    <n v="306636"/>
    <x v="2"/>
    <s v="3eb3d13f-9afa-4f01-b614-cb93795727e2"/>
    <s v="консолидация кредитов"/>
    <s v="в собственности"/>
    <s v="долгосрочный"/>
    <x v="1"/>
    <b v="0"/>
    <n v="0.39095653171235234"/>
    <n v="0.81212121212121213"/>
    <n v="0.20300071787508972"/>
  </r>
  <r>
    <n v="1718"/>
    <n v="0"/>
    <n v="154506"/>
    <n v="718"/>
    <n v="732963"/>
    <n v="0"/>
    <n v="5094.09"/>
    <n v="10"/>
    <n v="8"/>
    <n v="68628"/>
    <n v="309210"/>
    <x v="4"/>
    <s v="4a1f3508-77ef-493d-89bd-128026651e39"/>
    <s v="консолидация кредитов"/>
    <s v="в собственности"/>
    <s v="краткосрочный"/>
    <x v="0"/>
    <b v="0"/>
    <n v="0.17292694116297741"/>
    <n v="0.8"/>
    <n v="8.3399953340073107E-2"/>
  </r>
  <r>
    <n v="1719"/>
    <n v="0"/>
    <n v="182776"/>
    <n v="723"/>
    <n v="1168044"/>
    <n v="40"/>
    <n v="4698.32"/>
    <n v="16.600000000000001"/>
    <n v="9"/>
    <n v="62833"/>
    <n v="128964"/>
    <x v="5"/>
    <s v="35c0fc78-a2d0-48ca-abf3-50215ae8a6bd"/>
    <s v="консолидация кредитов"/>
    <s v="в ипотеке"/>
    <s v="краткосрочный"/>
    <x v="0"/>
    <b v="0"/>
    <n v="0.20977176281683679"/>
    <n v="0.83030303030303032"/>
    <n v="4.8268592621510828E-2"/>
  </r>
  <r>
    <n v="1720"/>
    <n v="0"/>
    <n v="404404"/>
    <n v="748"/>
    <n v="2522364"/>
    <n v="0"/>
    <n v="6852.54"/>
    <n v="24.9"/>
    <n v="6"/>
    <n v="270370"/>
    <n v="692648"/>
    <x v="7"/>
    <s v="4d598004-cc29-4049-9b5e-03f101b399aa"/>
    <s v="консолидация кредитов"/>
    <s v="в ипотеке"/>
    <s v="краткосрочный"/>
    <x v="0"/>
    <b v="0"/>
    <n v="0.49862369537791029"/>
    <n v="0.98181818181818181"/>
    <n v="3.2600560426647385E-2"/>
  </r>
  <r>
    <n v="1721"/>
    <n v="0"/>
    <n v="22198"/>
    <n v="747"/>
    <n v="1437407"/>
    <n v="0"/>
    <n v="2898.83"/>
    <n v="23"/>
    <n v="4"/>
    <n v="109212"/>
    <n v="239030"/>
    <x v="4"/>
    <s v="2288c274-d686-4215-a9ef-9c82b313ca16"/>
    <s v="медицинские препараты"/>
    <s v="в аренде"/>
    <s v="краткосрочный"/>
    <x v="1"/>
    <b v="0"/>
    <n v="4.8744122032343156E-4"/>
    <n v="0.97575757575757571"/>
    <n v="2.420049436241788E-2"/>
  </r>
  <r>
    <n v="1722"/>
    <n v="0"/>
    <n v="113784"/>
    <n v="723"/>
    <n v="786125"/>
    <n v="0"/>
    <n v="13429.77"/>
    <n v="9"/>
    <n v="32"/>
    <n v="188499"/>
    <n v="1705198"/>
    <x v="9"/>
    <s v="c6f9d8c6-d3c1-4ee0-8638-12a29a11b9f6"/>
    <s v="консолидация кредитов"/>
    <s v="в аренде"/>
    <s v="краткосрочный"/>
    <x v="0"/>
    <b v="0"/>
    <n v="0.11985319417364376"/>
    <n v="0.83030303030303032"/>
    <n v="0.20500205438066466"/>
  </r>
  <r>
    <n v="1723"/>
    <n v="0"/>
    <n v="310332"/>
    <n v="723"/>
    <n v="1168044"/>
    <n v="0"/>
    <n v="19574.939999999999"/>
    <n v="13.8"/>
    <n v="18"/>
    <n v="273011"/>
    <n v="409464"/>
    <x v="5"/>
    <s v="798df618-0e1b-4813-b0cd-953babc73710"/>
    <s v="консолидация кредитов"/>
    <s v="в аренде"/>
    <s v="долгосрочный"/>
    <x v="1"/>
    <b v="0"/>
    <n v="0.37601789196008717"/>
    <n v="0.83030303030303032"/>
    <n v="0.20110482139371461"/>
  </r>
  <r>
    <n v="1724"/>
    <n v="0"/>
    <n v="357808"/>
    <n v="586"/>
    <n v="1030066"/>
    <n v="39"/>
    <n v="24978.92"/>
    <n v="15.2"/>
    <n v="12"/>
    <n v="344470"/>
    <n v="470360"/>
    <x v="1"/>
    <s v="12a1dc68-9813-4265-8355-2821cfe623f4"/>
    <s v="консолидация кредитов"/>
    <s v="в ипотеке"/>
    <s v="долгосрочный"/>
    <x v="1"/>
    <b v="0"/>
    <n v="0.43789425392820275"/>
    <n v="0"/>
    <n v="0.29099789722211972"/>
  </r>
  <r>
    <n v="1725"/>
    <n v="0"/>
    <n v="130064"/>
    <n v="710"/>
    <n v="936035"/>
    <n v="64"/>
    <n v="12558.43"/>
    <n v="15.8"/>
    <n v="7"/>
    <n v="233947"/>
    <n v="351362"/>
    <x v="0"/>
    <s v="fdad9d0d-c631-4e4d-8914-cbe37e5ada02"/>
    <s v="консолидация кредитов"/>
    <s v="в аренде"/>
    <s v="краткосрочный"/>
    <x v="0"/>
    <b v="0"/>
    <n v="0.14107122376419315"/>
    <n v="0.75151515151515147"/>
    <n v="0.16099949254034304"/>
  </r>
  <r>
    <n v="1726"/>
    <n v="0"/>
    <m/>
    <n v="603"/>
    <n v="982167"/>
    <n v="0"/>
    <n v="3339.44"/>
    <n v="14.8"/>
    <n v="4"/>
    <n v="64980"/>
    <n v="118096"/>
    <x v="1"/>
    <s v="1cfad5a4-c54f-412c-963d-e8d6a9872147"/>
    <s v="ремонт жилья"/>
    <s v="в ипотеке"/>
    <s v="долгосрочный"/>
    <x v="0"/>
    <b v="0"/>
    <m/>
    <n v="0.10303030303030303"/>
    <n v="4.0800882131042888E-2"/>
  </r>
  <r>
    <n v="1727"/>
    <n v="0"/>
    <n v="757768"/>
    <n v="716"/>
    <n v="2393335"/>
    <n v="13"/>
    <n v="21739.42"/>
    <n v="22.2"/>
    <n v="9"/>
    <n v="205333"/>
    <n v="424578"/>
    <x v="10"/>
    <s v="27d3f54e-a464-47de-add1-24b30505915a"/>
    <s v="ремонт жилья"/>
    <s v="в ипотеке"/>
    <s v="краткосрочный"/>
    <x v="0"/>
    <b v="0"/>
    <n v="0.95916962954467255"/>
    <n v="0.78787878787878785"/>
    <n v="0.10899980153217162"/>
  </r>
  <r>
    <n v="1728"/>
    <n v="0"/>
    <n v="180180"/>
    <n v="723"/>
    <n v="1168044"/>
    <n v="45"/>
    <n v="37062.54"/>
    <n v="10.1"/>
    <n v="12"/>
    <n v="150442"/>
    <n v="308308"/>
    <x v="0"/>
    <s v="b7bf27b3-b9d0-40ad-a300-07ce865127b5"/>
    <s v="консолидация кредитов"/>
    <s v="в ипотеке"/>
    <s v="краткосрочный"/>
    <x v="0"/>
    <b v="0"/>
    <n v="0.20638834728753297"/>
    <n v="0.83030303030303032"/>
    <n v="0.38076517665430415"/>
  </r>
  <r>
    <n v="1729"/>
    <n v="0"/>
    <n v="151096"/>
    <n v="721"/>
    <n v="671137"/>
    <n v="8"/>
    <n v="12863.57"/>
    <n v="17.899999999999999"/>
    <n v="8"/>
    <n v="108509"/>
    <n v="209396"/>
    <x v="9"/>
    <s v="f2e2c480-fa67-4014-aa27-fcb2cbac5a81"/>
    <s v="консолидация кредитов"/>
    <s v="в ипотеке"/>
    <s v="краткосрочный"/>
    <x v="1"/>
    <b v="0"/>
    <n v="0.16848262415414611"/>
    <n v="0.81818181818181823"/>
    <n v="0.23000198171163264"/>
  </r>
  <r>
    <n v="1730"/>
    <n v="0"/>
    <n v="300674"/>
    <n v="737"/>
    <n v="1813854"/>
    <n v="0"/>
    <n v="32845.68"/>
    <n v="28.2"/>
    <n v="16"/>
    <n v="608095"/>
    <n v="1747174"/>
    <x v="1"/>
    <s v="124273e4-98b8-41b3-a877-da1a539fd702"/>
    <s v="консолидация кредитов"/>
    <s v="в ипотеке"/>
    <s v="долгосрочный"/>
    <x v="1"/>
    <b v="0"/>
    <n v="0.36343043927055857"/>
    <n v="0.91515151515151516"/>
    <n v="0.21729872415310164"/>
  </r>
  <r>
    <n v="1731"/>
    <n v="1"/>
    <n v="369754"/>
    <n v="683"/>
    <n v="1257971"/>
    <n v="0"/>
    <n v="28304.3"/>
    <n v="18.8"/>
    <n v="25"/>
    <n v="43206"/>
    <n v="685168"/>
    <x v="9"/>
    <s v="c4c869e3-2a17-4ff7-ad41-f39de0b214a6"/>
    <s v="консолидация кредитов"/>
    <s v="в аренде"/>
    <s v="долгосрочный"/>
    <x v="0"/>
    <b v="0"/>
    <n v="0.45346369996559238"/>
    <n v="0.58787878787878789"/>
    <n v="0.2699995468893957"/>
  </r>
  <r>
    <n v="1732"/>
    <n v="2"/>
    <n v="335786"/>
    <n v="704"/>
    <n v="1159950"/>
    <n v="0"/>
    <n v="18462.490000000002"/>
    <n v="15.3"/>
    <n v="9"/>
    <n v="227810"/>
    <n v="436722"/>
    <x v="5"/>
    <s v="b96ec9d5-8be9-40d2-8edd-18ca8c2b62ce"/>
    <s v="консолидация кредитов"/>
    <s v="в аренде"/>
    <s v="краткосрочный"/>
    <x v="0"/>
    <b v="0"/>
    <n v="0.40919256795504072"/>
    <n v="0.7151515151515152"/>
    <n v="0.19099950859950862"/>
  </r>
  <r>
    <n v="1733"/>
    <n v="0"/>
    <n v="216062"/>
    <n v="724"/>
    <n v="2145898"/>
    <n v="0"/>
    <n v="33082.42"/>
    <n v="14.9"/>
    <n v="12"/>
    <n v="243352"/>
    <n v="553564"/>
    <x v="1"/>
    <s v="6c85e576-941f-4976-be30-658881607d79"/>
    <s v="консолидация кредитов"/>
    <s v="в ипотеке"/>
    <s v="долгосрочный"/>
    <x v="0"/>
    <b v="0"/>
    <n v="0.25315403142562221"/>
    <n v="0.83636363636363631"/>
    <n v="0.18499902604876836"/>
  </r>
  <r>
    <n v="1734"/>
    <n v="0"/>
    <n v="86592"/>
    <n v="750"/>
    <n v="1065786"/>
    <n v="0"/>
    <n v="17407.8"/>
    <n v="11.8"/>
    <n v="6"/>
    <n v="35682"/>
    <n v="60654"/>
    <x v="10"/>
    <s v="f4d3a933-cecf-432e-a547-6cba6db72612"/>
    <s v="консолидация кредитов"/>
    <s v="в аренде"/>
    <s v="краткосрочный"/>
    <x v="0"/>
    <b v="0"/>
    <n v="8.4413350154834269E-2"/>
    <n v="0.9939393939393939"/>
    <n v="0.19599957214675365"/>
  </r>
  <r>
    <n v="1735"/>
    <n v="0"/>
    <n v="329384"/>
    <n v="710"/>
    <n v="738644"/>
    <n v="0"/>
    <n v="14957.56"/>
    <n v="15.4"/>
    <n v="11"/>
    <n v="374965"/>
    <n v="977878"/>
    <x v="8"/>
    <s v="6491574f-763e-40b9-8630-2905c89598b4"/>
    <s v="консолидация кредитов"/>
    <s v="в ипотеке"/>
    <s v="долгосрочный"/>
    <x v="0"/>
    <b v="0"/>
    <n v="0.40084872118362197"/>
    <n v="0.75151515151515147"/>
    <n v="0.24300030867373187"/>
  </r>
  <r>
    <n v="1736"/>
    <n v="0"/>
    <n v="131318"/>
    <n v="732"/>
    <n v="1361027"/>
    <n v="25"/>
    <n v="19961.59"/>
    <n v="30.2"/>
    <n v="9"/>
    <n v="200564"/>
    <n v="323906"/>
    <x v="2"/>
    <s v="5bb9b80c-71bb-4f64-8e1e-62eea2969362"/>
    <s v="консолидация кредитов"/>
    <s v="в аренде"/>
    <s v="краткосрочный"/>
    <x v="1"/>
    <b v="0"/>
    <n v="0.14270558550292464"/>
    <n v="0.88484848484848488"/>
    <n v="0.17599877151592141"/>
  </r>
  <r>
    <n v="1737"/>
    <n v="0"/>
    <n v="132308"/>
    <n v="716"/>
    <n v="721601"/>
    <n v="31"/>
    <n v="5526.34"/>
    <n v="25.4"/>
    <n v="9"/>
    <n v="110466"/>
    <n v="167640"/>
    <x v="1"/>
    <s v="4a944c24-87b1-4079-9f7a-e28f03eb42ce"/>
    <s v="иное"/>
    <s v="в ипотеке"/>
    <s v="краткосрочный"/>
    <x v="0"/>
    <b v="0"/>
    <n v="0.14399587108613374"/>
    <n v="0.78787878787878785"/>
    <n v="9.190131388398852E-2"/>
  </r>
  <r>
    <n v="1738"/>
    <n v="0"/>
    <n v="108614"/>
    <n v="701"/>
    <n v="1838345"/>
    <n v="31"/>
    <n v="36613.760000000002"/>
    <n v="17.5"/>
    <n v="19"/>
    <n v="439831"/>
    <n v="755612"/>
    <x v="1"/>
    <s v="3a1aa0e3-db3a-4d9b-be76-32b37f9bda3b"/>
    <s v="иное"/>
    <s v="в аренде"/>
    <s v="краткосрочный"/>
    <x v="0"/>
    <b v="0"/>
    <n v="0.11311503612799632"/>
    <n v="0.69696969696969702"/>
    <n v="0.23900036173841149"/>
  </r>
  <r>
    <n v="1739"/>
    <n v="0"/>
    <n v="210650"/>
    <n v="707"/>
    <n v="1705554"/>
    <n v="34"/>
    <n v="19329.650000000001"/>
    <n v="16"/>
    <n v="14"/>
    <n v="58045"/>
    <n v="193138"/>
    <x v="5"/>
    <s v="464c6df6-9bf3-4c1a-b5cb-6084d36bdc76"/>
    <s v="консолидация кредитов"/>
    <s v="в ипотеке"/>
    <s v="краткосрочный"/>
    <x v="0"/>
    <b v="0"/>
    <n v="0.24610047023741255"/>
    <n v="0.73333333333333328"/>
    <n v="0.13600026736180737"/>
  </r>
  <r>
    <n v="1740"/>
    <n v="0"/>
    <n v="622974"/>
    <n v="723"/>
    <n v="1168044"/>
    <n v="48"/>
    <n v="40069.480000000003"/>
    <n v="21.8"/>
    <n v="19"/>
    <n v="594548"/>
    <n v="804232"/>
    <x v="9"/>
    <s v="f8719eb0-ad2d-4bfe-a717-208df926d394"/>
    <s v="консолидация кредитов"/>
    <s v="в собственности"/>
    <s v="долгосрочный"/>
    <x v="1"/>
    <b v="0"/>
    <n v="0.78349007913751578"/>
    <n v="0.83030303030303032"/>
    <n v="0.41165723209057198"/>
  </r>
  <r>
    <n v="1741"/>
    <n v="0"/>
    <m/>
    <n v="720"/>
    <n v="718466"/>
    <n v="0"/>
    <n v="20356.41"/>
    <n v="15.9"/>
    <n v="11"/>
    <n v="109573"/>
    <n v="342914"/>
    <x v="9"/>
    <s v="6268a9d3-6896-4681-9ba0-8b8024f38dd8"/>
    <s v="медицинские препараты"/>
    <s v="в аренде"/>
    <s v="краткосрочный"/>
    <x v="0"/>
    <b v="0"/>
    <m/>
    <n v="0.81212121212121213"/>
    <n v="0.33999788438144601"/>
  </r>
  <r>
    <n v="1742"/>
    <n v="0"/>
    <n v="174592"/>
    <n v="685"/>
    <n v="452352"/>
    <n v="0"/>
    <n v="9725.5300000000007"/>
    <n v="10.9"/>
    <n v="10"/>
    <n v="106001"/>
    <n v="259490"/>
    <x v="10"/>
    <s v="1894c80f-a3e7-4e01-8c22-64c8d49b7f43"/>
    <s v="ремонт жилья"/>
    <s v="в собственности"/>
    <s v="краткосрочный"/>
    <x v="1"/>
    <b v="0"/>
    <n v="0.1991054019956417"/>
    <n v="0.6"/>
    <n v="0.25799899193548387"/>
  </r>
  <r>
    <n v="1743"/>
    <n v="0"/>
    <n v="268994"/>
    <n v="751"/>
    <n v="1490645"/>
    <n v="0"/>
    <n v="10161.200000000001"/>
    <n v="26.4"/>
    <n v="7"/>
    <n v="35568"/>
    <n v="370986"/>
    <x v="1"/>
    <s v="ec2502b6-b5fb-4b48-b06c-99c0ced63970"/>
    <s v="консолидация кредитов"/>
    <s v="в ипотеке"/>
    <s v="краткосрочный"/>
    <x v="0"/>
    <b v="0"/>
    <n v="0.32214130060786789"/>
    <n v="1"/>
    <n v="8.1799757822955843E-2"/>
  </r>
  <r>
    <n v="1744"/>
    <n v="1"/>
    <n v="71258"/>
    <n v="722"/>
    <n v="719549"/>
    <n v="0"/>
    <n v="12592.06"/>
    <n v="16.3"/>
    <n v="7"/>
    <n v="27569"/>
    <n v="37290"/>
    <x v="5"/>
    <s v="23c9fb16-14b9-403b-a1b7-6a6f53e3acdb"/>
    <s v="консолидация кредитов"/>
    <s v="в аренде"/>
    <s v="долгосрочный"/>
    <x v="1"/>
    <b v="0"/>
    <n v="6.4428260121573572E-2"/>
    <n v="0.82424242424242422"/>
    <n v="0.2099992078371313"/>
  </r>
  <r>
    <n v="1745"/>
    <n v="0"/>
    <n v="269896"/>
    <n v="696"/>
    <n v="1482912"/>
    <n v="0"/>
    <n v="12604.79"/>
    <n v="10"/>
    <n v="9"/>
    <n v="186941"/>
    <n v="365024"/>
    <x v="5"/>
    <s v="ea180b24-4885-4db7-9994-cce672820151"/>
    <s v="консолидация кредитов"/>
    <s v="в аренде"/>
    <s v="краткосрочный"/>
    <x v="1"/>
    <b v="0"/>
    <n v="0.32331689413923614"/>
    <n v="0.66666666666666663"/>
    <n v="0.10200030750307504"/>
  </r>
  <r>
    <n v="1746"/>
    <n v="1"/>
    <m/>
    <n v="725"/>
    <n v="2531712"/>
    <n v="7"/>
    <n v="23418.26"/>
    <n v="15.4"/>
    <n v="11"/>
    <n v="445341"/>
    <n v="656898"/>
    <x v="7"/>
    <s v="08fe30ec-1bc5-4108-a10b-af01acfe22c9"/>
    <s v="консолидация кредитов"/>
    <s v="в аренде"/>
    <s v="краткосрочный"/>
    <x v="0"/>
    <b v="0"/>
    <m/>
    <n v="0.84242424242424241"/>
    <n v="0.11099963976945244"/>
  </r>
  <r>
    <n v="1747"/>
    <n v="0"/>
    <n v="360624"/>
    <n v="734"/>
    <n v="1206861"/>
    <n v="0"/>
    <n v="19510.91"/>
    <n v="15.2"/>
    <n v="14"/>
    <n v="342608"/>
    <n v="1035804"/>
    <x v="1"/>
    <s v="0cb93236-178f-4c4e-bd3e-483e49924f08"/>
    <s v="консолидация кредитов"/>
    <s v="в ипотеке"/>
    <s v="долгосрочный"/>
    <x v="0"/>
    <b v="0"/>
    <n v="0.44156439958710864"/>
    <n v="0.89696969696969697"/>
    <n v="0.19399990554007462"/>
  </r>
  <r>
    <n v="1748"/>
    <n v="0"/>
    <n v="359876"/>
    <n v="718"/>
    <n v="961571"/>
    <n v="37"/>
    <n v="24199.35"/>
    <n v="16.600000000000001"/>
    <n v="15"/>
    <n v="305900"/>
    <n v="587378"/>
    <x v="1"/>
    <s v="85d23b5e-2312-4e0a-89e6-3ffb241653d1"/>
    <s v="иное"/>
    <s v="в ипотеке"/>
    <s v="краткосрочный"/>
    <x v="0"/>
    <b v="0"/>
    <n v="0.44058951714646177"/>
    <n v="0.8"/>
    <n v="0.30199766839890135"/>
  </r>
  <r>
    <n v="1749"/>
    <n v="0"/>
    <n v="568656"/>
    <n v="690"/>
    <n v="1408033"/>
    <n v="0"/>
    <n v="27573.94"/>
    <n v="22.5"/>
    <n v="16"/>
    <n v="389234"/>
    <n v="519222"/>
    <x v="1"/>
    <s v="322db8fc-2a16-4349-9903-eb8f9d0dab92"/>
    <s v="консолидация кредитов"/>
    <s v="в ипотеке"/>
    <s v="долгосрочный"/>
    <x v="0"/>
    <b v="0"/>
    <n v="0.71269641013877738"/>
    <n v="0.63030303030303025"/>
    <n v="0.23499966264995209"/>
  </r>
  <r>
    <n v="1750"/>
    <n v="0"/>
    <n v="554510"/>
    <n v="732"/>
    <n v="1877181"/>
    <n v="0"/>
    <n v="27688.32"/>
    <n v="13.6"/>
    <n v="10"/>
    <n v="331854"/>
    <n v="499026"/>
    <x v="6"/>
    <s v="4fc0a4e1-30e1-4df5-bcb5-ec7db9fc1fd9"/>
    <s v="консолидация кредитов"/>
    <s v="в аренде"/>
    <s v="краткосрочный"/>
    <x v="1"/>
    <b v="0"/>
    <n v="0.69425966280536755"/>
    <n v="0.88484848484848488"/>
    <n v="0.17699936234172411"/>
  </r>
  <r>
    <n v="1751"/>
    <n v="0"/>
    <n v="402336"/>
    <n v="696"/>
    <n v="1544320"/>
    <n v="0"/>
    <n v="23035.98"/>
    <n v="12.2"/>
    <n v="9"/>
    <n v="324216"/>
    <n v="574002"/>
    <x v="6"/>
    <s v="1fab6177-f5c3-4f5d-8d6a-76fceb9054bb"/>
    <s v="консолидация кредитов"/>
    <s v="в аренде"/>
    <s v="долгосрочный"/>
    <x v="0"/>
    <b v="0"/>
    <n v="0.49592843215965132"/>
    <n v="0.66666666666666663"/>
    <n v="0.17899901574803151"/>
  </r>
  <r>
    <n v="1752"/>
    <n v="0"/>
    <n v="550330"/>
    <n v="733"/>
    <n v="1996197"/>
    <n v="0"/>
    <n v="7535.78"/>
    <n v="39.9"/>
    <n v="5"/>
    <n v="245423"/>
    <n v="631488"/>
    <x v="1"/>
    <s v="4ccbe775-c172-4f1f-8642-3831c4be2f2f"/>
    <s v="консолидация кредитов"/>
    <s v="в ипотеке"/>
    <s v="долгосрочный"/>
    <x v="0"/>
    <b v="0"/>
    <n v="0.68881179034292928"/>
    <n v="0.89090909090909087"/>
    <n v="4.5300819508295023E-2"/>
  </r>
  <r>
    <n v="1753"/>
    <n v="0"/>
    <n v="336490"/>
    <n v="686"/>
    <n v="1263538"/>
    <n v="24"/>
    <n v="25060.05"/>
    <n v="22.8"/>
    <n v="11"/>
    <n v="177498"/>
    <n v="276980"/>
    <x v="4"/>
    <s v="5505ca45-e465-42b1-9dbb-d434bae74e1d"/>
    <s v="консолидация кредитов"/>
    <s v="в ипотеке"/>
    <s v="долгосрочный"/>
    <x v="0"/>
    <b v="0"/>
    <n v="0.41011010436976719"/>
    <n v="0.60606060606060608"/>
    <n v="0.23799885717722777"/>
  </r>
  <r>
    <n v="1754"/>
    <n v="0"/>
    <n v="222860"/>
    <n v="723"/>
    <n v="1168044"/>
    <n v="72"/>
    <n v="9702.5400000000009"/>
    <n v="22"/>
    <n v="8"/>
    <n v="103740"/>
    <n v="165000"/>
    <x v="6"/>
    <s v="31d940d1-a325-4bf8-9eed-c71d7f9d4eaa"/>
    <s v="консолидация кредитов"/>
    <s v="в аренде"/>
    <s v="краткосрочный"/>
    <x v="0"/>
    <b v="0"/>
    <n v="0.26201399243032458"/>
    <n v="0.83030303030303032"/>
    <n v="9.9679875073199309E-2"/>
  </r>
  <r>
    <n v="1755"/>
    <n v="0"/>
    <n v="441408"/>
    <n v="738"/>
    <n v="868604"/>
    <n v="0"/>
    <n v="11943.21"/>
    <n v="28.8"/>
    <n v="7"/>
    <n v="327009"/>
    <n v="554378"/>
    <x v="1"/>
    <s v="295d68cc-7359-4604-96c2-2e0464dc5e5d"/>
    <s v="консолидация кредитов"/>
    <s v="в ипотеке"/>
    <s v="краткосрочный"/>
    <x v="1"/>
    <b v="0"/>
    <n v="0.54685170317696985"/>
    <n v="0.92121212121212126"/>
    <n v="0.16499868754921687"/>
  </r>
  <r>
    <n v="1756"/>
    <n v="0"/>
    <n v="261008"/>
    <n v="749"/>
    <n v="1744029"/>
    <n v="46"/>
    <n v="38368.6"/>
    <n v="13.2"/>
    <n v="18"/>
    <n v="140999"/>
    <n v="519970"/>
    <x v="5"/>
    <s v="03c4d4ba-1def-4e5d-b87e-3d62069d1660"/>
    <s v="консолидация кредитов"/>
    <s v="в ипотеке"/>
    <s v="краткосрочный"/>
    <x v="0"/>
    <b v="0"/>
    <n v="0.31173299690331457"/>
    <n v="0.98787878787878791"/>
    <n v="0.26399973853645781"/>
  </r>
  <r>
    <n v="1757"/>
    <n v="0"/>
    <n v="151118"/>
    <n v="738"/>
    <n v="932235"/>
    <n v="6"/>
    <n v="22140.51"/>
    <n v="9.9"/>
    <n v="15"/>
    <n v="14649"/>
    <n v="678744"/>
    <x v="1"/>
    <s v="5a0dd0f3-f6e4-4713-8e89-d695cb0e2ce9"/>
    <s v="консолидация кредитов"/>
    <s v="в аренде"/>
    <s v="краткосрочный"/>
    <x v="1"/>
    <b v="0"/>
    <n v="0.16851129716710633"/>
    <n v="0.92121212121212126"/>
    <n v="0.28499908284928155"/>
  </r>
  <r>
    <n v="1758"/>
    <n v="1"/>
    <n v="313698"/>
    <n v="747"/>
    <n v="1411035"/>
    <n v="68"/>
    <n v="19049.02"/>
    <n v="22.5"/>
    <n v="18"/>
    <n v="333830"/>
    <n v="686576"/>
    <x v="6"/>
    <s v="b33a9ce3-60a4-4e4f-8d8c-51c7944b4c0e"/>
    <s v="консолидация кредитов"/>
    <s v="в аренде"/>
    <s v="краткосрочный"/>
    <x v="1"/>
    <b v="0"/>
    <n v="0.38040486294299802"/>
    <n v="0.97575757575757571"/>
    <n v="0.1620004039587962"/>
  </r>
  <r>
    <n v="1759"/>
    <n v="0"/>
    <n v="614394"/>
    <n v="724"/>
    <n v="1705554"/>
    <n v="7"/>
    <n v="14639.31"/>
    <n v="16.600000000000001"/>
    <n v="14"/>
    <n v="489820"/>
    <n v="1136586"/>
    <x v="1"/>
    <s v="dec07619-7502-4afa-8066-bd69a8109611"/>
    <s v="консолидация кредитов"/>
    <s v="в ипотеке"/>
    <s v="краткосрочный"/>
    <x v="0"/>
    <b v="0"/>
    <n v="0.772307604083037"/>
    <n v="0.83636363636363631"/>
    <n v="0.10299979947864447"/>
  </r>
  <r>
    <n v="1760"/>
    <n v="0"/>
    <n v="199078"/>
    <n v="721"/>
    <n v="1031548"/>
    <n v="70"/>
    <n v="20716.84"/>
    <n v="37.1"/>
    <n v="10"/>
    <n v="163001"/>
    <n v="249986"/>
    <x v="1"/>
    <s v="bd1e4061-1540-4680-846c-316f10d23c63"/>
    <s v="консолидация кредитов"/>
    <s v="в аренде"/>
    <s v="краткосрочный"/>
    <x v="1"/>
    <b v="0"/>
    <n v="0.23101846542034637"/>
    <n v="0.81818181818181823"/>
    <n v="0.24099904221616447"/>
  </r>
  <r>
    <n v="1761"/>
    <n v="0"/>
    <n v="626098"/>
    <n v="748"/>
    <n v="2413950"/>
    <n v="0"/>
    <n v="21323.32"/>
    <n v="39.6"/>
    <n v="27"/>
    <n v="1261334"/>
    <n v="3502400"/>
    <x v="1"/>
    <s v="ee8d7b44-2acb-4285-853e-a3d9e4dd01b4"/>
    <s v="консолидация кредитов"/>
    <s v="в ипотеке"/>
    <s v="краткосрочный"/>
    <x v="0"/>
    <b v="0"/>
    <n v="0.78756164697786446"/>
    <n v="0.98181818181818181"/>
    <n v="0.10600047225501771"/>
  </r>
  <r>
    <n v="1762"/>
    <n v="0"/>
    <n v="54868"/>
    <n v="701"/>
    <n v="473822"/>
    <n v="0"/>
    <n v="3987.91"/>
    <n v="6.6"/>
    <n v="8"/>
    <n v="155572"/>
    <n v="296296"/>
    <x v="6"/>
    <s v="386fbae9-f1d7-4b31-bc8c-3b08e6c32cde"/>
    <s v="консолидация кредитов"/>
    <s v="в аренде"/>
    <s v="краткосрочный"/>
    <x v="0"/>
    <b v="0"/>
    <n v="4.3066865466223188E-2"/>
    <n v="0.69696969696969702"/>
    <n v="0.1009976742320956"/>
  </r>
  <r>
    <n v="1763"/>
    <n v="0"/>
    <n v="396484"/>
    <n v="723"/>
    <n v="1141368"/>
    <n v="44"/>
    <n v="23968.69"/>
    <n v="17"/>
    <n v="24"/>
    <n v="248938"/>
    <n v="557502"/>
    <x v="9"/>
    <s v="b7bd8b48-bd4f-4574-bed3-ccfc89c24233"/>
    <s v="консолидация кредитов"/>
    <s v="в ипотеке"/>
    <s v="краткосрочный"/>
    <x v="0"/>
    <b v="0"/>
    <n v="0.48830141071223765"/>
    <n v="0.83030303030303032"/>
    <n v="0.25199960047942466"/>
  </r>
  <r>
    <n v="1764"/>
    <n v="0"/>
    <n v="110726"/>
    <n v="710"/>
    <n v="1606526"/>
    <n v="0"/>
    <n v="16333.16"/>
    <n v="25.6"/>
    <n v="12"/>
    <n v="130663"/>
    <n v="239008"/>
    <x v="8"/>
    <s v="a912d984-3920-46d0-9b82-334da50596d2"/>
    <s v="ремонт жилья"/>
    <s v="в ипотеке"/>
    <s v="краткосрочный"/>
    <x v="1"/>
    <b v="0"/>
    <n v="0.11586764537217571"/>
    <n v="0.75151515151515147"/>
    <n v="0.12200108806206686"/>
  </r>
  <r>
    <n v="1765"/>
    <n v="0"/>
    <m/>
    <n v="740"/>
    <n v="1113438"/>
    <n v="0"/>
    <n v="28485.37"/>
    <n v="12.5"/>
    <n v="13"/>
    <n v="301625"/>
    <n v="481052"/>
    <x v="1"/>
    <s v="6a52efe8-8cea-460e-99f2-cabd86754fc4"/>
    <s v="консолидация кредитов"/>
    <s v="в ипотеке"/>
    <s v="краткосрочный"/>
    <x v="0"/>
    <b v="0"/>
    <m/>
    <n v="0.93333333333333335"/>
    <n v="0.30699907852974301"/>
  </r>
  <r>
    <n v="1766"/>
    <n v="0"/>
    <n v="379610"/>
    <n v="723"/>
    <n v="1168044"/>
    <n v="0"/>
    <n v="9838.58"/>
    <n v="20.9"/>
    <n v="9"/>
    <n v="130302"/>
    <n v="414480"/>
    <x v="1"/>
    <s v="728b75b1-a1eb-46e2-84e4-244ba0067b1f"/>
    <s v="консолидация кредитов"/>
    <s v="в ипотеке"/>
    <s v="долгосрочный"/>
    <x v="0"/>
    <b v="0"/>
    <n v="0.46630920977176282"/>
    <n v="0.83030303030303032"/>
    <n v="0.1010774936560609"/>
  </r>
  <r>
    <n v="1767"/>
    <n v="0"/>
    <m/>
    <n v="712"/>
    <n v="1490683"/>
    <n v="0"/>
    <n v="18384.97"/>
    <n v="24.8"/>
    <n v="15"/>
    <n v="290852"/>
    <n v="2118028"/>
    <x v="2"/>
    <s v="49814a80-cbd1-49cb-a490-890133c2bf47"/>
    <s v="консолидация кредитов"/>
    <s v="в аренде"/>
    <s v="краткосрочный"/>
    <x v="0"/>
    <b v="0"/>
    <m/>
    <n v="0.76363636363636367"/>
    <n v="0.14799903131651734"/>
  </r>
  <r>
    <n v="1768"/>
    <n v="0"/>
    <n v="729344"/>
    <n v="685"/>
    <n v="4673088"/>
    <n v="0"/>
    <n v="56076.98"/>
    <n v="8.1"/>
    <n v="9"/>
    <n v="620787"/>
    <n v="858792"/>
    <x v="5"/>
    <s v="992b007f-65e9-4673-9136-55062a615c1c"/>
    <s v="консолидация кредитов"/>
    <s v="в аренде"/>
    <s v="долгосрочный"/>
    <x v="0"/>
    <b v="1"/>
    <n v="0.92212409680009177"/>
    <n v="0.6"/>
    <n v="0.14399980483996877"/>
  </r>
  <r>
    <n v="1769"/>
    <n v="0"/>
    <n v="457666"/>
    <n v="745"/>
    <n v="3293745"/>
    <n v="76"/>
    <n v="51602.1"/>
    <n v="19.7"/>
    <n v="22"/>
    <n v="640338"/>
    <n v="924484"/>
    <x v="9"/>
    <s v="acffb102-0839-4764-86f4-e76bffbf69df"/>
    <s v="консолидация кредитов"/>
    <s v="в ипотеке"/>
    <s v="краткосрочный"/>
    <x v="0"/>
    <b v="1"/>
    <n v="0.56804105975455899"/>
    <n v="0.96363636363636362"/>
    <n v="0.18800034611058233"/>
  </r>
  <r>
    <n v="1770"/>
    <n v="0"/>
    <n v="151272"/>
    <n v="698"/>
    <n v="1022846"/>
    <n v="0"/>
    <n v="4185.13"/>
    <n v="10.3"/>
    <n v="6"/>
    <n v="101422"/>
    <n v="131384"/>
    <x v="1"/>
    <s v="e13b36eb-1f88-4b41-8827-b1133c8bfb38"/>
    <s v="иное"/>
    <s v="в ипотеке"/>
    <s v="краткосрочный"/>
    <x v="0"/>
    <b v="0"/>
    <n v="0.16871200825782773"/>
    <n v="0.67878787878787883"/>
    <n v="4.9099825389159267E-2"/>
  </r>
  <r>
    <n v="1771"/>
    <n v="0"/>
    <n v="755150"/>
    <n v="723"/>
    <n v="1490664"/>
    <n v="42"/>
    <n v="24720.33"/>
    <n v="25.8"/>
    <n v="14"/>
    <n v="949924"/>
    <n v="1964138"/>
    <x v="1"/>
    <s v="206499dc-8502-434b-a892-74231226cb29"/>
    <s v="консолидация кредитов"/>
    <s v="в ипотеке"/>
    <s v="долгосрочный"/>
    <x v="0"/>
    <b v="0"/>
    <n v="0.95575754100240851"/>
    <n v="0.83030303030303032"/>
    <n v="0.19900122361578465"/>
  </r>
  <r>
    <n v="1772"/>
    <n v="0"/>
    <n v="267388"/>
    <n v="745"/>
    <n v="2309184"/>
    <n v="0"/>
    <n v="20205.36"/>
    <n v="9.8000000000000007"/>
    <n v="12"/>
    <n v="80940"/>
    <n v="737924"/>
    <x v="2"/>
    <s v="d25bc86d-2a6f-4853-b064-ec966a73ceff"/>
    <s v="иное"/>
    <s v="в аренде"/>
    <s v="краткосрочный"/>
    <x v="0"/>
    <b v="0"/>
    <n v="0.32004817066177316"/>
    <n v="0.96363636363636362"/>
    <n v="0.105"/>
  </r>
  <r>
    <n v="1773"/>
    <n v="0"/>
    <n v="80102"/>
    <n v="747"/>
    <n v="1479530"/>
    <n v="0"/>
    <n v="12452.6"/>
    <n v="15.2"/>
    <n v="7"/>
    <n v="198778"/>
    <n v="582692"/>
    <x v="5"/>
    <s v="5d789cde-6e92-4d61-a1a8-da8dd8c3668e"/>
    <s v="консолидация кредитов"/>
    <s v="в аренде"/>
    <s v="краткосрочный"/>
    <x v="0"/>
    <b v="0"/>
    <n v="7.5954811331574723E-2"/>
    <n v="0.97575757575757571"/>
    <n v="0.10099910106587903"/>
  </r>
  <r>
    <n v="1774"/>
    <n v="0"/>
    <n v="288222"/>
    <n v="659"/>
    <n v="734027"/>
    <n v="0"/>
    <n v="20002.439999999999"/>
    <n v="8.9"/>
    <n v="24"/>
    <n v="52383"/>
    <n v="196262"/>
    <x v="6"/>
    <s v="7c8ca538-9ede-4473-b978-e8de6cace8f0"/>
    <s v="консолидация кредитов"/>
    <s v="в аренде"/>
    <s v="краткосрочный"/>
    <x v="1"/>
    <b v="0"/>
    <n v="0.3472015139350843"/>
    <n v="0.44242424242424244"/>
    <n v="0.32700333911422874"/>
  </r>
  <r>
    <n v="1775"/>
    <n v="0"/>
    <n v="419298"/>
    <n v="687"/>
    <n v="1524712"/>
    <n v="0"/>
    <n v="24268.32"/>
    <n v="10.5"/>
    <n v="11"/>
    <n v="208658"/>
    <n v="399344"/>
    <x v="1"/>
    <s v="ed635a2a-c667-45e4-9c56-a03c5af5fb97"/>
    <s v="консолидация кредитов"/>
    <s v="в ипотеке"/>
    <s v="долгосрочный"/>
    <x v="1"/>
    <b v="0"/>
    <n v="0.51803532515196693"/>
    <n v="0.61212121212121207"/>
    <n v="0.19099990030904199"/>
  </r>
  <r>
    <n v="1776"/>
    <n v="0"/>
    <n v="76186"/>
    <n v="705"/>
    <n v="451117"/>
    <n v="26"/>
    <n v="3740.53"/>
    <n v="14.8"/>
    <n v="9"/>
    <n v="99636"/>
    <n v="226226"/>
    <x v="5"/>
    <s v="d438794b-f38a-4784-a6e6-ca98a1201e08"/>
    <s v="консолидация кредитов"/>
    <s v="в ипотеке"/>
    <s v="краткосрочный"/>
    <x v="1"/>
    <b v="0"/>
    <n v="7.0851015024658792E-2"/>
    <n v="0.72121212121212119"/>
    <n v="9.950048435328307E-2"/>
  </r>
  <r>
    <n v="1777"/>
    <n v="0"/>
    <n v="105248"/>
    <n v="652"/>
    <n v="1117181"/>
    <n v="0"/>
    <n v="31560.52"/>
    <n v="15"/>
    <n v="25"/>
    <n v="403180"/>
    <n v="745734"/>
    <x v="5"/>
    <s v="04e5927e-4063-4b87-96bc-b0926869c8dd"/>
    <s v="иное"/>
    <s v="в аренде"/>
    <s v="краткосрочный"/>
    <x v="1"/>
    <b v="0"/>
    <n v="0.10872806514508544"/>
    <n v="0.4"/>
    <n v="0.33900168370210376"/>
  </r>
  <r>
    <n v="1778"/>
    <n v="1"/>
    <n v="184536"/>
    <n v="723"/>
    <n v="1168044"/>
    <n v="0"/>
    <n v="15721.17"/>
    <n v="18.5"/>
    <n v="10"/>
    <n v="55138"/>
    <n v="249392"/>
    <x v="2"/>
    <s v="e505cd69-a36a-4b1c-94a3-2a0a52ceb2db"/>
    <s v="консолидация кредитов"/>
    <s v="в ипотеке"/>
    <s v="краткосрочный"/>
    <x v="0"/>
    <b v="0"/>
    <n v="0.21206560385365295"/>
    <n v="0.83030303030303032"/>
    <n v="0.16151278547725942"/>
  </r>
  <r>
    <n v="1779"/>
    <n v="0"/>
    <m/>
    <n v="637"/>
    <n v="1482760"/>
    <n v="0"/>
    <n v="10552.22"/>
    <n v="8.1999999999999993"/>
    <n v="5"/>
    <n v="22724"/>
    <n v="268488"/>
    <x v="9"/>
    <s v="9b4868dc-715f-430c-b461-8325ee04a193"/>
    <s v="медицинские препараты"/>
    <s v="в аренде"/>
    <s v="долгосрочный"/>
    <x v="0"/>
    <b v="0"/>
    <m/>
    <n v="0.30909090909090908"/>
    <n v="8.5399282419272166E-2"/>
  </r>
  <r>
    <n v="1780"/>
    <n v="0"/>
    <n v="353628"/>
    <n v="723"/>
    <n v="1168044"/>
    <n v="23"/>
    <n v="24350.78"/>
    <n v="26.9"/>
    <n v="10"/>
    <n v="299060"/>
    <n v="490490"/>
    <x v="3"/>
    <s v="1836a793-fa6b-4635-a62a-c03b18806975"/>
    <s v="консолидация кредитов"/>
    <s v="в ипотеке"/>
    <s v="краткосрочный"/>
    <x v="0"/>
    <b v="0"/>
    <n v="0.43244638146576442"/>
    <n v="0.83030303030303032"/>
    <n v="0.25016982236970525"/>
  </r>
  <r>
    <n v="1781"/>
    <n v="0"/>
    <n v="620488"/>
    <n v="723"/>
    <n v="1168044"/>
    <n v="7"/>
    <n v="35051.01"/>
    <n v="14.2"/>
    <n v="7"/>
    <n v="141987"/>
    <n v="233508"/>
    <x v="1"/>
    <s v="173110ca-491c-415b-97af-1acbfe0243a4"/>
    <s v="консолидация кредитов"/>
    <s v="в ипотеке"/>
    <s v="долгосрочный"/>
    <x v="0"/>
    <b v="0"/>
    <n v="0.78025002867301296"/>
    <n v="0.83030303030303032"/>
    <n v="0.36009955104431002"/>
  </r>
  <r>
    <n v="1782"/>
    <n v="0"/>
    <n v="266486"/>
    <n v="706"/>
    <n v="1304141"/>
    <n v="0"/>
    <n v="28147.93"/>
    <n v="16.399999999999999"/>
    <n v="10"/>
    <n v="761672"/>
    <n v="1070322"/>
    <x v="1"/>
    <s v="df37ec52-079d-4fe1-ac3e-9af957a1e86c"/>
    <s v="путешествие"/>
    <s v="в ипотеке"/>
    <s v="краткосрочный"/>
    <x v="0"/>
    <b v="0"/>
    <n v="0.31887257713040484"/>
    <n v="0.72727272727272729"/>
    <n v="0.25900202508777809"/>
  </r>
  <r>
    <n v="1783"/>
    <n v="0"/>
    <n v="224994"/>
    <n v="735"/>
    <n v="1282462"/>
    <n v="14"/>
    <n v="17740.87"/>
    <n v="14.7"/>
    <n v="17"/>
    <n v="274189"/>
    <n v="851180"/>
    <x v="3"/>
    <s v="15979d91-955d-4351-8a60-e97babba6c68"/>
    <s v="консолидация кредитов"/>
    <s v="в ипотеке"/>
    <s v="краткосрочный"/>
    <x v="0"/>
    <b v="0"/>
    <n v="0.26479527468746417"/>
    <n v="0.90303030303030307"/>
    <n v="0.16600136300334825"/>
  </r>
  <r>
    <n v="1784"/>
    <n v="0"/>
    <m/>
    <n v="729"/>
    <n v="629698"/>
    <n v="46"/>
    <n v="13066.11"/>
    <n v="28.1"/>
    <n v="7"/>
    <n v="240331"/>
    <n v="302808"/>
    <x v="8"/>
    <s v="84a8f87f-fbed-46d2-8342-ca36513ac4a1"/>
    <s v="консолидация кредитов"/>
    <s v="в аренде"/>
    <s v="краткосрочный"/>
    <x v="0"/>
    <b v="0"/>
    <m/>
    <n v="0.8666666666666667"/>
    <n v="0.24899764649085751"/>
  </r>
  <r>
    <n v="1785"/>
    <n v="0"/>
    <n v="176836"/>
    <n v="723"/>
    <n v="1168044"/>
    <n v="39"/>
    <n v="16852.810000000001"/>
    <n v="14.8"/>
    <n v="9"/>
    <n v="154280"/>
    <n v="207724"/>
    <x v="4"/>
    <s v="0bf8e7e8-371a-4575-9f5c-32617c8d16ff"/>
    <s v="консолидация кредитов"/>
    <s v="в аренде"/>
    <s v="краткосрочный"/>
    <x v="0"/>
    <b v="0"/>
    <n v="0.20203004931758228"/>
    <n v="0.83030303030303032"/>
    <n v="0.17313878586765569"/>
  </r>
  <r>
    <n v="1786"/>
    <n v="0"/>
    <m/>
    <n v="721"/>
    <n v="2344429"/>
    <n v="21"/>
    <n v="13597.73"/>
    <n v="13.2"/>
    <n v="10"/>
    <n v="234213"/>
    <n v="376134"/>
    <x v="5"/>
    <s v="a88f81dd-63e9-4ee0-b6b5-b544cee9a644"/>
    <s v="ремонт жилья"/>
    <s v="в аренде"/>
    <s v="краткосрочный"/>
    <x v="0"/>
    <b v="0"/>
    <m/>
    <n v="0.81818181818181823"/>
    <n v="6.9600213954016096E-2"/>
  </r>
  <r>
    <n v="1787"/>
    <n v="0"/>
    <n v="206382"/>
    <n v="665"/>
    <n v="1336802"/>
    <n v="0"/>
    <n v="22168.82"/>
    <n v="15.9"/>
    <n v="16"/>
    <n v="846222"/>
    <n v="1092344"/>
    <x v="1"/>
    <s v="7d33560e-5b32-4864-a54b-a5bf715bd882"/>
    <s v="иное"/>
    <s v="в собственности"/>
    <s v="краткосрочный"/>
    <x v="0"/>
    <b v="0"/>
    <n v="0.24053790572313338"/>
    <n v="0.47878787878787876"/>
    <n v="0.19900167713692826"/>
  </r>
  <r>
    <n v="1788"/>
    <n v="0"/>
    <n v="297330"/>
    <n v="732"/>
    <n v="803035"/>
    <n v="0"/>
    <n v="9034.1200000000008"/>
    <n v="11.1"/>
    <n v="9"/>
    <n v="213237"/>
    <n v="447282"/>
    <x v="1"/>
    <s v="c1df0fdb-52a5-4e7d-a420-01751a56e47e"/>
    <s v="ремонт жилья"/>
    <s v="в ипотеке"/>
    <s v="краткосрочный"/>
    <x v="1"/>
    <b v="0"/>
    <n v="0.35907214130060788"/>
    <n v="0.88484848484848488"/>
    <n v="0.13499964509641549"/>
  </r>
  <r>
    <n v="1789"/>
    <n v="0"/>
    <n v="766920"/>
    <n v="723"/>
    <n v="1168044"/>
    <n v="7"/>
    <n v="43296.63"/>
    <n v="18.5"/>
    <n v="15"/>
    <n v="125780"/>
    <n v="241538"/>
    <x v="0"/>
    <s v="22bfc751-6e54-4906-81b1-02a8c53236c5"/>
    <s v="консолидация кредитов"/>
    <s v="в ипотеке"/>
    <s v="краткосрочный"/>
    <x v="0"/>
    <b v="0"/>
    <n v="0.97109760293611658"/>
    <n v="0.83030303030303032"/>
    <n v="0.4448116338083154"/>
  </r>
  <r>
    <n v="1790"/>
    <n v="0"/>
    <n v="720126"/>
    <n v="676"/>
    <n v="1920919"/>
    <n v="5"/>
    <n v="31855.21"/>
    <n v="24.3"/>
    <n v="25"/>
    <n v="554401"/>
    <n v="1017346"/>
    <x v="1"/>
    <s v="903248cd-fa88-4cfc-9a3b-87ad94994897"/>
    <s v="консолидация кредитов"/>
    <s v="в собственности"/>
    <s v="краткосрочный"/>
    <x v="0"/>
    <b v="0"/>
    <n v="0.91011010436976714"/>
    <n v="0.54545454545454541"/>
    <n v="0.19899981206911899"/>
  </r>
  <r>
    <n v="1791"/>
    <n v="0"/>
    <n v="177276"/>
    <n v="723"/>
    <n v="1168044"/>
    <n v="23"/>
    <n v="15507.04"/>
    <n v="20.100000000000001"/>
    <n v="9"/>
    <n v="127376"/>
    <n v="203984"/>
    <x v="5"/>
    <s v="0194e40b-d2a8-4410-b580-2931b30d868b"/>
    <s v="консолидация кредитов"/>
    <s v="в ипотеке"/>
    <s v="краткосрочный"/>
    <x v="0"/>
    <b v="0"/>
    <n v="0.20260350957678633"/>
    <n v="0.83030303030303032"/>
    <n v="0.15931290259613509"/>
  </r>
  <r>
    <n v="1792"/>
    <n v="0"/>
    <n v="400708"/>
    <n v="723"/>
    <n v="1168044"/>
    <n v="6"/>
    <n v="8381.66"/>
    <n v="34.1"/>
    <n v="14"/>
    <n v="176073"/>
    <n v="350284"/>
    <x v="1"/>
    <s v="8db74807-7972-49d4-9285-ae960e18451d"/>
    <s v="консолидация кредитов"/>
    <s v="в ипотеке"/>
    <s v="краткосрочный"/>
    <x v="1"/>
    <b v="0"/>
    <n v="0.49380662920059643"/>
    <n v="0.83030303030303032"/>
    <n v="8.6109701346867074E-2"/>
  </r>
  <r>
    <n v="1793"/>
    <n v="0"/>
    <n v="393778"/>
    <n v="710"/>
    <n v="1757101"/>
    <n v="38"/>
    <n v="15667.59"/>
    <n v="19.600000000000001"/>
    <n v="9"/>
    <n v="286539"/>
    <n v="282128"/>
    <x v="7"/>
    <s v="80caf145-783c-4f8d-aa6a-bd2d57e89c56"/>
    <s v="консолидация кредитов"/>
    <s v="в ипотеке"/>
    <s v="краткосрочный"/>
    <x v="0"/>
    <b v="0"/>
    <n v="0.48477463011813282"/>
    <n v="0.75151515151515147"/>
    <n v="0.10700072448880285"/>
  </r>
  <r>
    <n v="1794"/>
    <n v="1"/>
    <n v="370282"/>
    <n v="680"/>
    <n v="999001"/>
    <n v="0"/>
    <n v="11155.47"/>
    <n v="15.5"/>
    <n v="10"/>
    <n v="26904"/>
    <n v="255288"/>
    <x v="2"/>
    <s v="cac82069-9262-42f7-b497-c5e38d7c743b"/>
    <s v="консолидация кредитов"/>
    <s v="в ипотеке"/>
    <s v="долгосрочный"/>
    <x v="1"/>
    <b v="0"/>
    <n v="0.45415185227663724"/>
    <n v="0.5696969696969697"/>
    <n v="0.13399950550600048"/>
  </r>
  <r>
    <n v="1795"/>
    <n v="1"/>
    <n v="436876"/>
    <n v="721"/>
    <n v="886654"/>
    <n v="54"/>
    <n v="11305"/>
    <n v="25.5"/>
    <n v="10"/>
    <n v="364667"/>
    <n v="497926"/>
    <x v="1"/>
    <s v="15e77ff6-fe81-4749-b5ab-182542d22e8a"/>
    <s v="консолидация кредитов"/>
    <s v="в аренде"/>
    <s v="долгосрочный"/>
    <x v="0"/>
    <b v="0"/>
    <n v="0.54094506250716823"/>
    <n v="0.81818181818181823"/>
    <n v="0.15300218574551067"/>
  </r>
  <r>
    <n v="1796"/>
    <n v="0"/>
    <n v="270204"/>
    <n v="749"/>
    <n v="1633506"/>
    <n v="14"/>
    <n v="31308.959999999999"/>
    <n v="19.5"/>
    <n v="15"/>
    <n v="605777"/>
    <n v="1209362"/>
    <x v="7"/>
    <s v="b46d7e04-32da-405c-9396-4225cfeb94fc"/>
    <s v="консолидация кредитов"/>
    <s v="в ипотеке"/>
    <s v="краткосрочный"/>
    <x v="0"/>
    <b v="0"/>
    <n v="0.32371831632067899"/>
    <n v="0.98787878787878791"/>
    <n v="0.2300006978854072"/>
  </r>
  <r>
    <n v="1797"/>
    <n v="0"/>
    <n v="87934"/>
    <n v="729"/>
    <n v="1180964"/>
    <n v="0"/>
    <n v="23521.05"/>
    <n v="16.3"/>
    <n v="5"/>
    <n v="457254"/>
    <n v="545270"/>
    <x v="1"/>
    <s v="cf80b3b2-3622-46a0-8bf6-f92bf329c3c7"/>
    <s v="консолидация кредитов"/>
    <s v="в собственности"/>
    <s v="краткосрочный"/>
    <x v="0"/>
    <b v="0"/>
    <n v="8.6162403945406585E-2"/>
    <n v="0.8666666666666667"/>
    <n v="0.23900186627196085"/>
  </r>
  <r>
    <n v="1798"/>
    <n v="0"/>
    <m/>
    <n v="744"/>
    <n v="1186322"/>
    <n v="0"/>
    <n v="13593.17"/>
    <n v="37"/>
    <n v="17"/>
    <n v="390127"/>
    <n v="955064"/>
    <x v="2"/>
    <s v="de9bfee2-6db8-430a-ab5a-f6430a0a93cc"/>
    <s v="консолидация кредитов"/>
    <s v="в аренде"/>
    <s v="краткосрочный"/>
    <x v="0"/>
    <b v="0"/>
    <m/>
    <n v="0.95757575757575752"/>
    <n v="0.13749895896729555"/>
  </r>
  <r>
    <n v="1799"/>
    <n v="1"/>
    <n v="220176"/>
    <n v="747"/>
    <n v="1357683"/>
    <n v="0"/>
    <n v="10420.36"/>
    <n v="23.7"/>
    <n v="14"/>
    <n v="444448"/>
    <n v="1111484"/>
    <x v="1"/>
    <s v="bb94fa1f-3774-4f49-925d-d9adb7dfa19a"/>
    <s v="консолидация кредитов"/>
    <s v="в ипотеке"/>
    <s v="краткосрочный"/>
    <x v="0"/>
    <b v="0"/>
    <n v="0.25851588484917998"/>
    <n v="0.97575757575757571"/>
    <n v="9.2101263697048574E-2"/>
  </r>
  <r>
    <n v="1800"/>
    <n v="0"/>
    <n v="499884"/>
    <n v="737"/>
    <n v="1126206"/>
    <n v="0"/>
    <n v="28061.29"/>
    <n v="19.7"/>
    <n v="7"/>
    <n v="126939"/>
    <n v="347490"/>
    <x v="1"/>
    <s v="e91506f3-e37a-4025-ab10-407a25f8cb14"/>
    <s v="консолидация кредитов"/>
    <s v="в ипотеке"/>
    <s v="долгосрочный"/>
    <x v="0"/>
    <b v="0"/>
    <n v="0.62306457162518636"/>
    <n v="0.91515151515151516"/>
    <n v="0.29899989877517968"/>
  </r>
  <r>
    <n v="1801"/>
    <n v="0"/>
    <n v="109780"/>
    <n v="748"/>
    <n v="2028934"/>
    <n v="0"/>
    <n v="45989.120000000003"/>
    <n v="22.2"/>
    <n v="12"/>
    <n v="1617375"/>
    <n v="3885398"/>
    <x v="1"/>
    <s v="5ce0f793-44ef-494d-8105-5cc4ba5622e2"/>
    <s v="консолидация кредитов"/>
    <s v="в собственности"/>
    <s v="краткосрочный"/>
    <x v="0"/>
    <b v="1"/>
    <n v="0.11463470581488702"/>
    <n v="0.98181818181818181"/>
    <n v="0.27199970033524995"/>
  </r>
  <r>
    <n v="1802"/>
    <n v="0"/>
    <n v="433466"/>
    <n v="748"/>
    <n v="947720"/>
    <n v="58"/>
    <n v="12162.47"/>
    <n v="15.9"/>
    <n v="11"/>
    <n v="255683"/>
    <n v="627198"/>
    <x v="10"/>
    <s v="29911bdf-fafc-49a2-a45c-a854ff0f444f"/>
    <s v="консолидация кредитов"/>
    <s v="в ипотеке"/>
    <s v="краткосрочный"/>
    <x v="0"/>
    <b v="0"/>
    <n v="0.53650074549833693"/>
    <n v="0.98181818181818181"/>
    <n v="0.15400080192461907"/>
  </r>
  <r>
    <n v="1803"/>
    <n v="0"/>
    <n v="660132"/>
    <n v="714"/>
    <n v="1520304"/>
    <n v="78"/>
    <n v="30532.81"/>
    <n v="12.6"/>
    <n v="11"/>
    <n v="430559"/>
    <n v="761112"/>
    <x v="7"/>
    <s v="bf87fb55-da6c-4fc8-ad65-56ccb8aae0f8"/>
    <s v="консолидация кредитов"/>
    <s v="в ипотеке"/>
    <s v="долгосрочный"/>
    <x v="0"/>
    <b v="0"/>
    <n v="0.83191879802729674"/>
    <n v="0.77575757575757576"/>
    <n v="0.24100029994001201"/>
  </r>
  <r>
    <n v="1804"/>
    <n v="0"/>
    <n v="232540"/>
    <n v="723"/>
    <n v="1168044"/>
    <n v="0"/>
    <n v="18534.12"/>
    <n v="13.4"/>
    <n v="13"/>
    <n v="159847"/>
    <n v="253902"/>
    <x v="1"/>
    <s v="07c42abf-3348-4081-8c53-e45d06833ecc"/>
    <s v="консолидация кредитов"/>
    <s v="в аренде"/>
    <s v="краткосрочный"/>
    <x v="1"/>
    <b v="0"/>
    <n v="0.27463011813281341"/>
    <n v="0.83030303030303032"/>
    <n v="0.19041186804606675"/>
  </r>
  <r>
    <n v="1805"/>
    <n v="1"/>
    <n v="269852"/>
    <n v="709"/>
    <n v="1495471"/>
    <n v="0"/>
    <n v="10505.86"/>
    <n v="19.3"/>
    <n v="6"/>
    <n v="178505"/>
    <n v="283536"/>
    <x v="5"/>
    <s v="f95c7892-188a-472f-ad85-39dec27ffe67"/>
    <s v="консолидация кредитов"/>
    <s v="в аренде"/>
    <s v="долгосрочный"/>
    <x v="0"/>
    <b v="0"/>
    <n v="0.32325954811331575"/>
    <n v="0.74545454545454548"/>
    <n v="8.4301414069547331E-2"/>
  </r>
  <r>
    <n v="1806"/>
    <n v="0"/>
    <n v="467082"/>
    <n v="724"/>
    <n v="1260574"/>
    <n v="0"/>
    <n v="9391.1299999999992"/>
    <n v="23.6"/>
    <n v="6"/>
    <n v="103550"/>
    <n v="224510"/>
    <x v="1"/>
    <s v="f1c23786-bf76-48be-8b27-9da9ee7e5a26"/>
    <s v="консолидация кредитов"/>
    <s v="в ипотеке"/>
    <s v="долгосрочный"/>
    <x v="0"/>
    <b v="0"/>
    <n v="0.58031310930152535"/>
    <n v="0.83636363636363631"/>
    <n v="8.9398607301118371E-2"/>
  </r>
  <r>
    <n v="1807"/>
    <n v="0"/>
    <n v="183744"/>
    <n v="723"/>
    <n v="1168044"/>
    <n v="0"/>
    <n v="16860.79"/>
    <n v="12.8"/>
    <n v="8"/>
    <n v="165680"/>
    <n v="266794"/>
    <x v="5"/>
    <s v="9c58ff57-72a5-4b56-ac26-9cca7e7d89db"/>
    <s v="консолидация кредитов"/>
    <s v="в аренде"/>
    <s v="краткосрочный"/>
    <x v="1"/>
    <b v="0"/>
    <n v="0.21103337538708566"/>
    <n v="0.83030303030303032"/>
    <n v="0.17322076908061684"/>
  </r>
  <r>
    <n v="1808"/>
    <n v="0"/>
    <n v="377190"/>
    <n v="700"/>
    <n v="4690454"/>
    <n v="9"/>
    <n v="26969.93"/>
    <n v="21.9"/>
    <n v="11"/>
    <n v="280174"/>
    <n v="483472"/>
    <x v="7"/>
    <s v="33eaf352-8701-497e-b4e9-0442605335ce"/>
    <s v="консолидация кредитов"/>
    <s v="в ипотеке"/>
    <s v="долгосрочный"/>
    <x v="1"/>
    <b v="0"/>
    <n v="0.46315517834614062"/>
    <n v="0.69090909090909092"/>
    <n v="6.8999538211013262E-2"/>
  </r>
  <r>
    <n v="1809"/>
    <n v="0"/>
    <n v="314468"/>
    <n v="629"/>
    <n v="921462"/>
    <n v="0"/>
    <n v="13668.22"/>
    <n v="26.5"/>
    <n v="17"/>
    <n v="193458"/>
    <n v="520960"/>
    <x v="9"/>
    <s v="d5bfc52d-e31b-4990-be6a-6d9299706138"/>
    <s v="консолидация кредитов"/>
    <s v="в ипотеке"/>
    <s v="долгосрочный"/>
    <x v="0"/>
    <b v="0"/>
    <n v="0.38140841839660511"/>
    <n v="0.26060606060606062"/>
    <n v="0.17799826796981319"/>
  </r>
  <r>
    <n v="1810"/>
    <n v="1"/>
    <n v="135102"/>
    <n v="727"/>
    <n v="795511"/>
    <n v="0"/>
    <n v="18562.240000000002"/>
    <n v="15"/>
    <n v="12"/>
    <n v="155572"/>
    <n v="286374"/>
    <x v="0"/>
    <s v="fd202d91-4d91-42e3-88f7-eb38ba631d14"/>
    <s v="консолидация кредитов"/>
    <s v="в ипотеке"/>
    <s v="краткосрочный"/>
    <x v="1"/>
    <b v="0"/>
    <n v="0.14763734373207937"/>
    <n v="0.8545454545454545"/>
    <n v="0.28000477680384062"/>
  </r>
  <r>
    <n v="1811"/>
    <n v="0"/>
    <n v="259116"/>
    <n v="735"/>
    <n v="2237820"/>
    <n v="14"/>
    <n v="19953.990000000002"/>
    <n v="21.6"/>
    <n v="9"/>
    <n v="485241"/>
    <n v="855162"/>
    <x v="4"/>
    <s v="3657dc46-f5a6-419f-b835-f942cc5e381d"/>
    <s v="иное"/>
    <s v="в аренде"/>
    <s v="краткосрочный"/>
    <x v="0"/>
    <b v="0"/>
    <n v="0.30926711778873722"/>
    <n v="0.90303030303030307"/>
    <n v="0.10700050942435049"/>
  </r>
  <r>
    <n v="1812"/>
    <n v="0"/>
    <n v="249194"/>
    <n v="738"/>
    <n v="1056818"/>
    <n v="0"/>
    <n v="23249.73"/>
    <n v="15.8"/>
    <n v="15"/>
    <n v="587556"/>
    <n v="1391258"/>
    <x v="8"/>
    <s v="4224da98-3662-4e91-9cff-1c7d2af1bbb4"/>
    <s v="консолидация кредитов"/>
    <s v="в аренде"/>
    <s v="долгосрочный"/>
    <x v="0"/>
    <b v="0"/>
    <n v="0.29633558894368622"/>
    <n v="0.92121212121212126"/>
    <n v="0.26399697961238355"/>
  </r>
  <r>
    <n v="1813"/>
    <n v="0"/>
    <n v="265342"/>
    <n v="738"/>
    <n v="1283127"/>
    <n v="8"/>
    <n v="23737.84"/>
    <n v="27.4"/>
    <n v="18"/>
    <n v="147592"/>
    <n v="336446"/>
    <x v="1"/>
    <s v="443fea84-3ddf-4472-8bc8-e4db719b3d35"/>
    <s v="консолидация кредитов"/>
    <s v="в аренде"/>
    <s v="краткосрочный"/>
    <x v="0"/>
    <b v="0"/>
    <n v="0.31738158045647435"/>
    <n v="0.92121212121212126"/>
    <n v="0.22199991115454668"/>
  </r>
  <r>
    <n v="1814"/>
    <n v="0"/>
    <n v="129514"/>
    <n v="723"/>
    <n v="1168044"/>
    <n v="22"/>
    <n v="310.64999999999998"/>
    <n v="10.4"/>
    <n v="6"/>
    <n v="0"/>
    <n v="0"/>
    <x v="5"/>
    <s v="d6c644f0-2da9-4fd6-bf82-c9e1a1d4157f"/>
    <s v="консолидация кредитов"/>
    <s v="в аренде"/>
    <s v="краткосрочный"/>
    <x v="0"/>
    <b v="0"/>
    <n v="0.1403543984401881"/>
    <n v="0.83030303030303032"/>
    <n v="3.1914893617021275E-3"/>
  </r>
  <r>
    <n v="1815"/>
    <n v="0"/>
    <n v="446908"/>
    <n v="685"/>
    <n v="1583935"/>
    <n v="25"/>
    <n v="27718.91"/>
    <n v="18.899999999999999"/>
    <n v="16"/>
    <n v="383401"/>
    <n v="546062"/>
    <x v="8"/>
    <s v="8d8f2eae-fe09-4cbe-bc84-3f9f9d374cf6"/>
    <s v="консолидация кредитов"/>
    <s v="в аренде"/>
    <s v="долгосрочный"/>
    <x v="0"/>
    <b v="0"/>
    <n v="0.55401995641702029"/>
    <n v="0.6"/>
    <n v="0.21000035986325194"/>
  </r>
  <r>
    <n v="1816"/>
    <n v="0"/>
    <n v="563530"/>
    <n v="738"/>
    <n v="2316613"/>
    <n v="0"/>
    <n v="26641.23"/>
    <n v="22"/>
    <n v="9"/>
    <n v="514634"/>
    <n v="1398826"/>
    <x v="1"/>
    <s v="417671d7-7f78-4710-8ecf-8c69136c5a4c"/>
    <s v="консолидация кредитов"/>
    <s v="в собственности"/>
    <s v="долгосрочный"/>
    <x v="0"/>
    <b v="0"/>
    <n v="0.70601559811905035"/>
    <n v="0.92121212121212126"/>
    <n v="0.13800093498568816"/>
  </r>
  <r>
    <n v="1817"/>
    <n v="0"/>
    <n v="421806"/>
    <n v="723"/>
    <n v="1168044"/>
    <n v="57"/>
    <n v="10571.41"/>
    <n v="16.5"/>
    <n v="13"/>
    <n v="229387"/>
    <n v="416966"/>
    <x v="10"/>
    <s v="599d3182-737c-4f11-864d-97f4da680f8c"/>
    <s v="консолидация кредитов"/>
    <s v="в ипотеке"/>
    <s v="долгосрочный"/>
    <x v="1"/>
    <b v="0"/>
    <n v="0.52130404862943003"/>
    <n v="0.83030303030303032"/>
    <n v="0.10860628537966036"/>
  </r>
  <r>
    <n v="1818"/>
    <n v="0"/>
    <n v="535084"/>
    <n v="682"/>
    <n v="1347822"/>
    <n v="8"/>
    <n v="26282.51"/>
    <n v="18.399999999999999"/>
    <n v="10"/>
    <n v="254619"/>
    <n v="341242"/>
    <x v="1"/>
    <s v="4a21cd29-1a0a-4a64-8431-6dff208b636f"/>
    <s v="консолидация кредитов"/>
    <s v="в ипотеке"/>
    <s v="долгосрочный"/>
    <x v="1"/>
    <b v="0"/>
    <n v="0.6689413923615094"/>
    <n v="0.58181818181818179"/>
    <n v="0.23399983083819673"/>
  </r>
  <r>
    <n v="1819"/>
    <n v="0"/>
    <n v="111826"/>
    <n v="744"/>
    <n v="521512"/>
    <n v="0"/>
    <n v="12472.93"/>
    <n v="4.5"/>
    <n v="7"/>
    <n v="78394"/>
    <n v="174592"/>
    <x v="5"/>
    <s v="5a52b571-4ed3-45b4-8ab1-b35a8576d8a2"/>
    <s v="ремонт жилья"/>
    <s v="в ипотеке"/>
    <s v="краткосрочный"/>
    <x v="0"/>
    <b v="0"/>
    <n v="0.1173012960201858"/>
    <n v="0.95757575757575752"/>
    <n v="0.28700233168172545"/>
  </r>
  <r>
    <n v="1820"/>
    <n v="0"/>
    <n v="301576"/>
    <n v="727"/>
    <n v="525160"/>
    <n v="18"/>
    <n v="11816.29"/>
    <n v="18"/>
    <n v="17"/>
    <n v="178600"/>
    <n v="429924"/>
    <x v="4"/>
    <s v="f74c8300-4f96-4bac-8ad7-2d5bede99073"/>
    <s v="консолидация кредитов"/>
    <s v="в аренде"/>
    <s v="краткосрочный"/>
    <x v="1"/>
    <b v="0"/>
    <n v="0.36460603280192683"/>
    <n v="0.8545454545454545"/>
    <n v="0.27000434153400871"/>
  </r>
  <r>
    <n v="1821"/>
    <n v="0"/>
    <n v="433180"/>
    <n v="723"/>
    <n v="1168044"/>
    <n v="39"/>
    <n v="21782.36"/>
    <n v="25.6"/>
    <n v="19"/>
    <n v="203034"/>
    <n v="236038"/>
    <x v="1"/>
    <s v="272c55f7-f23e-47b7-ba21-c88554b9feb3"/>
    <s v="консолидация кредитов"/>
    <s v="в ипотеке"/>
    <s v="долгосрочный"/>
    <x v="0"/>
    <b v="0"/>
    <n v="0.53612799632985431"/>
    <n v="0.83030303030303032"/>
    <n v="0.22378293968377905"/>
  </r>
  <r>
    <n v="1822"/>
    <n v="1"/>
    <n v="434632"/>
    <n v="615"/>
    <n v="1557753"/>
    <n v="67"/>
    <n v="14539.18"/>
    <n v="14.1"/>
    <n v="16"/>
    <n v="146737"/>
    <n v="302302"/>
    <x v="1"/>
    <s v="27cf0603-9f07-4ab5-8d9b-45bebce92589"/>
    <s v="консолидация кредитов"/>
    <s v="в аренде"/>
    <s v="долгосрочный"/>
    <x v="0"/>
    <b v="0"/>
    <n v="0.5380204151852277"/>
    <n v="0.17575757575757575"/>
    <n v="0.11200117091734056"/>
  </r>
  <r>
    <n v="1823"/>
    <n v="1"/>
    <n v="110946"/>
    <n v="718"/>
    <n v="1628889"/>
    <n v="0"/>
    <n v="22532.86"/>
    <n v="22.5"/>
    <n v="8"/>
    <n v="375326"/>
    <n v="510092"/>
    <x v="1"/>
    <s v="ff6617e2-b455-4541-b105-8e30fa0f87cf"/>
    <s v="консолидация кредитов"/>
    <s v="в собственности"/>
    <s v="краткосрочный"/>
    <x v="0"/>
    <b v="0"/>
    <n v="0.11615437550177772"/>
    <n v="0.8"/>
    <n v="0.16599923015012072"/>
  </r>
  <r>
    <n v="1824"/>
    <n v="2"/>
    <n v="262966"/>
    <n v="746"/>
    <n v="757036"/>
    <n v="0"/>
    <n v="7128.8"/>
    <n v="16.8"/>
    <n v="7"/>
    <n v="189601"/>
    <n v="381128"/>
    <x v="8"/>
    <s v="2efb40b1-c1ca-4ff9-b2e2-176960af0cd5"/>
    <s v="консолидация кредитов"/>
    <s v="в ипотеке"/>
    <s v="краткосрочный"/>
    <x v="0"/>
    <b v="0"/>
    <n v="0.31428489505677254"/>
    <n v="0.96969696969696972"/>
    <n v="0.11300070274068869"/>
  </r>
  <r>
    <n v="1825"/>
    <n v="0"/>
    <n v="57552"/>
    <n v="739"/>
    <n v="439622"/>
    <n v="0"/>
    <n v="11796.53"/>
    <n v="18.5"/>
    <n v="9"/>
    <n v="237063"/>
    <n v="589072"/>
    <x v="10"/>
    <s v="fc5d0f5f-ffed-42eb-a5a1-6dcb145b1ea5"/>
    <s v="консолидация кредитов"/>
    <s v="в ипотеке"/>
    <s v="краткосрочный"/>
    <x v="0"/>
    <b v="0"/>
    <n v="4.6564973047367821E-2"/>
    <n v="0.92727272727272725"/>
    <n v="0.3220001728757888"/>
  </r>
  <r>
    <n v="1826"/>
    <n v="1"/>
    <n v="240570"/>
    <n v="723"/>
    <n v="1168044"/>
    <n v="0"/>
    <n v="12324.35"/>
    <n v="13.4"/>
    <n v="7"/>
    <n v="119852"/>
    <n v="236390"/>
    <x v="9"/>
    <s v="2c62b35d-0b15-4a4b-bdec-0916fe60956d"/>
    <s v="консолидация кредитов"/>
    <s v="в аренде"/>
    <s v="долгосрочный"/>
    <x v="1"/>
    <b v="0"/>
    <n v="0.28509576786328705"/>
    <n v="0.83030303030303032"/>
    <n v="0.12661526449346086"/>
  </r>
  <r>
    <n v="1827"/>
    <n v="0"/>
    <n v="44660"/>
    <n v="715"/>
    <n v="867749"/>
    <n v="0"/>
    <n v="7672.39"/>
    <n v="11"/>
    <n v="5"/>
    <n v="16986"/>
    <n v="22330"/>
    <x v="4"/>
    <s v="1c12fa16-9788-4efd-81ff-58aa00de59da"/>
    <s v="иное"/>
    <s v="в аренде"/>
    <s v="краткосрочный"/>
    <x v="1"/>
    <b v="0"/>
    <n v="2.9762587452689528E-2"/>
    <n v="0.78181818181818186"/>
    <n v="0.10610058899520483"/>
  </r>
  <r>
    <n v="1828"/>
    <n v="0"/>
    <n v="448624"/>
    <n v="723"/>
    <n v="1168044"/>
    <n v="0"/>
    <n v="19010.830000000002"/>
    <n v="21.4"/>
    <n v="8"/>
    <n v="389348"/>
    <n v="585464"/>
    <x v="1"/>
    <s v="b7abee8b-5086-4a38-a008-815e365aa8b3"/>
    <s v="консолидация кредитов"/>
    <s v="в ипотеке"/>
    <s v="краткосрочный"/>
    <x v="0"/>
    <b v="0"/>
    <n v="0.55625645142791602"/>
    <n v="0.83030303030303032"/>
    <n v="0.19530938902986533"/>
  </r>
  <r>
    <n v="1829"/>
    <n v="0"/>
    <n v="341352"/>
    <n v="712"/>
    <n v="751108"/>
    <n v="0"/>
    <n v="10327.83"/>
    <n v="13.3"/>
    <n v="11"/>
    <n v="81377"/>
    <n v="110858"/>
    <x v="4"/>
    <s v="0e0fa488-b6cb-444e-b3cf-c2021a74cad8"/>
    <s v="консолидация кредитов"/>
    <s v="в ипотеке"/>
    <s v="долгосрочный"/>
    <x v="0"/>
    <b v="0"/>
    <n v="0.41644684023397177"/>
    <n v="0.76363636363636367"/>
    <n v="0.16500151775776586"/>
  </r>
  <r>
    <n v="1830"/>
    <n v="0"/>
    <n v="446952"/>
    <n v="723"/>
    <n v="1168044"/>
    <n v="36"/>
    <n v="31668.44"/>
    <n v="21.5"/>
    <n v="13"/>
    <n v="298813"/>
    <n v="596530"/>
    <x v="1"/>
    <s v="403b7303-92f1-456a-955b-9f3b5f066459"/>
    <s v="консолидация кредитов"/>
    <s v="в ипотеке"/>
    <s v="долгосрочный"/>
    <x v="1"/>
    <b v="0"/>
    <n v="0.55407730244294073"/>
    <n v="0.83030303030303032"/>
    <n v="0.3253484286550849"/>
  </r>
  <r>
    <n v="1831"/>
    <n v="0"/>
    <n v="175802"/>
    <n v="723"/>
    <n v="1168044"/>
    <n v="0"/>
    <n v="11914.52"/>
    <n v="12.7"/>
    <n v="13"/>
    <n v="202711"/>
    <n v="342650"/>
    <x v="9"/>
    <s v="ca5a089a-f473-4a50-b7e2-34646d4677e0"/>
    <s v="консолидация кредитов"/>
    <s v="в аренде"/>
    <s v="краткосрочный"/>
    <x v="0"/>
    <b v="0"/>
    <n v="0.2006824177084528"/>
    <n v="0.83030303030303032"/>
    <n v="0.12240484091352724"/>
  </r>
  <r>
    <n v="1832"/>
    <n v="1"/>
    <n v="109670"/>
    <n v="740"/>
    <n v="852359"/>
    <n v="0"/>
    <n v="22303.15"/>
    <n v="35.5"/>
    <n v="16"/>
    <n v="110181"/>
    <n v="302302"/>
    <x v="6"/>
    <s v="24e09d5f-5b36-4f80-ac2b-eb57b49765f1"/>
    <s v="ремонт жилья"/>
    <s v="в собственности"/>
    <s v="краткосрочный"/>
    <x v="0"/>
    <b v="0"/>
    <n v="0.11449134075008602"/>
    <n v="0.93333333333333335"/>
    <n v="0.31399656717416019"/>
  </r>
  <r>
    <n v="1833"/>
    <n v="0"/>
    <n v="529848"/>
    <n v="694"/>
    <n v="1151172"/>
    <n v="0"/>
    <n v="27819.99"/>
    <n v="18.3"/>
    <n v="9"/>
    <n v="376029"/>
    <n v="570658"/>
    <x v="5"/>
    <s v="f14d8042-6d7c-4f87-bfb1-e1e6758db9c3"/>
    <s v="консолидация кредитов"/>
    <s v="в аренде"/>
    <s v="долгосрочный"/>
    <x v="0"/>
    <b v="0"/>
    <n v="0.66211721527698131"/>
    <n v="0.65454545454545454"/>
    <n v="0.29000000000000004"/>
  </r>
  <r>
    <n v="1834"/>
    <n v="0"/>
    <n v="173932"/>
    <n v="723"/>
    <n v="1168044"/>
    <n v="10"/>
    <n v="12697.7"/>
    <n v="18.399999999999999"/>
    <n v="7"/>
    <n v="85937"/>
    <n v="546678"/>
    <x v="9"/>
    <s v="9df09a54-befe-4438-8c4a-55d78a7ee306"/>
    <s v="консолидация кредитов"/>
    <s v="в ипотеке"/>
    <s v="краткосрочный"/>
    <x v="0"/>
    <b v="0"/>
    <n v="0.19824521160683564"/>
    <n v="0.83030303030303032"/>
    <n v="0.13045090767128636"/>
  </r>
  <r>
    <n v="1835"/>
    <n v="0"/>
    <n v="348766"/>
    <n v="712"/>
    <n v="1351546"/>
    <n v="50"/>
    <n v="38406.410000000003"/>
    <n v="15.4"/>
    <n v="16"/>
    <n v="583661"/>
    <n v="1071004"/>
    <x v="1"/>
    <s v="15458da9-e186-4945-b56f-4a8702020344"/>
    <s v="консолидация кредитов"/>
    <s v="в ипотеке"/>
    <s v="долгосрочный"/>
    <x v="0"/>
    <b v="0"/>
    <n v="0.42610964560155984"/>
    <n v="0.76363636363636367"/>
    <n v="0.34099980318834877"/>
  </r>
  <r>
    <n v="1836"/>
    <n v="0"/>
    <n v="650826"/>
    <n v="648"/>
    <n v="1592561"/>
    <n v="5"/>
    <n v="26409.81"/>
    <n v="22.2"/>
    <n v="8"/>
    <n v="221939"/>
    <n v="293018"/>
    <x v="1"/>
    <s v="fe285526-b332-4bec-8576-e554224a4962"/>
    <s v="приобретение автомобиля"/>
    <s v="в аренде"/>
    <s v="долгосрочный"/>
    <x v="1"/>
    <b v="0"/>
    <n v="0.81979011354513132"/>
    <n v="0.37575757575757573"/>
    <n v="0.19899879502260825"/>
  </r>
  <r>
    <n v="1837"/>
    <n v="0"/>
    <n v="420244"/>
    <n v="703"/>
    <n v="728707"/>
    <n v="3"/>
    <n v="15424.2"/>
    <n v="37.1"/>
    <n v="13"/>
    <n v="341335"/>
    <n v="811558"/>
    <x v="1"/>
    <s v="7b3f10eb-6b39-4122-81a4-b4f375d46da9"/>
    <s v="консолидация кредитов"/>
    <s v="в ипотеке"/>
    <s v="долгосрочный"/>
    <x v="0"/>
    <b v="0"/>
    <n v="0.51926826470925569"/>
    <n v="0.70909090909090911"/>
    <n v="0.25399838343806219"/>
  </r>
  <r>
    <n v="1838"/>
    <n v="0"/>
    <n v="466972"/>
    <n v="722"/>
    <n v="1442328"/>
    <n v="43"/>
    <n v="21009.82"/>
    <n v="38"/>
    <n v="12"/>
    <n v="606290"/>
    <n v="879736"/>
    <x v="1"/>
    <s v="348d4912-a6b0-4328-aa6e-73caee88c600"/>
    <s v="консолидация кредитов"/>
    <s v="в ипотеке"/>
    <s v="краткосрочный"/>
    <x v="0"/>
    <b v="0"/>
    <n v="0.58016974423672441"/>
    <n v="0.82424242424242422"/>
    <n v="0.17479924122668353"/>
  </r>
  <r>
    <n v="1839"/>
    <n v="0"/>
    <n v="131846"/>
    <n v="730"/>
    <n v="1518176"/>
    <n v="7"/>
    <n v="14675.6"/>
    <n v="15.6"/>
    <n v="16"/>
    <n v="118617"/>
    <n v="164890"/>
    <x v="10"/>
    <s v="c1c626d1-2999-44b7-a488-fb242f8d28bd"/>
    <s v="консолидация кредитов"/>
    <s v="в собственности"/>
    <s v="краткосрочный"/>
    <x v="0"/>
    <b v="0"/>
    <n v="0.1433937378139695"/>
    <n v="0.87272727272727268"/>
    <n v="0.11599919903884662"/>
  </r>
  <r>
    <n v="1840"/>
    <n v="0"/>
    <n v="304722"/>
    <n v="731"/>
    <n v="558942"/>
    <n v="52"/>
    <n v="8477.23"/>
    <n v="16.399999999999999"/>
    <n v="5"/>
    <n v="453473"/>
    <n v="1039742"/>
    <x v="6"/>
    <s v="a6793f8e-40f4-4717-b48f-e707acc56be0"/>
    <s v="консолидация кредитов"/>
    <s v="в аренде"/>
    <s v="краткосрочный"/>
    <x v="0"/>
    <b v="0"/>
    <n v="0.36870627365523567"/>
    <n v="0.87878787878787878"/>
    <n v="0.181998776259433"/>
  </r>
  <r>
    <n v="1841"/>
    <n v="0"/>
    <n v="176660"/>
    <n v="705"/>
    <n v="1844444"/>
    <n v="14"/>
    <n v="23347.58"/>
    <n v="28.9"/>
    <n v="16"/>
    <n v="1009394"/>
    <n v="2850672"/>
    <x v="4"/>
    <s v="5ba3fc10-5312-4a91-8c35-6c4742c04b4a"/>
    <s v="бизнес"/>
    <s v="в ипотеке"/>
    <s v="долгосрочный"/>
    <x v="0"/>
    <b v="0"/>
    <n v="0.20180066521390067"/>
    <n v="0.72121212121212119"/>
    <n v="0.15189995467468789"/>
  </r>
  <r>
    <n v="1842"/>
    <n v="0"/>
    <n v="220528"/>
    <n v="664"/>
    <n v="914185"/>
    <n v="6"/>
    <n v="13103.35"/>
    <n v="32.5"/>
    <n v="8"/>
    <n v="78261"/>
    <n v="187594"/>
    <x v="2"/>
    <s v="c18b046c-c153-4f10-8f20-b6c56355dcd3"/>
    <s v="иное"/>
    <s v="в аренде"/>
    <s v="краткосрочный"/>
    <x v="1"/>
    <b v="0"/>
    <n v="0.25897465305654316"/>
    <n v="0.47272727272727272"/>
    <n v="0.17200041567078875"/>
  </r>
  <r>
    <n v="1843"/>
    <n v="0"/>
    <n v="179036"/>
    <n v="723"/>
    <n v="1168044"/>
    <n v="0"/>
    <n v="29207.18"/>
    <n v="21.5"/>
    <n v="16"/>
    <n v="587689"/>
    <n v="1283942"/>
    <x v="8"/>
    <s v="2f7072c8-2f35-4601-9bfb-15b4a3c3b821"/>
    <s v="консолидация кредитов"/>
    <s v="в ипотеке"/>
    <s v="краткосрочный"/>
    <x v="0"/>
    <b v="0"/>
    <n v="0.20489735061360248"/>
    <n v="0.83030303030303032"/>
    <n v="0.30006246340035136"/>
  </r>
  <r>
    <n v="1844"/>
    <n v="0"/>
    <n v="133100"/>
    <n v="723"/>
    <n v="1168044"/>
    <n v="0"/>
    <n v="7548.89"/>
    <n v="28.1"/>
    <n v="7"/>
    <n v="195111"/>
    <n v="430298"/>
    <x v="1"/>
    <s v="61279878-b0af-43e9-8d2a-12677c7af7f6"/>
    <s v="консолидация кредитов"/>
    <s v="в собственности"/>
    <s v="краткосрочный"/>
    <x v="0"/>
    <b v="0"/>
    <n v="0.14502809955270099"/>
    <n v="0.83030303030303032"/>
    <n v="7.7554167479992192E-2"/>
  </r>
  <r>
    <n v="1845"/>
    <n v="0"/>
    <n v="448624"/>
    <n v="709"/>
    <n v="1356068"/>
    <n v="0"/>
    <n v="15594.82"/>
    <n v="23.4"/>
    <n v="6"/>
    <n v="219488"/>
    <n v="531696"/>
    <x v="8"/>
    <s v="5baceee3-78d0-4ef7-af55-28b6dd72089d"/>
    <s v="консолидация кредитов"/>
    <s v="в аренде"/>
    <s v="долгосрочный"/>
    <x v="0"/>
    <b v="0"/>
    <n v="0.55625645142791602"/>
    <n v="0.74545454545454548"/>
    <n v="0.13800033626632291"/>
  </r>
  <r>
    <n v="1846"/>
    <n v="0"/>
    <n v="460372"/>
    <n v="701"/>
    <n v="1322153"/>
    <n v="72"/>
    <n v="10103.44"/>
    <n v="13.5"/>
    <n v="8"/>
    <n v="208354"/>
    <n v="334620"/>
    <x v="1"/>
    <s v="f4720df9-8034-46d2-95cc-0b116c744d92"/>
    <s v="консолидация кредитов"/>
    <s v="в ипотеке"/>
    <s v="долгосрочный"/>
    <x v="0"/>
    <b v="0"/>
    <n v="0.57156784034866381"/>
    <n v="0.69696969696969702"/>
    <n v="9.1699886473048123E-2"/>
  </r>
  <r>
    <n v="1847"/>
    <n v="0"/>
    <n v="233332"/>
    <n v="724"/>
    <n v="921272"/>
    <n v="34"/>
    <n v="12437.21"/>
    <n v="17"/>
    <n v="10"/>
    <n v="123120"/>
    <n v="304612"/>
    <x v="1"/>
    <s v="a1f66da4-ba46-450c-9490-b42e54177fac"/>
    <s v="консолидация кредитов"/>
    <s v="в ипотеке"/>
    <s v="краткосрочный"/>
    <x v="0"/>
    <b v="0"/>
    <n v="0.27566234659938066"/>
    <n v="0.83636363636363631"/>
    <n v="0.16200049496782706"/>
  </r>
  <r>
    <n v="1848"/>
    <n v="0"/>
    <n v="440572"/>
    <n v="723"/>
    <n v="1168044"/>
    <n v="0"/>
    <n v="26634.58"/>
    <n v="17.3"/>
    <n v="10"/>
    <n v="1229167"/>
    <n v="1581382"/>
    <x v="1"/>
    <s v="cb33032d-3fad-4c2b-be9a-7d71515e09ac"/>
    <s v="консолидация кредитов"/>
    <s v="в ипотеке"/>
    <s v="краткосрочный"/>
    <x v="0"/>
    <b v="0"/>
    <n v="0.54576212868448215"/>
    <n v="0.83030303030303032"/>
    <n v="0.27363263712668362"/>
  </r>
  <r>
    <n v="1849"/>
    <n v="0"/>
    <n v="281138"/>
    <n v="723"/>
    <n v="1168044"/>
    <n v="64"/>
    <n v="21366.45"/>
    <n v="12.9"/>
    <n v="10"/>
    <n v="121809"/>
    <n v="476498"/>
    <x v="2"/>
    <s v="59fd5dec-c5c8-48ee-aef6-c41d6a2bad80"/>
    <s v="консолидация кредитов"/>
    <s v="в аренде"/>
    <s v="краткосрочный"/>
    <x v="0"/>
    <b v="0"/>
    <n v="0.33796880376189931"/>
    <n v="0.83030303030303032"/>
    <n v="0.21951005270349405"/>
  </r>
  <r>
    <n v="1850"/>
    <n v="0"/>
    <m/>
    <n v="736"/>
    <n v="2649094"/>
    <n v="34"/>
    <n v="51657.39"/>
    <n v="28"/>
    <n v="22"/>
    <n v="699067"/>
    <n v="1140062"/>
    <x v="1"/>
    <s v="46b21afc-7bde-4d1c-93f9-7de14ec52b12"/>
    <s v="консолидация кредитов"/>
    <s v="в ипотеке"/>
    <s v="краткосрочный"/>
    <x v="0"/>
    <b v="1"/>
    <m/>
    <n v="0.90909090909090906"/>
    <n v="0.23400025820148321"/>
  </r>
  <r>
    <n v="1851"/>
    <n v="0"/>
    <m/>
    <n v="738"/>
    <n v="1223030"/>
    <n v="59"/>
    <n v="16714.490000000002"/>
    <n v="27"/>
    <n v="12"/>
    <n v="419482"/>
    <n v="1029050"/>
    <x v="6"/>
    <s v="74181236-8090-46e6-8ff5-345636aaf806"/>
    <s v="консолидация кредитов"/>
    <s v="в ипотеке"/>
    <s v="краткосрочный"/>
    <x v="0"/>
    <b v="0"/>
    <m/>
    <n v="0.92121212121212126"/>
    <n v="0.16399751437004817"/>
  </r>
  <r>
    <n v="1852"/>
    <n v="1"/>
    <n v="144848"/>
    <n v="723"/>
    <n v="1168044"/>
    <n v="26"/>
    <n v="4193.1099999999997"/>
    <n v="12.3"/>
    <n v="7"/>
    <n v="123785"/>
    <n v="528880"/>
    <x v="1"/>
    <s v="366c3cf0-cf9a-4fbf-8e42-c3e6a16af8a8"/>
    <s v="консолидация кредитов"/>
    <s v="в ипотеке"/>
    <s v="краткосрочный"/>
    <x v="0"/>
    <b v="0"/>
    <n v="0.16033948847344878"/>
    <n v="0.83030303030303032"/>
    <n v="4.3078274448565289E-2"/>
  </r>
  <r>
    <n v="1853"/>
    <n v="0"/>
    <m/>
    <n v="749"/>
    <n v="1025981"/>
    <n v="0"/>
    <n v="19151.62"/>
    <n v="13.1"/>
    <n v="8"/>
    <n v="144267"/>
    <n v="431640"/>
    <x v="8"/>
    <s v="03e5d6ac-db4c-43de-b896-d20c77d8c56d"/>
    <s v="консолидация кредитов"/>
    <s v="в ипотеке"/>
    <s v="краткосрочный"/>
    <x v="0"/>
    <b v="0"/>
    <m/>
    <n v="0.98787878787878791"/>
    <n v="0.22399970369821662"/>
  </r>
  <r>
    <n v="1854"/>
    <n v="0"/>
    <n v="380314"/>
    <n v="723"/>
    <n v="1168044"/>
    <n v="0"/>
    <n v="32346.36"/>
    <n v="17.5"/>
    <n v="12"/>
    <n v="380893"/>
    <n v="598422"/>
    <x v="8"/>
    <s v="b0bba69d-dc08-4e12-9098-cf375be2b9ee"/>
    <s v="консолидация кредитов"/>
    <s v="в ипотеке"/>
    <s v="долгосрочный"/>
    <x v="1"/>
    <b v="0"/>
    <n v="0.46722674618648929"/>
    <n v="0.83030303030303032"/>
    <n v="0.33231309779426116"/>
  </r>
  <r>
    <n v="1855"/>
    <n v="0"/>
    <n v="174284"/>
    <n v="751"/>
    <n v="1625678"/>
    <n v="0"/>
    <n v="9916.67"/>
    <n v="34.200000000000003"/>
    <n v="17"/>
    <n v="145559"/>
    <n v="3064402"/>
    <x v="1"/>
    <s v="c06a4fdd-4893-49a3-bf19-b9af1d23e97f"/>
    <s v="приобретение автомобиля"/>
    <s v="в ипотеке"/>
    <s v="краткосрочный"/>
    <x v="0"/>
    <b v="0"/>
    <n v="0.19870397981419888"/>
    <n v="1"/>
    <n v="7.320025244851687E-2"/>
  </r>
  <r>
    <n v="1856"/>
    <n v="0"/>
    <n v="553080"/>
    <n v="657"/>
    <n v="2178122"/>
    <n v="62"/>
    <n v="24631.03"/>
    <n v="16.399999999999999"/>
    <n v="9"/>
    <n v="605302"/>
    <n v="787512"/>
    <x v="1"/>
    <s v="fc0054df-047a-4a37-a3d3-16147bceac69"/>
    <s v="консолидация кредитов"/>
    <s v="в ипотеке"/>
    <s v="долгосрочный"/>
    <x v="0"/>
    <b v="0"/>
    <n v="0.69239591696295444"/>
    <n v="0.4303030303030303"/>
    <n v="0.13570055304523806"/>
  </r>
  <r>
    <n v="1857"/>
    <n v="0"/>
    <n v="77506"/>
    <n v="723"/>
    <n v="1168044"/>
    <n v="51"/>
    <n v="26428.62"/>
    <n v="23"/>
    <n v="9"/>
    <n v="393167"/>
    <n v="701448"/>
    <x v="2"/>
    <s v="3fc8fb61-574e-42c4-a9ce-6e5bb3b6dd60"/>
    <s v="консолидация кредитов"/>
    <s v="в собственности"/>
    <s v="краткосрочный"/>
    <x v="0"/>
    <b v="0"/>
    <n v="7.2571395802270899E-2"/>
    <n v="0.83030303030303032"/>
    <n v="0.27151668943978136"/>
  </r>
  <r>
    <n v="1858"/>
    <n v="0"/>
    <n v="234102"/>
    <n v="728"/>
    <n v="1141710"/>
    <n v="0"/>
    <n v="5423.17"/>
    <n v="17"/>
    <n v="6"/>
    <n v="124146"/>
    <n v="151932"/>
    <x v="1"/>
    <s v="99d451ca-47a0-46f6-bf98-19511d43891d"/>
    <s v="консолидация кредитов"/>
    <s v="в аренде"/>
    <s v="краткосрочный"/>
    <x v="0"/>
    <b v="0"/>
    <n v="0.27666590205298774"/>
    <n v="0.8606060606060606"/>
    <n v="5.7000499251123313E-2"/>
  </r>
  <r>
    <n v="1859"/>
    <n v="1"/>
    <n v="163548"/>
    <n v="739"/>
    <n v="405859"/>
    <n v="66"/>
    <n v="4160.05"/>
    <n v="12.4"/>
    <n v="11"/>
    <n v="63460"/>
    <n v="247390"/>
    <x v="1"/>
    <s v="4d450bf0-9372-4462-8e7b-21922366b1d5"/>
    <s v="консолидация кредитов"/>
    <s v="в аренде"/>
    <s v="краткосрочный"/>
    <x v="0"/>
    <b v="0"/>
    <n v="0.18471154948962037"/>
    <n v="0.92727272727272725"/>
    <n v="0.12299985955713684"/>
  </r>
  <r>
    <n v="1860"/>
    <n v="0"/>
    <n v="295966"/>
    <n v="723"/>
    <n v="1168044"/>
    <n v="0"/>
    <n v="6380.01"/>
    <n v="29"/>
    <n v="6"/>
    <n v="263644"/>
    <n v="444356"/>
    <x v="6"/>
    <s v="c4470d10-a92a-406d-b5c7-2860bacd9041"/>
    <s v="консолидация кредитов"/>
    <s v="в ипотеке"/>
    <s v="краткосрочный"/>
    <x v="0"/>
    <b v="0"/>
    <n v="0.35729441449707533"/>
    <n v="0.83030303030303032"/>
    <n v="6.5545578762443879E-2"/>
  </r>
  <r>
    <n v="1861"/>
    <n v="0"/>
    <n v="219648"/>
    <n v="681"/>
    <n v="777822"/>
    <n v="0"/>
    <n v="8232.1299999999992"/>
    <n v="14"/>
    <n v="5"/>
    <n v="43833"/>
    <n v="131846"/>
    <x v="2"/>
    <s v="05f78068-1064-46ed-9463-01a574e96196"/>
    <s v="консолидация кредитов"/>
    <s v="в аренде"/>
    <s v="долгосрочный"/>
    <x v="0"/>
    <b v="0"/>
    <n v="0.25782773253813512"/>
    <n v="0.5757575757575758"/>
    <n v="0.12700278469881282"/>
  </r>
  <r>
    <n v="1862"/>
    <n v="0"/>
    <n v="181192"/>
    <n v="723"/>
    <n v="1168044"/>
    <n v="38"/>
    <n v="14566.73"/>
    <n v="20.2"/>
    <n v="8"/>
    <n v="138700"/>
    <n v="176682"/>
    <x v="1"/>
    <s v="703264c2-e077-4081-934a-b1c320c2092e"/>
    <s v="консолидация кредитов"/>
    <s v="в ипотеке"/>
    <s v="краткосрочный"/>
    <x v="0"/>
    <b v="0"/>
    <n v="0.20770730588370226"/>
    <n v="0.83030303030303032"/>
    <n v="0.14965254733554556"/>
  </r>
  <r>
    <n v="1863"/>
    <n v="0"/>
    <n v="262284"/>
    <n v="738"/>
    <n v="1653589"/>
    <n v="0"/>
    <n v="19705.09"/>
    <n v="9.3000000000000007"/>
    <n v="10"/>
    <n v="389804"/>
    <n v="732710"/>
    <x v="10"/>
    <s v="167f6b3b-11c3-424f-b2e7-8765fb05e6a2"/>
    <s v="иное"/>
    <s v="в аренде"/>
    <s v="краткосрочный"/>
    <x v="0"/>
    <b v="0"/>
    <n v="0.31339603165500629"/>
    <n v="0.92121212121212126"/>
    <n v="0.14299870161206926"/>
  </r>
  <r>
    <n v="1864"/>
    <n v="0"/>
    <n v="66770"/>
    <n v="733"/>
    <n v="358701"/>
    <n v="0"/>
    <n v="4573.49"/>
    <n v="19.399999999999999"/>
    <n v="8"/>
    <n v="121410"/>
    <n v="182336"/>
    <x v="1"/>
    <s v="9afc8fec-2360-42e4-93b9-c3746f342218"/>
    <s v="консолидация кредитов"/>
    <s v="в аренде"/>
    <s v="краткосрочный"/>
    <x v="0"/>
    <b v="0"/>
    <n v="5.8578965477692396E-2"/>
    <n v="0.89090909090909087"/>
    <n v="0.15300174797393928"/>
  </r>
  <r>
    <n v="1865"/>
    <n v="0"/>
    <n v="328944"/>
    <n v="663"/>
    <n v="1231048"/>
    <n v="27"/>
    <n v="25954.57"/>
    <n v="22.5"/>
    <n v="17"/>
    <n v="205523"/>
    <n v="401302"/>
    <x v="4"/>
    <s v="687a242e-2127-45af-a616-8b869244a464"/>
    <s v="консолидация кредитов"/>
    <s v="в аренде"/>
    <s v="краткосрочный"/>
    <x v="0"/>
    <b v="0"/>
    <n v="0.40027526092441795"/>
    <n v="0.46666666666666667"/>
    <n v="0.25299975305593286"/>
  </r>
  <r>
    <n v="1866"/>
    <n v="0"/>
    <n v="288508"/>
    <n v="661"/>
    <n v="808583"/>
    <n v="1"/>
    <n v="3591.38"/>
    <n v="11.4"/>
    <n v="4"/>
    <n v="102714"/>
    <n v="172106"/>
    <x v="8"/>
    <s v="09fc9d20-236f-40e6-b388-c714337c319e"/>
    <s v="консолидация кредитов"/>
    <s v="в ипотеке"/>
    <s v="краткосрочный"/>
    <x v="0"/>
    <b v="0"/>
    <n v="0.34757426310356693"/>
    <n v="0.45454545454545453"/>
    <n v="5.3298869751157267E-2"/>
  </r>
  <r>
    <n v="1867"/>
    <n v="0"/>
    <n v="173492"/>
    <n v="728"/>
    <n v="561906"/>
    <n v="0"/>
    <n v="7258"/>
    <n v="23.6"/>
    <n v="5"/>
    <n v="229178"/>
    <n v="305008"/>
    <x v="2"/>
    <s v="26853fe1-2a98-4852-8ec6-8946ab8c223e"/>
    <s v="консолидация кредитов"/>
    <s v="в аренде"/>
    <s v="краткосрочный"/>
    <x v="1"/>
    <b v="0"/>
    <n v="0.1976717513476316"/>
    <n v="0.8606060606060606"/>
    <n v="0.15500101440454453"/>
  </r>
  <r>
    <n v="1868"/>
    <n v="0"/>
    <n v="131384"/>
    <n v="739"/>
    <n v="945630"/>
    <n v="0"/>
    <n v="23483.24"/>
    <n v="18.3"/>
    <n v="9"/>
    <n v="157662"/>
    <n v="310992"/>
    <x v="9"/>
    <s v="0e2a24d3-2cb5-4a11-8a49-81fc770a2d63"/>
    <s v="консолидация кредитов"/>
    <s v="в аренде"/>
    <s v="краткосрочный"/>
    <x v="1"/>
    <b v="0"/>
    <n v="0.14279160454180526"/>
    <n v="0.92727272727272725"/>
    <n v="0.29800120554550935"/>
  </r>
  <r>
    <n v="1869"/>
    <n v="0"/>
    <n v="649374"/>
    <n v="675"/>
    <n v="1682469"/>
    <n v="40"/>
    <n v="33088.5"/>
    <n v="18"/>
    <n v="20"/>
    <n v="261098"/>
    <n v="439428"/>
    <x v="2"/>
    <s v="57d5e3fa-bd51-4ef4-8251-83cc8eb4f7cc"/>
    <s v="консолидация кредитов"/>
    <s v="в аренде"/>
    <s v="краткосрочный"/>
    <x v="0"/>
    <b v="0"/>
    <n v="0.81789769468975804"/>
    <n v="0.53939393939393943"/>
    <n v="0.23599959345461938"/>
  </r>
  <r>
    <n v="1870"/>
    <n v="1"/>
    <n v="772024"/>
    <n v="723"/>
    <n v="2908748"/>
    <n v="0"/>
    <n v="34662.65"/>
    <n v="12"/>
    <n v="17"/>
    <n v="572812"/>
    <n v="741070"/>
    <x v="9"/>
    <s v="c33ac172-49f7-4766-8e8c-858621ab4f33"/>
    <s v="консолидация кредитов"/>
    <s v="в ипотеке"/>
    <s v="краткосрочный"/>
    <x v="0"/>
    <b v="0"/>
    <n v="0.97774974194288333"/>
    <n v="0.83030303030303032"/>
    <n v="0.14300028740887832"/>
  </r>
  <r>
    <n v="1871"/>
    <n v="0"/>
    <n v="26708"/>
    <n v="715"/>
    <n v="192166"/>
    <n v="6"/>
    <n v="1326.01"/>
    <n v="12.7"/>
    <n v="4"/>
    <n v="15409"/>
    <n v="283250"/>
    <x v="5"/>
    <s v="db3c9de4-ae89-4796-8fa6-42aab7e2654f"/>
    <s v="консолидация кредитов"/>
    <s v="в аренде"/>
    <s v="краткосрочный"/>
    <x v="1"/>
    <b v="0"/>
    <n v="6.3654088771648125E-3"/>
    <n v="0.78181818181818186"/>
    <n v="8.2804034012260233E-2"/>
  </r>
  <r>
    <n v="1872"/>
    <n v="1"/>
    <n v="322740"/>
    <n v="717"/>
    <n v="1765290"/>
    <n v="0"/>
    <n v="43985"/>
    <n v="20.7"/>
    <n v="16"/>
    <n v="446329"/>
    <n v="891022"/>
    <x v="1"/>
    <s v="98fbe987-4102-4f0e-91c3-19f7e80e1f08"/>
    <s v="консолидация кредитов"/>
    <s v="в ипотеке"/>
    <s v="краткосрочный"/>
    <x v="0"/>
    <b v="1"/>
    <n v="0.39218947126964099"/>
    <n v="0.79393939393939394"/>
    <n v="0.29899903132063288"/>
  </r>
  <r>
    <n v="1873"/>
    <n v="0"/>
    <n v="223608"/>
    <n v="739"/>
    <n v="869022"/>
    <n v="0"/>
    <n v="12745.58"/>
    <n v="12.4"/>
    <n v="9"/>
    <n v="195700"/>
    <n v="272690"/>
    <x v="2"/>
    <s v="1ef230bc-76eb-4c7c-92f0-35d92fd0492c"/>
    <s v="консолидация кредитов"/>
    <s v="в ипотеке"/>
    <s v="краткосрочный"/>
    <x v="0"/>
    <b v="0"/>
    <n v="0.26298887487097145"/>
    <n v="0.92727272727272725"/>
    <n v="0.17599895054440509"/>
  </r>
  <r>
    <n v="1874"/>
    <n v="0"/>
    <n v="182358"/>
    <n v="724"/>
    <n v="648508"/>
    <n v="0"/>
    <n v="7133.55"/>
    <n v="35.4"/>
    <n v="14"/>
    <n v="74860"/>
    <n v="291852"/>
    <x v="2"/>
    <s v="f738301c-62e3-45b7-a7e6-73f78887096d"/>
    <s v="иное"/>
    <s v="в ипотеке"/>
    <s v="краткосрочный"/>
    <x v="0"/>
    <b v="0"/>
    <n v="0.20922697557059297"/>
    <n v="0.83636363636363631"/>
    <n v="0.13199929684753312"/>
  </r>
  <r>
    <n v="1875"/>
    <n v="0"/>
    <n v="557040"/>
    <n v="640"/>
    <n v="1828104"/>
    <n v="0"/>
    <n v="18281.04"/>
    <n v="19.2"/>
    <n v="4"/>
    <n v="123557"/>
    <n v="364980"/>
    <x v="6"/>
    <s v="8e2c22a7-51dc-4cfa-9739-d2222d7a7854"/>
    <s v="иное"/>
    <s v="в аренде"/>
    <s v="краткосрочный"/>
    <x v="1"/>
    <b v="0"/>
    <n v="0.69755705929579082"/>
    <n v="0.32727272727272727"/>
    <n v="0.12000000000000001"/>
  </r>
  <r>
    <n v="1876"/>
    <n v="0"/>
    <n v="94358"/>
    <n v="681"/>
    <n v="379050"/>
    <n v="51"/>
    <n v="2577.54"/>
    <n v="7"/>
    <n v="7"/>
    <n v="47861"/>
    <n v="179916"/>
    <x v="1"/>
    <s v="7e83d1cc-ea59-4db8-9b3a-01ed5a1ec4dc"/>
    <s v="консолидация кредитов"/>
    <s v="в аренде"/>
    <s v="краткосрочный"/>
    <x v="0"/>
    <b v="0"/>
    <n v="9.453492372978553E-2"/>
    <n v="0.5757575757575758"/>
    <n v="8.1599999999999992E-2"/>
  </r>
  <r>
    <n v="1877"/>
    <n v="0"/>
    <n v="549450"/>
    <n v="728"/>
    <n v="2372625"/>
    <n v="46"/>
    <n v="26098.97"/>
    <n v="21.7"/>
    <n v="10"/>
    <n v="574218"/>
    <n v="1183050"/>
    <x v="9"/>
    <s v="ac1a7711-2b3b-4f33-b288-0f8fccbb0a19"/>
    <s v="консолидация кредитов"/>
    <s v="в аренде"/>
    <s v="краткосрочный"/>
    <x v="0"/>
    <b v="0"/>
    <n v="0.68766486982452113"/>
    <n v="0.8606060606060606"/>
    <n v="0.13200048048048049"/>
  </r>
  <r>
    <n v="1878"/>
    <n v="0"/>
    <n v="628144"/>
    <n v="723"/>
    <n v="1168044"/>
    <n v="32"/>
    <n v="19793.439999999999"/>
    <n v="22.5"/>
    <n v="6"/>
    <n v="298566"/>
    <n v="909744"/>
    <x v="9"/>
    <s v="fb23508f-e762-496e-a854-97f15d806254"/>
    <s v="консолидация кредитов"/>
    <s v="в аренде"/>
    <s v="долгосрочный"/>
    <x v="0"/>
    <b v="0"/>
    <n v="0.79022823718316315"/>
    <n v="0.83030303030303032"/>
    <n v="0.20334959984384149"/>
  </r>
  <r>
    <n v="1879"/>
    <n v="0"/>
    <m/>
    <n v="730"/>
    <n v="965770"/>
    <n v="0"/>
    <n v="23822.2"/>
    <n v="20.9"/>
    <n v="15"/>
    <n v="462555"/>
    <n v="577126"/>
    <x v="1"/>
    <s v="6d28365f-17e9-4206-bb3f-0613285ad791"/>
    <s v="консолидация кредитов"/>
    <s v="в ипотеке"/>
    <s v="краткосрочный"/>
    <x v="0"/>
    <b v="0"/>
    <m/>
    <n v="0.87272727272727268"/>
    <n v="0.29599842612630339"/>
  </r>
  <r>
    <n v="1880"/>
    <n v="0"/>
    <n v="263846"/>
    <n v="724"/>
    <n v="759544"/>
    <n v="25"/>
    <n v="13355.29"/>
    <n v="12.5"/>
    <n v="10"/>
    <n v="123253"/>
    <n v="248622"/>
    <x v="5"/>
    <s v="8ff8af7c-4658-467d-96b4-06f68a9fc489"/>
    <s v="консолидация кредитов"/>
    <s v="в аренде"/>
    <s v="краткосрочный"/>
    <x v="0"/>
    <b v="0"/>
    <n v="0.31543181557518063"/>
    <n v="0.83636363636363631"/>
    <n v="0.21099959975985591"/>
  </r>
  <r>
    <n v="1881"/>
    <n v="0"/>
    <n v="189310"/>
    <n v="735"/>
    <n v="488262"/>
    <n v="71"/>
    <n v="12816.83"/>
    <n v="22.5"/>
    <n v="13"/>
    <n v="247608"/>
    <n v="666754"/>
    <x v="1"/>
    <s v="6d0d9fe9-e992-4521-819b-6342246f0104"/>
    <s v="консолидация кредитов"/>
    <s v="в аренде"/>
    <s v="краткосрочный"/>
    <x v="0"/>
    <b v="0"/>
    <n v="0.21828764766601674"/>
    <n v="0.90303030303030307"/>
    <n v="0.31499883259397621"/>
  </r>
  <r>
    <n v="1882"/>
    <n v="0"/>
    <n v="199914"/>
    <n v="723"/>
    <n v="1168044"/>
    <n v="0"/>
    <n v="10356.33"/>
    <n v="12.4"/>
    <n v="7"/>
    <n v="274512"/>
    <n v="810854"/>
    <x v="3"/>
    <s v="b1c928bd-4928-4df6-bb56-7a0d94489226"/>
    <s v="консолидация кредитов"/>
    <s v="в аренде"/>
    <s v="краткосрочный"/>
    <x v="0"/>
    <b v="0"/>
    <n v="0.23210803991283405"/>
    <n v="0.83030303030303032"/>
    <n v="0.10639664259223111"/>
  </r>
  <r>
    <n v="1883"/>
    <n v="0"/>
    <n v="545006"/>
    <n v="716"/>
    <n v="1331444"/>
    <n v="0"/>
    <n v="32842.639999999999"/>
    <n v="22.4"/>
    <n v="7"/>
    <n v="640642"/>
    <n v="772706"/>
    <x v="2"/>
    <s v="197faede-c725-430a-bcdb-68c97625af7c"/>
    <s v="консолидация кредитов"/>
    <s v="в ипотеке"/>
    <s v="долгосрочный"/>
    <x v="0"/>
    <b v="0"/>
    <n v="0.6818729212065604"/>
    <n v="0.78787878787878785"/>
    <n v="0.29600319652948226"/>
  </r>
  <r>
    <n v="1884"/>
    <n v="0"/>
    <n v="371822"/>
    <n v="731"/>
    <n v="2198110"/>
    <n v="50"/>
    <n v="34803.25"/>
    <n v="18.5"/>
    <n v="10"/>
    <n v="154242"/>
    <n v="391666"/>
    <x v="10"/>
    <s v="80396301-b0ac-417c-8e58-faf83f80a07e"/>
    <s v="консолидация кредитов"/>
    <s v="в ипотеке"/>
    <s v="долгосрочный"/>
    <x v="0"/>
    <b v="0"/>
    <n v="0.45615896318385135"/>
    <n v="0.87878787878787878"/>
    <n v="0.18999913562105625"/>
  </r>
  <r>
    <n v="1885"/>
    <n v="0"/>
    <n v="337040"/>
    <n v="724"/>
    <n v="1086667"/>
    <n v="0"/>
    <n v="9598.99"/>
    <n v="13.6"/>
    <n v="5"/>
    <n v="344014"/>
    <n v="435798"/>
    <x v="1"/>
    <s v="4bba7bfc-965b-4648-915e-54ca7e32e759"/>
    <s v="консолидация кредитов"/>
    <s v="в аренде"/>
    <s v="краткосрочный"/>
    <x v="0"/>
    <b v="0"/>
    <n v="0.41082692969377221"/>
    <n v="0.83636363636363631"/>
    <n v="0.10600108404874722"/>
  </r>
  <r>
    <n v="1886"/>
    <n v="0"/>
    <n v="240328"/>
    <n v="696"/>
    <n v="1124496"/>
    <n v="2"/>
    <n v="29611.69"/>
    <n v="17.2"/>
    <n v="13"/>
    <n v="294728"/>
    <n v="689436"/>
    <x v="4"/>
    <s v="145c77a3-a407-4161-85f8-67ae951a35f1"/>
    <s v="консолидация кредитов"/>
    <s v="в ипотеке"/>
    <s v="краткосрочный"/>
    <x v="0"/>
    <b v="0"/>
    <n v="0.28478036472072488"/>
    <n v="0.66666666666666663"/>
    <n v="0.31599959448499593"/>
  </r>
  <r>
    <n v="1887"/>
    <n v="0"/>
    <n v="68662"/>
    <n v="720"/>
    <n v="807595"/>
    <n v="0"/>
    <n v="26179.91"/>
    <n v="9.5"/>
    <n v="15"/>
    <n v="204079"/>
    <n v="283338"/>
    <x v="9"/>
    <s v="1bb59090-ee78-45ba-8568-f66da087d5d8"/>
    <s v="консолидация кредитов"/>
    <s v="в аренде"/>
    <s v="краткосрочный"/>
    <x v="1"/>
    <b v="0"/>
    <n v="6.1044844592269755E-2"/>
    <n v="0.81212121212121213"/>
    <n v="0.38900552876132222"/>
  </r>
  <r>
    <n v="1888"/>
    <n v="0"/>
    <n v="414194"/>
    <n v="713"/>
    <n v="797012"/>
    <n v="0"/>
    <n v="20987.78"/>
    <n v="9.6"/>
    <n v="13"/>
    <n v="246430"/>
    <n v="458018"/>
    <x v="8"/>
    <s v="93ca1f42-39fb-4fff-b665-cc68d2d4e422"/>
    <s v="консолидация кредитов"/>
    <s v="в аренде"/>
    <s v="долгосрочный"/>
    <x v="1"/>
    <b v="0"/>
    <n v="0.51138318614520017"/>
    <n v="0.76969696969696966"/>
    <n v="0.31599694860303229"/>
  </r>
  <r>
    <n v="1889"/>
    <n v="1"/>
    <n v="352462"/>
    <n v="721"/>
    <n v="2187850"/>
    <n v="68"/>
    <n v="40839.74"/>
    <n v="21.8"/>
    <n v="14"/>
    <n v="208240"/>
    <n v="339130"/>
    <x v="6"/>
    <s v="b64f1334-0b0e-46d9-b4b0-7de2eb2f81fb"/>
    <s v="консолидация кредитов"/>
    <s v="в ипотеке"/>
    <s v="долгосрочный"/>
    <x v="0"/>
    <b v="0"/>
    <n v="0.43092671177887371"/>
    <n v="0.81818181818181823"/>
    <n v="0.22399930525401648"/>
  </r>
  <r>
    <n v="1890"/>
    <n v="0"/>
    <n v="675048"/>
    <n v="732"/>
    <n v="2444806"/>
    <n v="33"/>
    <n v="27504.02"/>
    <n v="16"/>
    <n v="8"/>
    <n v="268964"/>
    <n v="339636"/>
    <x v="1"/>
    <s v="32d66015-938a-4bb7-8f96-2d7ce8b2e476"/>
    <s v="консолидация кредитов"/>
    <s v="в аренде"/>
    <s v="краткосрочный"/>
    <x v="0"/>
    <b v="0"/>
    <n v="0.85135910081431354"/>
    <n v="0.88484848484848488"/>
    <n v="0.13499976685266643"/>
  </r>
  <r>
    <n v="1891"/>
    <n v="0"/>
    <n v="620620"/>
    <n v="712"/>
    <n v="1835058"/>
    <n v="0"/>
    <n v="27372.92"/>
    <n v="16.8"/>
    <n v="10"/>
    <n v="592800"/>
    <n v="825000"/>
    <x v="0"/>
    <s v="1fb2387f-9ed7-4978-9cdc-79b46bbb7eda"/>
    <s v="консолидация кредитов"/>
    <s v="в аренде"/>
    <s v="краткосрочный"/>
    <x v="0"/>
    <b v="0"/>
    <n v="0.78042206675077419"/>
    <n v="0.76363636363636367"/>
    <n v="0.17899981362986891"/>
  </r>
  <r>
    <n v="1892"/>
    <n v="0"/>
    <n v="313874"/>
    <n v="742"/>
    <n v="2129919"/>
    <n v="0"/>
    <n v="24316.58"/>
    <n v="12.6"/>
    <n v="8"/>
    <n v="336642"/>
    <n v="508882"/>
    <x v="8"/>
    <s v="c5aebfd0-7545-4d98-8875-bc835da4f9d4"/>
    <s v="консолидация кредитов"/>
    <s v="в аренде"/>
    <s v="краткосрочный"/>
    <x v="0"/>
    <b v="0"/>
    <n v="0.38063424704667964"/>
    <n v="0.94545454545454544"/>
    <n v="0.13700002676158107"/>
  </r>
  <r>
    <n v="1893"/>
    <n v="0"/>
    <n v="474144"/>
    <n v="657"/>
    <n v="1139601"/>
    <n v="23"/>
    <n v="23457.02"/>
    <n v="18.7"/>
    <n v="19"/>
    <n v="270921"/>
    <n v="637582"/>
    <x v="8"/>
    <s v="90b6a3db-4808-4131-a0d1-5dbbb66af4d4"/>
    <s v="консолидация кредитов"/>
    <s v="в ипотеке"/>
    <s v="долгосрочный"/>
    <x v="0"/>
    <b v="0"/>
    <n v="0.58951714646175024"/>
    <n v="0.4303030303030303"/>
    <n v="0.24700245085780023"/>
  </r>
  <r>
    <n v="1894"/>
    <n v="1"/>
    <n v="120912"/>
    <n v="735"/>
    <n v="801154"/>
    <n v="13"/>
    <n v="4406.29"/>
    <n v="14.4"/>
    <n v="11"/>
    <n v="97622"/>
    <n v="359986"/>
    <x v="6"/>
    <s v="bb51fa53-de03-452c-9642-e794fec1a9ae"/>
    <s v="консолидация кредитов"/>
    <s v="в аренде"/>
    <s v="краткосрочный"/>
    <x v="0"/>
    <b v="0"/>
    <n v="0.12914325037274918"/>
    <n v="0.90303030303030307"/>
    <n v="6.5999146231560973E-2"/>
  </r>
  <r>
    <n v="1895"/>
    <n v="0"/>
    <n v="103686"/>
    <n v="723"/>
    <n v="1168044"/>
    <n v="0"/>
    <n v="9779.8700000000008"/>
    <n v="9.4"/>
    <n v="12"/>
    <n v="114152"/>
    <n v="380864"/>
    <x v="1"/>
    <s v="ab53ab60-b284-45b4-965b-2dc5dd87d3bf"/>
    <s v="консолидация кредитов"/>
    <s v="в аренде"/>
    <s v="краткосрочный"/>
    <x v="1"/>
    <b v="0"/>
    <n v="0.10669228122491112"/>
    <n v="0.83030303030303032"/>
    <n v="0.10047433144641812"/>
  </r>
  <r>
    <n v="1896"/>
    <n v="0"/>
    <n v="440660"/>
    <n v="723"/>
    <n v="1168044"/>
    <n v="15"/>
    <n v="17442.95"/>
    <n v="12.1"/>
    <n v="9"/>
    <n v="273885"/>
    <n v="592746"/>
    <x v="8"/>
    <s v="50511f43-9a8f-4e9b-8e69-0f7cbcd7fbea"/>
    <s v="консолидация кредитов"/>
    <s v="в собственности"/>
    <s v="краткосрочный"/>
    <x v="0"/>
    <b v="0"/>
    <n v="0.54587682073632293"/>
    <n v="0.83030303030303032"/>
    <n v="0.17920163966425923"/>
  </r>
  <r>
    <n v="1897"/>
    <n v="0"/>
    <n v="448404"/>
    <n v="717"/>
    <n v="968145"/>
    <n v="7"/>
    <n v="17265.3"/>
    <n v="24.7"/>
    <n v="12"/>
    <n v="583661"/>
    <n v="1132010"/>
    <x v="0"/>
    <s v="d351c139-4aa5-4ff6-a0da-7fbf467fd80c"/>
    <s v="консолидация кредитов"/>
    <s v="в ипотеке"/>
    <s v="долгосрочный"/>
    <x v="0"/>
    <b v="0"/>
    <n v="0.55596972129831401"/>
    <n v="0.79393939393939394"/>
    <n v="0.21400058875478362"/>
  </r>
  <r>
    <n v="1898"/>
    <n v="0"/>
    <m/>
    <n v="704"/>
    <n v="1236444"/>
    <n v="0"/>
    <n v="31323.21"/>
    <n v="14.6"/>
    <n v="17"/>
    <n v="272460"/>
    <n v="486112"/>
    <x v="4"/>
    <s v="92c8d2cf-9e0c-4c29-898e-2a191f1045d1"/>
    <s v="медицинские препараты"/>
    <s v="в ипотеке"/>
    <s v="краткосрочный"/>
    <x v="0"/>
    <b v="0"/>
    <m/>
    <n v="0.7151515151515152"/>
    <n v="0.30399963120044254"/>
  </r>
  <r>
    <n v="1899"/>
    <n v="0"/>
    <n v="78034"/>
    <n v="732"/>
    <n v="936130"/>
    <n v="0"/>
    <n v="1739.64"/>
    <n v="13"/>
    <n v="2"/>
    <n v="39615"/>
    <n v="82368"/>
    <x v="9"/>
    <s v="cf835aa5-6820-4152-80d5-4d0aa3507bc5"/>
    <s v="ремонт жилья"/>
    <s v="в ипотеке"/>
    <s v="краткосрочный"/>
    <x v="0"/>
    <b v="0"/>
    <n v="7.3259548113315753E-2"/>
    <n v="0.88484848484848488"/>
    <n v="2.2299979703673638E-2"/>
  </r>
  <r>
    <n v="1900"/>
    <n v="0"/>
    <n v="326084"/>
    <n v="723"/>
    <n v="1168044"/>
    <n v="0"/>
    <n v="15112.98"/>
    <n v="46.2"/>
    <n v="13"/>
    <n v="677445"/>
    <m/>
    <x v="1"/>
    <s v="b701c72f-a67a-4bb0-85b0-a48287ab8e9f"/>
    <s v="ремонт жилья"/>
    <s v="в ипотеке"/>
    <s v="краткосрочный"/>
    <x v="1"/>
    <b v="0"/>
    <n v="0.39654776923959167"/>
    <n v="0.83030303030303032"/>
    <n v="0.15526449346086277"/>
  </r>
  <r>
    <n v="1901"/>
    <n v="0"/>
    <n v="115434"/>
    <n v="737"/>
    <n v="722019"/>
    <n v="39"/>
    <n v="17749.61"/>
    <n v="21.4"/>
    <n v="7"/>
    <n v="798"/>
    <n v="306350"/>
    <x v="1"/>
    <s v="b66d5ba5-f729-4282-93cf-83ec060a4088"/>
    <s v="приобретение автомобиля"/>
    <s v="в ипотеке"/>
    <s v="краткосрочный"/>
    <x v="1"/>
    <b v="0"/>
    <n v="0.12200367014565891"/>
    <n v="0.91515151515151516"/>
    <n v="0.29499960527354546"/>
  </r>
  <r>
    <n v="1902"/>
    <n v="0"/>
    <n v="264946"/>
    <n v="746"/>
    <n v="858078"/>
    <n v="0"/>
    <n v="11155.09"/>
    <n v="13.7"/>
    <n v="11"/>
    <n v="57437"/>
    <n v="588522"/>
    <x v="4"/>
    <s v="70b37d05-48fc-4079-8567-f09dfe69d22d"/>
    <s v="консолидация кредитов"/>
    <s v="в собственности"/>
    <s v="краткосрочный"/>
    <x v="0"/>
    <b v="0"/>
    <n v="0.31686546622319073"/>
    <n v="0.96969696969696972"/>
    <n v="0.15600106284044107"/>
  </r>
  <r>
    <n v="1903"/>
    <n v="0"/>
    <n v="254034"/>
    <n v="674"/>
    <n v="1304198"/>
    <n v="49"/>
    <n v="35539.31"/>
    <n v="12.7"/>
    <n v="12"/>
    <n v="43852"/>
    <n v="280588"/>
    <x v="2"/>
    <s v="90e43776-79d2-45c4-ad89-13b148c95e4d"/>
    <s v="консолидация кредитов"/>
    <s v="в аренде"/>
    <s v="краткосрочный"/>
    <x v="0"/>
    <b v="0"/>
    <n v="0.30264365179493063"/>
    <n v="0.53333333333333333"/>
    <n v="0.32699921330963544"/>
  </r>
  <r>
    <n v="1904"/>
    <n v="0"/>
    <n v="146322"/>
    <n v="704"/>
    <n v="595384"/>
    <n v="0"/>
    <n v="6499.52"/>
    <n v="10"/>
    <n v="14"/>
    <n v="149549"/>
    <n v="335610"/>
    <x v="0"/>
    <s v="18ca1522-d603-4b4e-811b-ecdfb2d249b3"/>
    <s v="консолидация кредитов"/>
    <s v="в аренде"/>
    <s v="краткосрочный"/>
    <x v="0"/>
    <b v="0"/>
    <n v="0.16226058034178231"/>
    <n v="0.7151515151515152"/>
    <n v="0.13099821291804953"/>
  </r>
  <r>
    <n v="1905"/>
    <n v="0"/>
    <n v="687170"/>
    <n v="734"/>
    <n v="2132788"/>
    <n v="69"/>
    <n v="58829.13"/>
    <n v="18.5"/>
    <n v="20"/>
    <n v="826804"/>
    <n v="2849242"/>
    <x v="1"/>
    <s v="39e68e74-15af-406c-a32f-6a4546a90154"/>
    <s v="консолидация кредитов"/>
    <s v="в ипотеке"/>
    <s v="краткосрочный"/>
    <x v="0"/>
    <b v="1"/>
    <n v="0.86715793095538474"/>
    <n v="0.89696969696969697"/>
    <n v="0.33099846773331432"/>
  </r>
  <r>
    <n v="1906"/>
    <n v="0"/>
    <n v="220858"/>
    <n v="704"/>
    <n v="1907410"/>
    <n v="20"/>
    <n v="20504.61"/>
    <n v="12.3"/>
    <n v="9"/>
    <n v="92872"/>
    <n v="185416"/>
    <x v="5"/>
    <s v="c964919c-8f7f-4872-a8e0-b9110349b22a"/>
    <s v="бизнес"/>
    <s v="в аренде"/>
    <s v="долгосрочный"/>
    <x v="1"/>
    <b v="0"/>
    <n v="0.25940474825094623"/>
    <n v="0.7151515151515152"/>
    <n v="0.12899970116545473"/>
  </r>
  <r>
    <n v="1907"/>
    <n v="0"/>
    <n v="429880"/>
    <n v="748"/>
    <n v="1949115"/>
    <n v="0"/>
    <n v="22252.42"/>
    <n v="22.2"/>
    <n v="22"/>
    <n v="302575"/>
    <n v="1283348"/>
    <x v="1"/>
    <s v="cb6a4ea4-83ec-4185-a9dd-0fc472450fb2"/>
    <s v="консолидация кредитов"/>
    <s v="в ипотеке"/>
    <s v="краткосрочный"/>
    <x v="0"/>
    <b v="0"/>
    <n v="0.53182704438582407"/>
    <n v="0.98181818181818181"/>
    <n v="0.13700014622020762"/>
  </r>
  <r>
    <n v="1908"/>
    <n v="0"/>
    <n v="343200"/>
    <n v="726"/>
    <n v="1389375"/>
    <n v="0"/>
    <n v="16440.89"/>
    <n v="23.2"/>
    <n v="7"/>
    <n v="355661"/>
    <n v="591690"/>
    <x v="1"/>
    <s v="69a39e2e-a3cc-45fc-b256-a72aac52e928"/>
    <s v="иное"/>
    <s v="в ипотеке"/>
    <s v="долгосрочный"/>
    <x v="0"/>
    <b v="0"/>
    <n v="0.41885537332262873"/>
    <n v="0.84848484848484851"/>
    <n v="0.14199958974358973"/>
  </r>
  <r>
    <n v="1909"/>
    <n v="0"/>
    <n v="194920"/>
    <n v="740"/>
    <n v="1253145"/>
    <n v="20"/>
    <n v="19423.7"/>
    <n v="12"/>
    <n v="13"/>
    <n v="215517"/>
    <n v="572374"/>
    <x v="5"/>
    <s v="c36b7534-1046-46a9-941b-c6fbd137676a"/>
    <s v="консолидация кредитов"/>
    <s v="в аренде"/>
    <s v="краткосрочный"/>
    <x v="0"/>
    <b v="0"/>
    <n v="0.22559926597086821"/>
    <n v="0.93333333333333335"/>
    <n v="0.18599954514441666"/>
  </r>
  <r>
    <n v="1910"/>
    <n v="0"/>
    <n v="178156"/>
    <n v="723"/>
    <n v="1168044"/>
    <n v="0"/>
    <n v="12955.91"/>
    <n v="20.399999999999999"/>
    <n v="19"/>
    <n v="271035"/>
    <n v="2149510"/>
    <x v="5"/>
    <s v="fe551c0b-7e40-4258-b9f3-357ce95dccb6"/>
    <s v="ремонт жилья"/>
    <s v="в собственности"/>
    <s v="краткосрочный"/>
    <x v="1"/>
    <b v="0"/>
    <n v="0.20375043009519439"/>
    <n v="0.83030303030303032"/>
    <n v="0.13310365020495804"/>
  </r>
  <r>
    <n v="1911"/>
    <n v="0"/>
    <n v="159962"/>
    <n v="747"/>
    <n v="690764"/>
    <n v="0"/>
    <n v="8001.47"/>
    <n v="17.2"/>
    <n v="7"/>
    <n v="232940"/>
    <n v="322256"/>
    <x v="9"/>
    <s v="c5fe1722-fe80-4e3b-bd50-26f49068b3ef"/>
    <s v="приобретение автомобиля"/>
    <s v="в аренде"/>
    <s v="краткосрочный"/>
    <x v="0"/>
    <b v="0"/>
    <n v="0.18003784837710746"/>
    <n v="0.97575757575757571"/>
    <n v="0.1390020904389922"/>
  </r>
  <r>
    <n v="1912"/>
    <n v="0"/>
    <n v="358688"/>
    <n v="721"/>
    <n v="1770173"/>
    <n v="0"/>
    <n v="36288.29"/>
    <n v="13.9"/>
    <n v="14"/>
    <n v="160816"/>
    <n v="694826"/>
    <x v="6"/>
    <s v="8c3e2b19-860e-4367-8aae-12d03200e05e"/>
    <s v="консолидация кредитов"/>
    <s v="в аренде"/>
    <s v="долгосрочный"/>
    <x v="0"/>
    <b v="0"/>
    <n v="0.43904117444661084"/>
    <n v="0.81818181818181823"/>
    <n v="0.24599826118690096"/>
  </r>
  <r>
    <n v="1913"/>
    <n v="0"/>
    <n v="661716"/>
    <n v="717"/>
    <n v="1619199"/>
    <n v="5"/>
    <n v="35757.24"/>
    <n v="19.7"/>
    <n v="15"/>
    <n v="568784"/>
    <n v="1081410"/>
    <x v="1"/>
    <s v="cb87b478-27fd-42bc-9324-57e044dbbe17"/>
    <s v="консолидация кредитов"/>
    <s v="в ипотеке"/>
    <s v="долгосрочный"/>
    <x v="0"/>
    <b v="0"/>
    <n v="0.83398325496043124"/>
    <n v="0.79393939393939394"/>
    <n v="0.26499947196113632"/>
  </r>
  <r>
    <n v="1914"/>
    <n v="0"/>
    <n v="698236"/>
    <n v="747"/>
    <n v="3203514"/>
    <n v="0"/>
    <n v="24159.83"/>
    <n v="21.6"/>
    <n v="17"/>
    <n v="446424"/>
    <n v="1872838"/>
    <x v="1"/>
    <s v="146f1b5b-8372-4ead-a912-8a5a166d7593"/>
    <s v="консолидация кредитов"/>
    <s v="в ипотеке"/>
    <s v="краткосрочный"/>
    <x v="0"/>
    <b v="0"/>
    <n v="0.88158045647436634"/>
    <n v="0.97575757575757571"/>
    <n v="9.0499982207038907E-2"/>
  </r>
  <r>
    <n v="1915"/>
    <n v="0"/>
    <n v="222662"/>
    <n v="716"/>
    <n v="1538392"/>
    <n v="0"/>
    <n v="19358.150000000001"/>
    <n v="16.399999999999999"/>
    <n v="10"/>
    <n v="284582"/>
    <n v="338316"/>
    <x v="3"/>
    <s v="33ea67f5-abd0-4a59-9e22-0525e226c7cb"/>
    <s v="консолидация кредитов"/>
    <s v="в ипотеке"/>
    <s v="краткосрочный"/>
    <x v="0"/>
    <b v="0"/>
    <n v="0.26175593531368274"/>
    <n v="0.78787878787878785"/>
    <n v="0.15100039521786388"/>
  </r>
  <r>
    <n v="1916"/>
    <n v="0"/>
    <n v="440044"/>
    <n v="745"/>
    <n v="1900190"/>
    <n v="33"/>
    <n v="24860.74"/>
    <n v="20.6"/>
    <n v="10"/>
    <n v="66120"/>
    <n v="204732"/>
    <x v="10"/>
    <s v="277ce792-7895-4df7-ae9b-6349b7e48261"/>
    <s v="консолидация кредитов"/>
    <s v="в собственности"/>
    <s v="краткосрочный"/>
    <x v="0"/>
    <b v="0"/>
    <n v="0.54507397637343735"/>
    <n v="0.96363636363636362"/>
    <n v="0.15699950004999502"/>
  </r>
  <r>
    <n v="1917"/>
    <n v="0"/>
    <n v="556292"/>
    <n v="729"/>
    <n v="1683400"/>
    <n v="51"/>
    <n v="24830.34"/>
    <n v="19.899999999999999"/>
    <n v="8"/>
    <n v="483968"/>
    <n v="706684"/>
    <x v="1"/>
    <s v="a4a5ad5b-bc2a-4c16-aff0-f14baf1ec1d6"/>
    <s v="консолидация кредитов"/>
    <s v="в аренде"/>
    <s v="краткосрочный"/>
    <x v="1"/>
    <b v="0"/>
    <n v="0.6965821768551439"/>
    <n v="0.8666666666666667"/>
    <n v="0.17700135440180587"/>
  </r>
  <r>
    <n v="1918"/>
    <n v="0"/>
    <n v="225192"/>
    <n v="710"/>
    <n v="1166904"/>
    <n v="45"/>
    <n v="10307.69"/>
    <n v="20.100000000000001"/>
    <n v="14"/>
    <n v="431319"/>
    <n v="603174"/>
    <x v="0"/>
    <s v="1c7ced74-b1c5-4728-b25c-f69ddfa5a060"/>
    <s v="консолидация кредитов"/>
    <s v="в ипотеке"/>
    <s v="краткосрочный"/>
    <x v="0"/>
    <b v="0"/>
    <n v="0.26505333180410595"/>
    <n v="0.75151515151515147"/>
    <n v="0.10600039077764753"/>
  </r>
  <r>
    <n v="1919"/>
    <n v="0"/>
    <n v="358688"/>
    <n v="729"/>
    <n v="1161660"/>
    <n v="12"/>
    <n v="7783.16"/>
    <n v="23.2"/>
    <n v="11"/>
    <n v="278882"/>
    <n v="767008"/>
    <x v="6"/>
    <s v="66ed9248-b192-4286-8b87-13fe055cdf92"/>
    <s v="консолидация кредитов"/>
    <s v="в ипотеке"/>
    <s v="краткосрочный"/>
    <x v="0"/>
    <b v="0"/>
    <n v="0.43904117444661084"/>
    <n v="0.8666666666666667"/>
    <n v="8.0400392541707555E-2"/>
  </r>
  <r>
    <n v="1920"/>
    <n v="0"/>
    <n v="450208"/>
    <n v="738"/>
    <n v="4374180"/>
    <n v="0"/>
    <n v="44033.45"/>
    <n v="22.6"/>
    <n v="14"/>
    <n v="2693554"/>
    <n v="6900146"/>
    <x v="1"/>
    <s v="5757e8a3-0615-4fb7-9033-7cae3458aa6f"/>
    <s v="иное"/>
    <s v="в собственности"/>
    <s v="долгосрочный"/>
    <x v="0"/>
    <b v="1"/>
    <n v="0.55832090836105053"/>
    <n v="0.92121212121212126"/>
    <n v="0.1208001042481105"/>
  </r>
  <r>
    <n v="1921"/>
    <n v="0"/>
    <n v="133848"/>
    <n v="750"/>
    <n v="2620176"/>
    <n v="0"/>
    <n v="6681.54"/>
    <n v="25"/>
    <n v="14"/>
    <n v="870504"/>
    <n v="14822676"/>
    <x v="1"/>
    <s v="b5122a31-c91e-461d-b678-8215eeacc69c"/>
    <s v="консолидация кредитов"/>
    <s v="в ипотеке"/>
    <s v="краткосрочный"/>
    <x v="0"/>
    <b v="0"/>
    <n v="0.14600298199334785"/>
    <n v="0.9939393939393939"/>
    <n v="3.0600417681865645E-2"/>
  </r>
  <r>
    <n v="1922"/>
    <n v="0"/>
    <n v="453508"/>
    <n v="723"/>
    <n v="1168044"/>
    <n v="0"/>
    <n v="35435.760000000002"/>
    <n v="33.5"/>
    <n v="16"/>
    <n v="477869"/>
    <n v="1808202"/>
    <x v="1"/>
    <s v="d93d5503-1a71-4160-a04d-9f75f01d863e"/>
    <s v="консолидация кредитов"/>
    <s v="в собственности"/>
    <s v="краткосрочный"/>
    <x v="0"/>
    <b v="0"/>
    <n v="0.56262186030508088"/>
    <n v="0.83030303030303032"/>
    <n v="0.36405231309779429"/>
  </r>
  <r>
    <n v="1923"/>
    <n v="0"/>
    <n v="528836"/>
    <n v="718"/>
    <n v="1140912"/>
    <n v="0"/>
    <n v="19899.650000000001"/>
    <n v="13.9"/>
    <n v="11"/>
    <n v="272403"/>
    <n v="517066"/>
    <x v="3"/>
    <s v="0820ef0b-c1d9-40a1-ad87-225e7cfc72f5"/>
    <s v="консолидация кредитов"/>
    <s v="в аренде"/>
    <s v="краткосрочный"/>
    <x v="0"/>
    <b v="0"/>
    <n v="0.66079825668081205"/>
    <n v="0.8"/>
    <n v="0.20930255795363711"/>
  </r>
  <r>
    <n v="1924"/>
    <n v="0"/>
    <n v="261140"/>
    <n v="723"/>
    <n v="1168044"/>
    <n v="19"/>
    <n v="13720.28"/>
    <n v="42.7"/>
    <n v="8"/>
    <n v="147307"/>
    <n v="245784"/>
    <x v="4"/>
    <s v="1f76e90b-5417-497a-b134-8f4d2478f3f0"/>
    <s v="консолидация кредитов"/>
    <s v="в ипотеке"/>
    <s v="краткосрочный"/>
    <x v="0"/>
    <b v="0"/>
    <n v="0.3119050349810758"/>
    <n v="0.83030303030303032"/>
    <n v="0.14095647081788015"/>
  </r>
  <r>
    <n v="1925"/>
    <n v="0"/>
    <n v="219846"/>
    <n v="711"/>
    <n v="572451"/>
    <n v="10"/>
    <n v="13118.74"/>
    <n v="12.8"/>
    <n v="10"/>
    <n v="113525"/>
    <n v="150216"/>
    <x v="9"/>
    <s v="f36523d1-3060-47e1-be7c-33ff7abca005"/>
    <s v="консолидация кредитов"/>
    <s v="в аренде"/>
    <s v="краткосрочный"/>
    <x v="0"/>
    <b v="0"/>
    <n v="0.25808578965477691"/>
    <n v="0.75757575757575757"/>
    <n v="0.27500149357761622"/>
  </r>
  <r>
    <n v="1926"/>
    <n v="0"/>
    <n v="200882"/>
    <n v="672"/>
    <n v="1044639"/>
    <n v="0"/>
    <n v="19499.7"/>
    <n v="12.1"/>
    <n v="14"/>
    <n v="231876"/>
    <n v="334774"/>
    <x v="3"/>
    <s v="04facb53-8f64-4aea-980c-3a3febb0dbe3"/>
    <s v="консолидация кредитов"/>
    <s v="в ипотеке"/>
    <s v="долгосрочный"/>
    <x v="0"/>
    <b v="0"/>
    <n v="0.23336965248308292"/>
    <n v="0.52121212121212124"/>
    <n v="0.22399738091340646"/>
  </r>
  <r>
    <n v="1927"/>
    <n v="0"/>
    <n v="165616"/>
    <n v="740"/>
    <n v="1087009"/>
    <n v="0"/>
    <n v="4212.3"/>
    <n v="15.2"/>
    <n v="4"/>
    <n v="24054"/>
    <n v="66286"/>
    <x v="3"/>
    <s v="01f8453b-bc09-413c-aef9-fbded7f9d375"/>
    <s v="ремонт жилья"/>
    <s v="в ипотеке"/>
    <s v="долгосрочный"/>
    <x v="1"/>
    <b v="0"/>
    <n v="0.18740681270787934"/>
    <n v="0.93333333333333335"/>
    <n v="4.6501546905315418E-2"/>
  </r>
  <r>
    <n v="1928"/>
    <n v="0"/>
    <n v="445588"/>
    <n v="723"/>
    <n v="1168044"/>
    <n v="0"/>
    <n v="26681.32"/>
    <n v="23.1"/>
    <n v="8"/>
    <n v="220267"/>
    <n v="378972"/>
    <x v="5"/>
    <s v="ca3c336d-32c3-4cf4-bbad-4967f3e60eb8"/>
    <s v="консолидация кредитов"/>
    <s v="в ипотеке"/>
    <s v="долгосрочный"/>
    <x v="0"/>
    <b v="0"/>
    <n v="0.55229957563940824"/>
    <n v="0.83030303030303032"/>
    <n v="0.27411282451688462"/>
  </r>
  <r>
    <n v="1929"/>
    <n v="0"/>
    <n v="219208"/>
    <n v="745"/>
    <n v="1448275"/>
    <n v="0"/>
    <n v="17499.95"/>
    <n v="13.8"/>
    <n v="10"/>
    <n v="391457"/>
    <n v="1076614"/>
    <x v="9"/>
    <s v="4c9d4eae-19ea-43cd-bc45-6c35c0cbc8ee"/>
    <s v="консолидация кредитов"/>
    <s v="в ипотеке"/>
    <s v="краткосрочный"/>
    <x v="0"/>
    <b v="0"/>
    <n v="0.25725427227893105"/>
    <n v="0.96363636363636362"/>
    <n v="0.1449996720236143"/>
  </r>
  <r>
    <n v="1930"/>
    <n v="0"/>
    <n v="99616"/>
    <n v="741"/>
    <n v="1926467"/>
    <n v="0"/>
    <n v="10964.71"/>
    <n v="22"/>
    <n v="6"/>
    <n v="22515"/>
    <n v="30316"/>
    <x v="6"/>
    <s v="c02351cb-9530-4340-b05f-8621040428f9"/>
    <s v="консолидация кредитов"/>
    <s v="в ипотеке"/>
    <s v="краткосрочный"/>
    <x v="0"/>
    <b v="0"/>
    <n v="0.10138777382727376"/>
    <n v="0.93939393939393945"/>
    <n v="6.8299389504206401E-2"/>
  </r>
  <r>
    <n v="1931"/>
    <n v="0"/>
    <n v="261734"/>
    <n v="742"/>
    <n v="941830"/>
    <n v="0"/>
    <n v="13421.03"/>
    <n v="17.2"/>
    <n v="9"/>
    <n v="295830"/>
    <n v="588566"/>
    <x v="1"/>
    <s v="6a6d91c6-e8ff-4ad2-9207-78f886ccba91"/>
    <s v="консолидация кредитов"/>
    <s v="в аренде"/>
    <s v="краткосрочный"/>
    <x v="1"/>
    <b v="0"/>
    <n v="0.31267920633100127"/>
    <n v="0.94545454545454544"/>
    <n v="0.17099939479523907"/>
  </r>
  <r>
    <n v="1932"/>
    <n v="0"/>
    <n v="323840"/>
    <n v="723"/>
    <n v="1168044"/>
    <n v="0"/>
    <n v="22577.89"/>
    <n v="23.3"/>
    <n v="16"/>
    <n v="360791"/>
    <n v="553322"/>
    <x v="10"/>
    <s v="e2f79824-9225-40cd-bac6-daa068722f29"/>
    <s v="консолидация кредитов"/>
    <s v="в ипотеке"/>
    <s v="краткосрочный"/>
    <x v="0"/>
    <b v="0"/>
    <n v="0.39362312191765109"/>
    <n v="0.83030303030303032"/>
    <n v="0.23195588522350186"/>
  </r>
  <r>
    <n v="1933"/>
    <n v="0"/>
    <n v="202488"/>
    <n v="687"/>
    <n v="668002"/>
    <n v="6"/>
    <n v="10799.22"/>
    <n v="16.3"/>
    <n v="11"/>
    <n v="88521"/>
    <n v="206250"/>
    <x v="1"/>
    <s v="0b945b76-a670-4e55-8528-dee971bac49e"/>
    <s v="консолидация кредитов"/>
    <s v="в аренде"/>
    <s v="краткосрочный"/>
    <x v="0"/>
    <b v="0"/>
    <n v="0.23546278242917765"/>
    <n v="0.61212121212121207"/>
    <n v="0.19399738324136753"/>
  </r>
  <r>
    <n v="1934"/>
    <n v="0"/>
    <n v="760144"/>
    <n v="735"/>
    <n v="2607199"/>
    <n v="0"/>
    <n v="48798.080000000002"/>
    <n v="25.2"/>
    <n v="9"/>
    <n v="1666984"/>
    <n v="2188428"/>
    <x v="1"/>
    <s v="5e818401-25c4-42c4-b8c9-4a769945ba71"/>
    <s v="консолидация кредитов"/>
    <s v="в ипотеке"/>
    <s v="краткосрочный"/>
    <x v="0"/>
    <b v="1"/>
    <n v="0.96226631494437431"/>
    <n v="0.90303030303030307"/>
    <n v="0.22460002477754862"/>
  </r>
  <r>
    <n v="1935"/>
    <n v="0"/>
    <n v="655138"/>
    <n v="700"/>
    <n v="1874844"/>
    <n v="30"/>
    <n v="36247.06"/>
    <n v="15.4"/>
    <n v="19"/>
    <n v="269819"/>
    <n v="797016"/>
    <x v="0"/>
    <s v="cb8000e4-3993-4bad-ae0f-533302d4361d"/>
    <s v="консолидация кредитов"/>
    <s v="в ипотеке"/>
    <s v="краткосрочный"/>
    <x v="0"/>
    <b v="0"/>
    <n v="0.82541002408533093"/>
    <n v="0.69090909090909092"/>
    <n v="0.23200048644047183"/>
  </r>
  <r>
    <n v="1936"/>
    <n v="0"/>
    <n v="142912"/>
    <n v="711"/>
    <n v="1060675"/>
    <n v="0"/>
    <n v="6885.6"/>
    <n v="14.7"/>
    <n v="7"/>
    <n v="138016"/>
    <n v="197560"/>
    <x v="1"/>
    <s v="5a2a5685-477e-4470-aa22-aa85467d17ff"/>
    <s v="консолидация кредитов"/>
    <s v="в аренде"/>
    <s v="краткосрочный"/>
    <x v="1"/>
    <b v="0"/>
    <n v="0.15781626333295104"/>
    <n v="0.75757575757575757"/>
    <n v="7.7900582176444258E-2"/>
  </r>
  <r>
    <n v="1937"/>
    <n v="1"/>
    <n v="224224"/>
    <n v="718"/>
    <n v="1084425"/>
    <n v="0"/>
    <n v="23947.79"/>
    <n v="16.399999999999999"/>
    <n v="17"/>
    <n v="327826"/>
    <n v="511566"/>
    <x v="1"/>
    <s v="bf77fdc1-24fb-427a-9a0d-fe8552ec57fa"/>
    <s v="консолидация кредитов"/>
    <s v="в ипотеке"/>
    <s v="краткосрочный"/>
    <x v="1"/>
    <b v="0"/>
    <n v="0.26379171923385708"/>
    <n v="0.8"/>
    <n v="0.26500078843626806"/>
  </r>
  <r>
    <n v="1938"/>
    <n v="0"/>
    <n v="66836"/>
    <n v="715"/>
    <n v="692550"/>
    <n v="0"/>
    <n v="11831.11"/>
    <n v="28.3"/>
    <n v="10"/>
    <n v="423605"/>
    <n v="638660"/>
    <x v="2"/>
    <s v="e11932bb-38c9-4a31-b470-cf101a5bd5a5"/>
    <s v="бизнес"/>
    <s v="в аренде"/>
    <s v="краткосрочный"/>
    <x v="0"/>
    <b v="0"/>
    <n v="5.8664984516573003E-2"/>
    <n v="0.78181818181818186"/>
    <n v="0.20500082304526751"/>
  </r>
  <r>
    <n v="1939"/>
    <n v="0"/>
    <n v="218988"/>
    <n v="736"/>
    <n v="1365131"/>
    <n v="0"/>
    <n v="14902.65"/>
    <n v="10.4"/>
    <n v="11"/>
    <n v="92758"/>
    <n v="206536"/>
    <x v="5"/>
    <s v="bb5aae8a-6389-4583-8aeb-4524cd3c1358"/>
    <s v="консолидация кредитов"/>
    <s v="в аренде"/>
    <s v="краткосрочный"/>
    <x v="0"/>
    <b v="0"/>
    <n v="0.25696754214932904"/>
    <n v="0.90909090909090906"/>
    <n v="0.13099973555651434"/>
  </r>
  <r>
    <n v="1940"/>
    <n v="0"/>
    <n v="172744"/>
    <n v="725"/>
    <n v="1398647"/>
    <n v="5"/>
    <n v="6119.14"/>
    <n v="16.3"/>
    <n v="4"/>
    <n v="149625"/>
    <n v="319638"/>
    <x v="1"/>
    <s v="d2b6ea87-e5c3-476e-81e8-65c286318457"/>
    <s v="консолидация кредитов"/>
    <s v="в аренде"/>
    <s v="краткосрочный"/>
    <x v="0"/>
    <b v="0"/>
    <n v="0.19669686890698473"/>
    <n v="0.84242424242424241"/>
    <n v="5.250050942089033E-2"/>
  </r>
  <r>
    <n v="1941"/>
    <n v="4"/>
    <n v="346478"/>
    <n v="744"/>
    <n v="2094598"/>
    <n v="59"/>
    <n v="13806.92"/>
    <n v="20.5"/>
    <n v="16"/>
    <n v="220704"/>
    <n v="443652"/>
    <x v="7"/>
    <s v="03e63399-7b68-4979-a4ba-78faf7731cf7"/>
    <s v="ремонт жилья"/>
    <s v="в ипотеке"/>
    <s v="долгосрочный"/>
    <x v="0"/>
    <b v="0"/>
    <n v="0.4231276522536988"/>
    <n v="0.95757575757575752"/>
    <n v="7.9100161462963295E-2"/>
  </r>
  <r>
    <n v="1942"/>
    <n v="1"/>
    <n v="106062"/>
    <n v="723"/>
    <n v="1168044"/>
    <n v="32"/>
    <n v="3417.15"/>
    <n v="17.7"/>
    <n v="10"/>
    <n v="80940"/>
    <n v="261074"/>
    <x v="4"/>
    <s v="79e9d1de-914a-472f-9384-709afccaa175"/>
    <s v="консолидация кредитов"/>
    <s v="в аренде"/>
    <s v="краткосрочный"/>
    <x v="1"/>
    <b v="0"/>
    <n v="0.10978896662461292"/>
    <n v="0.83030303030303032"/>
    <n v="3.5106382978723406E-2"/>
  </r>
  <r>
    <n v="1943"/>
    <n v="0"/>
    <m/>
    <n v="689"/>
    <n v="845861"/>
    <n v="0"/>
    <n v="15578.1"/>
    <n v="32.799999999999997"/>
    <n v="10"/>
    <n v="412623"/>
    <n v="552354"/>
    <x v="1"/>
    <s v="906f970d-681e-4bdd-ad4b-08a0ab9c89a6"/>
    <s v="консолидация кредитов"/>
    <s v="в ипотеке"/>
    <s v="долгосрочный"/>
    <x v="0"/>
    <b v="0"/>
    <m/>
    <n v="0.62424242424242427"/>
    <n v="0.22100226869426537"/>
  </r>
  <r>
    <n v="1944"/>
    <n v="0"/>
    <n v="671946"/>
    <n v="723"/>
    <n v="1168044"/>
    <n v="0"/>
    <n v="38760.379999999997"/>
    <n v="17.3"/>
    <n v="13"/>
    <n v="880593"/>
    <n v="1234442"/>
    <x v="8"/>
    <s v="a2f50f00-44a7-4b19-8d90-99d7590f8537"/>
    <s v="консолидация кредитов"/>
    <s v="в аренде"/>
    <s v="долгосрочный"/>
    <x v="1"/>
    <b v="0"/>
    <n v="0.84731620598692514"/>
    <n v="0.83030303030303032"/>
    <n v="0.39820808120242041"/>
  </r>
  <r>
    <n v="1945"/>
    <n v="0"/>
    <n v="48488"/>
    <n v="683"/>
    <n v="1142166"/>
    <n v="29"/>
    <n v="13420.46"/>
    <n v="16.399999999999999"/>
    <n v="11"/>
    <n v="169803"/>
    <n v="768020"/>
    <x v="5"/>
    <s v="96aa1b52-496d-40dd-b2ee-5305559684b6"/>
    <s v="иное"/>
    <s v="в аренде"/>
    <s v="краткосрочный"/>
    <x v="1"/>
    <b v="0"/>
    <n v="3.4751691707764654E-2"/>
    <n v="0.58787878787878789"/>
    <n v="0.1410000998103603"/>
  </r>
  <r>
    <n v="1946"/>
    <n v="0"/>
    <n v="332486"/>
    <n v="657"/>
    <n v="593427"/>
    <n v="43"/>
    <n v="5533.75"/>
    <n v="13.7"/>
    <n v="2"/>
    <n v="198360"/>
    <n v="286022"/>
    <x v="2"/>
    <s v="9e0bf23e-a657-4052-adc3-a9a4e406608d"/>
    <s v="консолидация кредитов"/>
    <s v="в аренде"/>
    <s v="долгосрочный"/>
    <x v="0"/>
    <b v="0"/>
    <n v="0.40489161601101042"/>
    <n v="0.4303030303030303"/>
    <n v="0.11190087407549706"/>
  </r>
  <r>
    <n v="1947"/>
    <n v="0"/>
    <n v="782716"/>
    <n v="703"/>
    <n v="2510755"/>
    <n v="0"/>
    <n v="36405.9"/>
    <n v="20.8"/>
    <n v="8"/>
    <n v="448305"/>
    <n v="650496"/>
    <x v="6"/>
    <s v="0969ef37-1387-4cf2-bf5a-569fb3510066"/>
    <s v="консолидация кредитов"/>
    <s v="в ипотеке"/>
    <s v="краткосрочный"/>
    <x v="0"/>
    <b v="0"/>
    <n v="0.99168482624154142"/>
    <n v="0.70909090909090911"/>
    <n v="0.17399977297665442"/>
  </r>
  <r>
    <n v="1948"/>
    <n v="0"/>
    <n v="133254"/>
    <n v="723"/>
    <n v="1168044"/>
    <n v="0"/>
    <n v="26944.09"/>
    <n v="21.8"/>
    <n v="7"/>
    <n v="563217"/>
    <n v="756558"/>
    <x v="8"/>
    <s v="a72ce732-1028-40bf-be2d-a92d0ad157bc"/>
    <s v="консолидация кредитов"/>
    <s v="в ипотеке"/>
    <s v="краткосрочный"/>
    <x v="0"/>
    <b v="0"/>
    <n v="0.14522881064342241"/>
    <n v="0.83030303030303032"/>
    <n v="0.27681241460081984"/>
  </r>
  <r>
    <n v="1949"/>
    <n v="0"/>
    <m/>
    <n v="737"/>
    <n v="3451464"/>
    <n v="24"/>
    <n v="22233.23"/>
    <n v="16.899999999999999"/>
    <n v="9"/>
    <n v="374338"/>
    <n v="539770"/>
    <x v="4"/>
    <s v="a66452df-4938-44e9-bf48-1f5f61780dff"/>
    <s v="консолидация кредитов"/>
    <s v="в ипотеке"/>
    <s v="краткосрочный"/>
    <x v="0"/>
    <b v="0"/>
    <m/>
    <n v="0.91515151515151516"/>
    <n v="7.7300171753203861E-2"/>
  </r>
  <r>
    <n v="1950"/>
    <n v="0"/>
    <n v="788634"/>
    <n v="683"/>
    <n v="1731926"/>
    <n v="0"/>
    <n v="25834.49"/>
    <n v="30.9"/>
    <n v="18"/>
    <n v="881524"/>
    <n v="1883244"/>
    <x v="1"/>
    <s v="4592eec7-7939-4448-b040-0182f5b85a86"/>
    <s v="консолидация кредитов"/>
    <s v="в ипотеке"/>
    <s v="долгосрочный"/>
    <x v="1"/>
    <b v="0"/>
    <n v="0.99939786672783582"/>
    <n v="0.58787878787878789"/>
    <n v="0.17899949535950152"/>
  </r>
  <r>
    <n v="1951"/>
    <n v="0"/>
    <n v="273922"/>
    <n v="704"/>
    <n v="1038616"/>
    <n v="0"/>
    <n v="13069.34"/>
    <n v="16.2"/>
    <n v="11"/>
    <n v="201970"/>
    <n v="244882"/>
    <x v="1"/>
    <s v="5c828bae-028e-4c5c-a1d8-a2748735b6d6"/>
    <s v="консолидация кредитов"/>
    <s v="в аренде"/>
    <s v="краткосрочный"/>
    <x v="1"/>
    <b v="0"/>
    <n v="0.32856405551095308"/>
    <n v="0.7151515151515152"/>
    <n v="0.1510010244402166"/>
  </r>
  <r>
    <n v="1952"/>
    <n v="0"/>
    <m/>
    <n v="750"/>
    <n v="2705220"/>
    <n v="54"/>
    <n v="13751.63"/>
    <n v="18.899999999999999"/>
    <n v="8"/>
    <n v="721829"/>
    <n v="1592008"/>
    <x v="0"/>
    <s v="f98274b4-c2a3-4542-a04d-104b0225e231"/>
    <s v="ремонт жилья"/>
    <s v="в ипотеке"/>
    <s v="краткосрочный"/>
    <x v="0"/>
    <b v="0"/>
    <m/>
    <n v="0.9939393939393939"/>
    <n v="6.1000421407501053E-2"/>
  </r>
  <r>
    <n v="1953"/>
    <n v="1"/>
    <n v="101926"/>
    <n v="711"/>
    <n v="511442"/>
    <n v="16"/>
    <n v="9653.52"/>
    <n v="18.7"/>
    <n v="8"/>
    <n v="165547"/>
    <n v="276628"/>
    <x v="4"/>
    <s v="978586ee-05e8-4d9e-a01e-e844538ffcc2"/>
    <s v="ремонт жилья"/>
    <s v="в ипотеке"/>
    <s v="долгосрочный"/>
    <x v="0"/>
    <b v="0"/>
    <n v="0.10439844018809497"/>
    <n v="0.75757575757575757"/>
    <n v="0.22650122594546401"/>
  </r>
  <r>
    <n v="1954"/>
    <n v="0"/>
    <m/>
    <n v="744"/>
    <n v="1331064"/>
    <n v="29"/>
    <n v="6145.17"/>
    <n v="13.7"/>
    <n v="3"/>
    <n v="2337"/>
    <n v="58872"/>
    <x v="9"/>
    <s v="4adc8ca4-ed21-4567-bda2-e6caef29bd4b"/>
    <s v="консолидация кредитов"/>
    <s v="в аренде"/>
    <s v="краткосрочный"/>
    <x v="0"/>
    <b v="0"/>
    <m/>
    <n v="0.95757575757575752"/>
    <n v="5.5400822199383352E-2"/>
  </r>
  <r>
    <n v="1955"/>
    <n v="0"/>
    <n v="467940"/>
    <n v="725"/>
    <n v="1010325"/>
    <n v="36"/>
    <n v="6524.98"/>
    <n v="18"/>
    <n v="5"/>
    <n v="214871"/>
    <n v="321860"/>
    <x v="0"/>
    <s v="7b3250d2-400e-4a96-a912-972495ee464d"/>
    <s v="консолидация кредитов"/>
    <s v="в аренде"/>
    <s v="краткосрочный"/>
    <x v="0"/>
    <b v="0"/>
    <n v="0.58143135680697333"/>
    <n v="0.84242424242424241"/>
    <n v="7.7499576868829329E-2"/>
  </r>
  <r>
    <n v="1956"/>
    <n v="0"/>
    <n v="245234"/>
    <n v="705"/>
    <n v="813162"/>
    <n v="0"/>
    <n v="18567.18"/>
    <n v="7.4"/>
    <n v="9"/>
    <n v="206568"/>
    <n v="422576"/>
    <x v="4"/>
    <s v="729aa0fe-b5c2-4c9e-9bda-bbbae9a472d9"/>
    <s v="консолидация кредитов"/>
    <s v="в аренде"/>
    <s v="долгосрочный"/>
    <x v="0"/>
    <b v="0"/>
    <n v="0.29117444661084985"/>
    <n v="0.72121212121212119"/>
    <n v="0.27399971961306602"/>
  </r>
  <r>
    <n v="1957"/>
    <n v="0"/>
    <n v="88352"/>
    <n v="696"/>
    <n v="992047"/>
    <n v="37"/>
    <n v="1777.45"/>
    <n v="20.5"/>
    <n v="6"/>
    <n v="67032"/>
    <n v="103774"/>
    <x v="6"/>
    <s v="8ea60eb5-c8c2-4557-a107-662b31021e28"/>
    <s v="приобретение автомобиля"/>
    <s v="в аренде"/>
    <s v="долгосрочный"/>
    <x v="0"/>
    <b v="0"/>
    <n v="8.6707191191650421E-2"/>
    <n v="0.66666666666666663"/>
    <n v="2.1500392622526957E-2"/>
  </r>
  <r>
    <n v="1958"/>
    <n v="0"/>
    <n v="450296"/>
    <n v="739"/>
    <n v="864120"/>
    <n v="38"/>
    <n v="18578.77"/>
    <n v="22.5"/>
    <n v="7"/>
    <n v="59280"/>
    <n v="367004"/>
    <x v="1"/>
    <s v="4863932d-8653-419c-86a7-64b78bc966b6"/>
    <s v="консолидация кредитов"/>
    <s v="в ипотеке"/>
    <s v="долгосрочный"/>
    <x v="1"/>
    <b v="0"/>
    <n v="0.55843560041289142"/>
    <n v="0.92727272727272725"/>
    <n v="0.25800263852242744"/>
  </r>
  <r>
    <n v="1959"/>
    <n v="0"/>
    <n v="234278"/>
    <n v="734"/>
    <n v="2081583"/>
    <n v="74"/>
    <n v="30529.96"/>
    <n v="16.3"/>
    <n v="25"/>
    <n v="154888"/>
    <n v="838090"/>
    <x v="1"/>
    <s v="b8701e4d-a8b3-41e3-b800-ec88e2781c4e"/>
    <s v="консолидация кредитов"/>
    <s v="в аренде"/>
    <s v="краткосрочный"/>
    <x v="1"/>
    <b v="0"/>
    <n v="0.27689528615666936"/>
    <n v="0.89696969696969697"/>
    <n v="0.17600043812809771"/>
  </r>
  <r>
    <n v="1960"/>
    <n v="0"/>
    <n v="445104"/>
    <n v="672"/>
    <n v="2104630"/>
    <n v="0"/>
    <n v="27851.34"/>
    <n v="22.4"/>
    <n v="17"/>
    <n v="541158"/>
    <n v="832128"/>
    <x v="1"/>
    <s v="ece59f5c-b40e-4867-965e-4b3337934660"/>
    <s v="консолидация кредитов"/>
    <s v="в ипотеке"/>
    <s v="краткосрочный"/>
    <x v="0"/>
    <b v="0"/>
    <n v="0.55166876935428377"/>
    <n v="0.52121212121212124"/>
    <n v="0.15880039721946373"/>
  </r>
  <r>
    <n v="1961"/>
    <n v="0"/>
    <m/>
    <n v="717"/>
    <n v="2315872"/>
    <n v="0"/>
    <n v="13605.71"/>
    <n v="15.2"/>
    <n v="10"/>
    <n v="480738"/>
    <n v="722920"/>
    <x v="2"/>
    <s v="0cc91c49-d4fb-4917-91a3-0ccfe423d7d5"/>
    <s v="консолидация кредитов"/>
    <s v="в аренде"/>
    <s v="краткосрочный"/>
    <x v="0"/>
    <b v="0"/>
    <m/>
    <n v="0.79393939393939394"/>
    <n v="7.0499803097925959E-2"/>
  </r>
  <r>
    <n v="1962"/>
    <n v="0"/>
    <n v="179080"/>
    <n v="727"/>
    <n v="502645"/>
    <n v="49"/>
    <n v="13529.52"/>
    <n v="13"/>
    <n v="10"/>
    <n v="197011"/>
    <n v="333520"/>
    <x v="4"/>
    <s v="1c7523f0-f98a-4eff-9507-ad2b333aa311"/>
    <s v="консолидация кредитов"/>
    <s v="в аренде"/>
    <s v="краткосрочный"/>
    <x v="1"/>
    <b v="0"/>
    <n v="0.20495469663952287"/>
    <n v="0.8545454545454545"/>
    <n v="0.32299981099981101"/>
  </r>
  <r>
    <n v="1963"/>
    <n v="0"/>
    <n v="516538"/>
    <n v="721"/>
    <n v="2323472"/>
    <n v="0"/>
    <n v="36594.57"/>
    <n v="17.3"/>
    <n v="14"/>
    <n v="774782"/>
    <n v="1125630"/>
    <x v="10"/>
    <s v="b8c577ae-aafe-47f0-abc7-b9f0785b20cc"/>
    <s v="консолидация кредитов"/>
    <s v="в ипотеке"/>
    <s v="долгосрочный"/>
    <x v="0"/>
    <b v="0"/>
    <n v="0.64477004243605918"/>
    <n v="0.81818181818181823"/>
    <n v="0.1889994112259584"/>
  </r>
  <r>
    <n v="1964"/>
    <n v="1"/>
    <n v="268466"/>
    <n v="722"/>
    <n v="2318532"/>
    <n v="0"/>
    <n v="21639.67"/>
    <n v="14.5"/>
    <n v="9"/>
    <n v="121296"/>
    <n v="282018"/>
    <x v="3"/>
    <s v="e95d8b59-2907-47a8-9a76-39221da3997c"/>
    <s v="приобретение жилья"/>
    <s v="в аренде"/>
    <s v="долгосрочный"/>
    <x v="0"/>
    <b v="0"/>
    <n v="0.32145314829682303"/>
    <n v="0.82424242424242422"/>
    <n v="0.11200019667617267"/>
  </r>
  <r>
    <n v="1965"/>
    <n v="1"/>
    <n v="287430"/>
    <n v="723"/>
    <n v="1168044"/>
    <n v="14"/>
    <n v="31683.83"/>
    <n v="21.7"/>
    <n v="16"/>
    <n v="217018"/>
    <n v="330638"/>
    <x v="3"/>
    <s v="6d5448de-74b8-4dc3-a893-d07c30ca6ff8"/>
    <s v="консолидация кредитов"/>
    <s v="в ипотеке"/>
    <s v="краткосрочный"/>
    <x v="0"/>
    <b v="0"/>
    <n v="0.34616928546851705"/>
    <n v="0.83030303030303032"/>
    <n v="0.32550653913722433"/>
  </r>
  <r>
    <n v="1966"/>
    <n v="0"/>
    <n v="502810"/>
    <n v="636"/>
    <n v="1453937"/>
    <n v="23"/>
    <n v="22293.65"/>
    <n v="20.2"/>
    <n v="6"/>
    <n v="69331"/>
    <n v="94314"/>
    <x v="7"/>
    <s v="9e0b33f9-067a-4979-8e9e-3c169484518a"/>
    <s v="консолидация кредитов"/>
    <s v="в ипотеке"/>
    <s v="долгосрочный"/>
    <x v="1"/>
    <b v="0"/>
    <n v="0.6268780823488932"/>
    <n v="0.30303030303030304"/>
    <n v="0.1839995818250722"/>
  </r>
  <r>
    <n v="1967"/>
    <n v="0"/>
    <n v="109406"/>
    <n v="732"/>
    <n v="944775"/>
    <n v="27"/>
    <n v="17084.8"/>
    <n v="21.2"/>
    <n v="6"/>
    <n v="58653"/>
    <n v="72182"/>
    <x v="8"/>
    <s v="a7f3171e-b94f-4ee2-8806-962cc8244450"/>
    <s v="консолидация кредитов"/>
    <s v="в ипотеке"/>
    <s v="краткосрочный"/>
    <x v="0"/>
    <b v="0"/>
    <n v="0.11414726459456359"/>
    <n v="0.88484848484848488"/>
    <n v="0.21700150829562592"/>
  </r>
  <r>
    <n v="1968"/>
    <n v="0"/>
    <n v="402094"/>
    <n v="745"/>
    <n v="1504819"/>
    <n v="51"/>
    <n v="14170.39"/>
    <n v="22.8"/>
    <n v="14"/>
    <n v="292087"/>
    <n v="1142614"/>
    <x v="3"/>
    <s v="4341e5fc-e0e4-4919-89b9-d6afd56e5424"/>
    <s v="консолидация кредитов"/>
    <s v="в ипотеке"/>
    <s v="долгосрочный"/>
    <x v="0"/>
    <b v="0"/>
    <n v="0.49561302901708909"/>
    <n v="0.96363636363636362"/>
    <n v="0.11300008838272244"/>
  </r>
  <r>
    <n v="1969"/>
    <n v="0"/>
    <n v="134288"/>
    <n v="721"/>
    <n v="1198387"/>
    <n v="28"/>
    <n v="10286.219999999999"/>
    <n v="23.6"/>
    <n v="8"/>
    <n v="93119"/>
    <n v="109692"/>
    <x v="7"/>
    <s v="911525d9-a6bd-4fa2-b50e-80c3df52dc37"/>
    <s v="консолидация кредитов"/>
    <s v="в аренде"/>
    <s v="краткосрочный"/>
    <x v="0"/>
    <b v="0"/>
    <n v="0.1465764422525519"/>
    <n v="0.81818181818181823"/>
    <n v="0.10300065004042934"/>
  </r>
  <r>
    <n v="1970"/>
    <n v="0"/>
    <n v="206756"/>
    <n v="726"/>
    <n v="529872"/>
    <n v="0"/>
    <n v="12981.75"/>
    <n v="15.2"/>
    <n v="6"/>
    <n v="120859"/>
    <n v="157586"/>
    <x v="1"/>
    <s v="786dbaee-3c3f-4210-b4fe-e9cdeabc8894"/>
    <s v="консолидация кредитов"/>
    <s v="в аренде"/>
    <s v="краткосрочный"/>
    <x v="0"/>
    <b v="0"/>
    <n v="0.24102534694345681"/>
    <n v="0.84848484848484851"/>
    <n v="0.29399741824440617"/>
  </r>
  <r>
    <n v="1971"/>
    <n v="0"/>
    <m/>
    <n v="732"/>
    <n v="1318695"/>
    <n v="0"/>
    <n v="30879.56"/>
    <n v="14.2"/>
    <n v="12"/>
    <n v="237215"/>
    <n v="305536"/>
    <x v="1"/>
    <s v="c7a44e80-b739-4317-8c2b-b9060a8c02a4"/>
    <s v="консолидация кредитов"/>
    <s v="в ипотеке"/>
    <s v="краткосрочный"/>
    <x v="0"/>
    <b v="0"/>
    <m/>
    <n v="0.88484848484848488"/>
    <n v="0.28100108061378865"/>
  </r>
  <r>
    <n v="1972"/>
    <n v="0"/>
    <n v="37598"/>
    <n v="690"/>
    <n v="222718"/>
    <n v="0"/>
    <n v="3433.49"/>
    <n v="9"/>
    <n v="6"/>
    <n v="82194"/>
    <n v="105270"/>
    <x v="5"/>
    <s v="6e3ddedf-8484-48f5-becd-2248c7d0e0d9"/>
    <s v="консолидация кредитов"/>
    <s v="в собственности"/>
    <s v="краткосрочный"/>
    <x v="0"/>
    <b v="0"/>
    <n v="2.0558550292464731E-2"/>
    <n v="0.63030303030303025"/>
    <n v="0.18499573451629414"/>
  </r>
  <r>
    <n v="1973"/>
    <n v="0"/>
    <n v="157080"/>
    <n v="720"/>
    <n v="1280125"/>
    <n v="5"/>
    <n v="20588.59"/>
    <n v="22.7"/>
    <n v="10"/>
    <n v="127756"/>
    <n v="283404"/>
    <x v="1"/>
    <s v="ba1bc983-aa8b-4712-a4c6-ea3d837759e5"/>
    <s v="консолидация кредитов"/>
    <s v="в аренде"/>
    <s v="краткосрочный"/>
    <x v="0"/>
    <b v="0"/>
    <n v="0.17628168367932101"/>
    <n v="0.81212121212121213"/>
    <n v="0.19299918367346941"/>
  </r>
  <r>
    <n v="1974"/>
    <n v="0"/>
    <n v="33484"/>
    <n v="722"/>
    <n v="1530108"/>
    <n v="24"/>
    <n v="18871.37"/>
    <n v="10"/>
    <n v="19"/>
    <n v="21964"/>
    <n v="69102"/>
    <x v="9"/>
    <s v="56e718a0-92d5-4f8b-8539-89ad35ce7169"/>
    <s v="иное"/>
    <s v="в аренде"/>
    <s v="краткосрочный"/>
    <x v="0"/>
    <b v="0"/>
    <n v="1.5196696868906985E-2"/>
    <n v="0.82424242424242422"/>
    <n v="0.1480002980181791"/>
  </r>
  <r>
    <n v="1975"/>
    <n v="0"/>
    <n v="109978"/>
    <n v="751"/>
    <n v="1044696"/>
    <n v="32"/>
    <n v="16540.830000000002"/>
    <n v="18.899999999999999"/>
    <n v="18"/>
    <n v="42826"/>
    <n v="378598"/>
    <x v="4"/>
    <s v="8bd7e755-6d55-414b-bdce-2cc4561bb223"/>
    <s v="консолидация кредитов"/>
    <s v="в аренде"/>
    <s v="краткосрочный"/>
    <x v="0"/>
    <b v="0"/>
    <n v="0.11489276293152885"/>
    <n v="1"/>
    <n v="0.18999781754692277"/>
  </r>
  <r>
    <n v="1976"/>
    <n v="0"/>
    <n v="66132"/>
    <n v="718"/>
    <n v="761520"/>
    <n v="27"/>
    <n v="7107.52"/>
    <n v="21.5"/>
    <n v="6"/>
    <n v="52934"/>
    <n v="147664"/>
    <x v="1"/>
    <s v="98ae6bad-e4a5-4844-b8ea-291cf132ea45"/>
    <s v="консолидация кредитов"/>
    <s v="в собственности"/>
    <s v="краткосрочный"/>
    <x v="0"/>
    <b v="0"/>
    <n v="5.7747448101846545E-2"/>
    <n v="0.8"/>
    <n v="0.112"/>
  </r>
  <r>
    <n v="1977"/>
    <n v="0"/>
    <n v="505252"/>
    <n v="725"/>
    <n v="975555"/>
    <n v="0"/>
    <n v="18291.68"/>
    <n v="13.6"/>
    <n v="17"/>
    <n v="275785"/>
    <n v="1013760"/>
    <x v="5"/>
    <s v="5708f88b-a42c-4c68-99d6-8e7f37ced52a"/>
    <s v="консолидация кредитов"/>
    <s v="в ипотеке"/>
    <s v="долгосрочный"/>
    <x v="0"/>
    <b v="0"/>
    <n v="0.63006078678747568"/>
    <n v="0.84242424242424241"/>
    <n v="0.22500029214139644"/>
  </r>
  <r>
    <n v="1978"/>
    <n v="0"/>
    <n v="108570"/>
    <n v="742"/>
    <n v="720119"/>
    <n v="62"/>
    <n v="6505.03"/>
    <n v="30.5"/>
    <n v="8"/>
    <n v="26087"/>
    <n v="97746"/>
    <x v="1"/>
    <s v="0480a681-8935-4cf0-8699-789696ce470a"/>
    <s v="путешествие"/>
    <s v="в аренде"/>
    <s v="краткосрочный"/>
    <x v="0"/>
    <b v="0"/>
    <n v="0.11305769010207592"/>
    <n v="0.94545454545454544"/>
    <n v="0.10839925067940159"/>
  </r>
  <r>
    <n v="1979"/>
    <n v="0"/>
    <n v="179806"/>
    <n v="723"/>
    <n v="1168044"/>
    <n v="10"/>
    <n v="15034.89"/>
    <n v="34"/>
    <n v="13"/>
    <n v="288667"/>
    <n v="415756"/>
    <x v="0"/>
    <s v="0aadfb40-c02e-4a7c-a5f2-a2890ce0d796"/>
    <s v="консолидация кредитов"/>
    <s v="в ипотеке"/>
    <s v="краткосрочный"/>
    <x v="1"/>
    <b v="0"/>
    <n v="0.20590090606720954"/>
    <n v="0.83030303030303032"/>
    <n v="0.15446222916260002"/>
  </r>
  <r>
    <n v="1980"/>
    <n v="0"/>
    <n v="130064"/>
    <n v="736"/>
    <n v="936035"/>
    <n v="0"/>
    <n v="8658.2999999999993"/>
    <n v="16"/>
    <n v="9"/>
    <n v="140106"/>
    <n v="318714"/>
    <x v="2"/>
    <s v="96ffb210-6dd6-4c56-80d1-1044185301ea"/>
    <s v="иное"/>
    <s v="в аренде"/>
    <s v="краткосрочный"/>
    <x v="0"/>
    <b v="0"/>
    <n v="0.14107122376419315"/>
    <n v="0.90909090909090906"/>
    <n v="0.11099969552420581"/>
  </r>
  <r>
    <n v="1981"/>
    <n v="1"/>
    <n v="255156"/>
    <n v="737"/>
    <n v="862277"/>
    <n v="73"/>
    <n v="8622.77"/>
    <n v="38.299999999999997"/>
    <n v="11"/>
    <n v="297654"/>
    <n v="618772"/>
    <x v="1"/>
    <s v="3190471a-ea53-44f5-b0bf-8a5e1bc8c948"/>
    <s v="консолидация кредитов"/>
    <s v="в аренде"/>
    <s v="краткосрочный"/>
    <x v="0"/>
    <b v="0"/>
    <n v="0.3041059754559009"/>
    <n v="0.91515151515151516"/>
    <n v="0.12"/>
  </r>
  <r>
    <n v="1982"/>
    <n v="0"/>
    <n v="474166"/>
    <n v="747"/>
    <n v="2885226"/>
    <n v="0"/>
    <n v="35824.69"/>
    <n v="20.100000000000001"/>
    <n v="8"/>
    <n v="753882"/>
    <n v="1142548"/>
    <x v="6"/>
    <s v="47fa3c11-2e10-48b0-b59b-cda6f7f3c161"/>
    <s v="консолидация кредитов"/>
    <s v="в аренде"/>
    <s v="краткосрочный"/>
    <x v="0"/>
    <b v="0"/>
    <n v="0.58954581947471041"/>
    <n v="0.97575757575757571"/>
    <n v="0.1489991702556403"/>
  </r>
  <r>
    <n v="1983"/>
    <n v="0"/>
    <n v="139414"/>
    <n v="726"/>
    <n v="526794"/>
    <n v="0"/>
    <n v="7989.69"/>
    <n v="6.5"/>
    <n v="14"/>
    <n v="187625"/>
    <n v="400840"/>
    <x v="4"/>
    <s v="feb567e7-9746-4cbf-a939-de2d0412ef84"/>
    <s v="консолидация кредитов"/>
    <s v="в ипотеке"/>
    <s v="краткосрочный"/>
    <x v="0"/>
    <b v="0"/>
    <n v="0.15325725427227893"/>
    <n v="0.84848484848484851"/>
    <n v="0.1819995671932482"/>
  </r>
  <r>
    <n v="1984"/>
    <n v="0"/>
    <n v="765314"/>
    <n v="740"/>
    <n v="4060091"/>
    <n v="0"/>
    <n v="22161.22"/>
    <n v="20.9"/>
    <n v="7"/>
    <n v="587879"/>
    <n v="1409320"/>
    <x v="4"/>
    <s v="9f35f3f5-b9bc-40a1-b82f-d77570315445"/>
    <s v="иное"/>
    <s v="в ипотеке"/>
    <s v="краткосрочный"/>
    <x v="0"/>
    <b v="0"/>
    <n v="0.96900447299002179"/>
    <n v="0.93333333333333335"/>
    <n v="6.5499674760984422E-2"/>
  </r>
  <r>
    <n v="1985"/>
    <n v="0"/>
    <n v="175890"/>
    <n v="706"/>
    <n v="856900"/>
    <n v="0"/>
    <n v="15638.52"/>
    <n v="12"/>
    <n v="12"/>
    <n v="86412"/>
    <n v="232144"/>
    <x v="7"/>
    <s v="17931585-63b3-49bf-897e-b14b61d3285e"/>
    <s v="консолидация кредитов"/>
    <s v="в собственности"/>
    <s v="краткосрочный"/>
    <x v="0"/>
    <b v="0"/>
    <n v="0.20079710976029361"/>
    <n v="0.72727272727272729"/>
    <n v="0.21900133037694017"/>
  </r>
  <r>
    <n v="1986"/>
    <n v="0"/>
    <n v="388168"/>
    <n v="693"/>
    <n v="1042929"/>
    <n v="0"/>
    <n v="0"/>
    <n v="19.8"/>
    <n v="2"/>
    <n v="0"/>
    <n v="0"/>
    <x v="5"/>
    <s v="cc4bd6b1-d485-4bad-ad6b-f856fa20f2d1"/>
    <s v="бизнес"/>
    <s v="в собственности"/>
    <s v="краткосрочный"/>
    <x v="0"/>
    <b v="0"/>
    <n v="0.47746301181328132"/>
    <n v="0.64848484848484844"/>
    <n v="0"/>
  </r>
  <r>
    <n v="1987"/>
    <n v="0"/>
    <n v="132682"/>
    <n v="718"/>
    <n v="630268"/>
    <n v="53"/>
    <n v="4432.8900000000003"/>
    <n v="9.8000000000000007"/>
    <n v="8"/>
    <n v="47557"/>
    <n v="136972"/>
    <x v="8"/>
    <s v="534279fb-e7bc-48ee-b3e6-4ff4b03a994f"/>
    <s v="консолидация кредитов"/>
    <s v="в аренде"/>
    <s v="краткосрочный"/>
    <x v="1"/>
    <b v="0"/>
    <n v="0.14448331230645717"/>
    <n v="0.8"/>
    <n v="8.4400096466899791E-2"/>
  </r>
  <r>
    <n v="1988"/>
    <n v="0"/>
    <n v="108702"/>
    <n v="747"/>
    <n v="600761"/>
    <n v="0"/>
    <n v="8711.1200000000008"/>
    <n v="10.4"/>
    <n v="5"/>
    <n v="94620"/>
    <n v="258412"/>
    <x v="3"/>
    <s v="075960b3-4f1a-40f2-a2aa-af722916315b"/>
    <s v="консолидация кредитов"/>
    <s v="в аренде"/>
    <s v="краткосрочный"/>
    <x v="0"/>
    <b v="0"/>
    <n v="0.11322972817983713"/>
    <n v="0.97575757575757571"/>
    <n v="0.17400170783389737"/>
  </r>
  <r>
    <n v="1989"/>
    <n v="0"/>
    <n v="218944"/>
    <n v="727"/>
    <n v="718542"/>
    <n v="33"/>
    <n v="11616.22"/>
    <n v="16.8"/>
    <n v="12"/>
    <n v="10564"/>
    <n v="532114"/>
    <x v="1"/>
    <s v="9e229a36-73ca-4eb3-bfde-bec3273ddd4c"/>
    <s v="путешествие"/>
    <s v="в аренде"/>
    <s v="краткосрочный"/>
    <x v="0"/>
    <b v="0"/>
    <n v="0.25691019612340865"/>
    <n v="0.8545454545454545"/>
    <n v="0.19399650959860382"/>
  </r>
  <r>
    <n v="1990"/>
    <n v="0"/>
    <n v="448228"/>
    <n v="723"/>
    <n v="1168044"/>
    <n v="0"/>
    <n v="19103.740000000002"/>
    <n v="15.4"/>
    <n v="13"/>
    <n v="411654"/>
    <n v="791780"/>
    <x v="5"/>
    <s v="683873ce-b81f-4254-b33e-0e5c815d796a"/>
    <s v="консолидация кредитов"/>
    <s v="в ипотеке"/>
    <s v="краткосрочный"/>
    <x v="0"/>
    <b v="0"/>
    <n v="0.55574033719463245"/>
    <n v="0.83030303030303032"/>
    <n v="0.19626390786648451"/>
  </r>
  <r>
    <n v="1991"/>
    <n v="0"/>
    <n v="132660"/>
    <n v="720"/>
    <n v="553755"/>
    <n v="0"/>
    <n v="4203.9399999999996"/>
    <n v="6.8"/>
    <n v="5"/>
    <n v="171456"/>
    <n v="287298"/>
    <x v="5"/>
    <s v="6415b38b-67e7-4a34-988e-f2916b982dc2"/>
    <s v="консолидация кредитов"/>
    <s v="в ипотеке"/>
    <s v="краткосрочный"/>
    <x v="0"/>
    <b v="0"/>
    <n v="0.14445463929349697"/>
    <n v="0.81212121212121213"/>
    <n v="9.110036026762737E-2"/>
  </r>
  <r>
    <n v="1992"/>
    <n v="0"/>
    <n v="337634"/>
    <n v="728"/>
    <n v="653144"/>
    <n v="0"/>
    <n v="4376.08"/>
    <n v="13.1"/>
    <n v="3"/>
    <n v="209"/>
    <n v="61908"/>
    <x v="3"/>
    <s v="f522c40d-88cf-4d54-90ab-90d9670cfae0"/>
    <s v="бизнес"/>
    <s v="в аренде"/>
    <s v="долгосрочный"/>
    <x v="1"/>
    <b v="0"/>
    <n v="0.41160110104369768"/>
    <n v="0.8606060606060606"/>
    <n v="8.0400279264603219E-2"/>
  </r>
  <r>
    <n v="1993"/>
    <n v="0"/>
    <n v="431420"/>
    <n v="749"/>
    <n v="1490360"/>
    <n v="0"/>
    <n v="2744.74"/>
    <n v="30.8"/>
    <n v="10"/>
    <n v="784871"/>
    <n v="11957990"/>
    <x v="3"/>
    <s v="c63bc59d-51f1-4534-9288-a10136b48a2f"/>
    <s v="ремонт жилья"/>
    <s v="в ипотеке"/>
    <s v="краткосрочный"/>
    <x v="0"/>
    <b v="0"/>
    <n v="0.53383415529303824"/>
    <n v="0.98787878787878791"/>
    <n v="2.2099949005609382E-2"/>
  </r>
  <r>
    <n v="1994"/>
    <n v="0"/>
    <n v="54098"/>
    <n v="739"/>
    <n v="411027"/>
    <n v="19"/>
    <n v="5857.13"/>
    <n v="16"/>
    <n v="12"/>
    <n v="184015"/>
    <n v="479864"/>
    <x v="4"/>
    <s v="2fdbe282-15ad-4d2c-a48d-e60e4b339a47"/>
    <s v="консолидация кредитов"/>
    <s v="в аренде"/>
    <s v="краткосрочный"/>
    <x v="0"/>
    <b v="0"/>
    <n v="4.2063310012616123E-2"/>
    <n v="0.92727272727272725"/>
    <n v="0.17099986132297879"/>
  </r>
  <r>
    <n v="1995"/>
    <n v="0"/>
    <n v="49038"/>
    <n v="716"/>
    <n v="577467"/>
    <n v="0"/>
    <n v="7795.89"/>
    <n v="8.6"/>
    <n v="7"/>
    <n v="47652"/>
    <n v="77066"/>
    <x v="5"/>
    <s v="fb5dd724-701e-4537-b641-2cb76a9610ac"/>
    <s v="консолидация кредитов"/>
    <s v="в аренде"/>
    <s v="краткосрочный"/>
    <x v="0"/>
    <b v="0"/>
    <n v="3.5468517031769696E-2"/>
    <n v="0.78787878787878785"/>
    <n v="0.16200177672490376"/>
  </r>
  <r>
    <n v="1996"/>
    <n v="0"/>
    <n v="553080"/>
    <n v="740"/>
    <n v="1910640"/>
    <n v="28"/>
    <n v="2499.64"/>
    <n v="26"/>
    <n v="9"/>
    <n v="323"/>
    <n v="376090"/>
    <x v="9"/>
    <s v="8e019b6a-7659-4fd9-989a-20bdece85ab5"/>
    <s v="бизнес"/>
    <s v="в аренде"/>
    <s v="краткосрочный"/>
    <x v="1"/>
    <b v="0"/>
    <n v="0.69239591696295444"/>
    <n v="0.93333333333333335"/>
    <n v="1.5699284009546538E-2"/>
  </r>
  <r>
    <n v="1997"/>
    <n v="1"/>
    <n v="321750"/>
    <n v="723"/>
    <n v="1168044"/>
    <n v="0"/>
    <n v="3002.19"/>
    <n v="19"/>
    <n v="4"/>
    <n v="66063"/>
    <n v="173844"/>
    <x v="10"/>
    <s v="7eeae236-23ee-4a6d-ad6b-d21f91121529"/>
    <s v="консолидация кредитов"/>
    <s v="в аренде"/>
    <s v="краткосрочный"/>
    <x v="0"/>
    <b v="0"/>
    <n v="0.39089918568643195"/>
    <n v="0.83030303030303032"/>
    <n v="3.0843255904743315E-2"/>
  </r>
  <r>
    <n v="1998"/>
    <n v="2"/>
    <n v="178860"/>
    <n v="681"/>
    <n v="714457"/>
    <n v="49"/>
    <n v="11371.88"/>
    <n v="14.2"/>
    <n v="8"/>
    <n v="57570"/>
    <n v="270952"/>
    <x v="1"/>
    <s v="aee8ae64-29a4-4a0d-8896-03f613eabbe5"/>
    <s v="ремонт жилья"/>
    <s v="в ипотеке"/>
    <s v="краткосрочный"/>
    <x v="0"/>
    <b v="0"/>
    <n v="0.20466796650992086"/>
    <n v="0.5757575757575758"/>
    <n v="0.19100178177273089"/>
  </r>
  <r>
    <n v="1999"/>
    <n v="0"/>
    <n v="573936"/>
    <n v="723"/>
    <n v="2001783"/>
    <n v="0"/>
    <n v="39868.839999999997"/>
    <n v="21.6"/>
    <n v="14"/>
    <n v="305653"/>
    <n v="941226"/>
    <x v="4"/>
    <s v="4343b7d7-1e92-4df4-ae50-060b4faf11f8"/>
    <s v="консолидация кредитов"/>
    <s v="в аренде"/>
    <s v="долгосрочный"/>
    <x v="0"/>
    <b v="0"/>
    <n v="0.71957793324922581"/>
    <n v="0.83030303030303032"/>
    <n v="0.2389999715253851"/>
  </r>
  <r>
    <n v="2000"/>
    <n v="0"/>
    <n v="405284"/>
    <n v="724"/>
    <n v="849110"/>
    <n v="73"/>
    <n v="14364"/>
    <n v="15.2"/>
    <n v="15"/>
    <n v="151411"/>
    <n v="277376"/>
    <x v="9"/>
    <s v="53b991f6-2793-4629-a92d-9ad442ce1b48"/>
    <s v="консолидация кредитов"/>
    <s v="в ипотеке"/>
    <s v="долгосрочный"/>
    <x v="0"/>
    <b v="0"/>
    <n v="0.49977061589631838"/>
    <n v="0.83636363636363631"/>
    <n v="0.202998433654061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4" cacheId="8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Z18:BA21" firstHeaderRow="1" firstDataRow="1" firstDataCol="1"/>
  <pivotFields count="21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numFmtId="2" showAll="0"/>
    <pivotField numFmtId="2" showAll="0"/>
  </pivotFields>
  <rowFields count="1">
    <field x="16"/>
  </rowFields>
  <rowItems count="3">
    <i>
      <x/>
    </i>
    <i>
      <x v="1"/>
    </i>
    <i t="grand">
      <x/>
    </i>
  </rowItems>
  <colItems count="1">
    <i/>
  </colItems>
  <dataFields count="1">
    <dataField name="Среднее по полю Кредитный рейтинг" fld="3" subtotal="average" baseField="1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Сводная таблица3" cacheId="8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Z2:BC15" firstHeaderRow="1" firstDataRow="2" firstDataCol="1"/>
  <pivotFields count="2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9"/>
        <item x="1"/>
        <item x="5"/>
        <item x="2"/>
        <item x="6"/>
        <item x="3"/>
        <item x="10"/>
        <item x="8"/>
        <item x="0"/>
        <item x="7"/>
        <item t="default"/>
      </items>
    </pivotField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  <pivotField showAll="0"/>
    <pivotField numFmtId="2" showAll="0"/>
    <pivotField numFmtId="2" showAll="0"/>
  </pivotFields>
  <rowFields count="1">
    <field x="1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6"/>
  </colFields>
  <colItems count="3">
    <i>
      <x/>
    </i>
    <i>
      <x v="1"/>
    </i>
    <i t="grand">
      <x/>
    </i>
  </colItems>
  <dataFields count="1">
    <dataField name="Количество по полю Статус кредита" fld="16" subtotal="count" showDataAs="percentOfRow" baseField="1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Таблица1" displayName="Таблица1" ref="A1:U2001" totalsRowShown="0">
  <autoFilter ref="A1:U2001"/>
  <tableColumns count="21">
    <tableColumn id="1" name="Номер  договора"/>
    <tableColumn id="2" name="Число нарушений кредитных договоров"/>
    <tableColumn id="3" name="Размер кредита" dataDxfId="3"/>
    <tableColumn id="4" name="Кредитный рейтинг"/>
    <tableColumn id="5" name="Годовой доход" dataDxfId="6"/>
    <tableColumn id="8" name="Срок с последнего нарушения кредитного договора (мес.)" dataDxfId="5"/>
    <tableColumn id="6" name="Ежемесячный платеж"/>
    <tableColumn id="7" name="Срок кредитной истории (лет)"/>
    <tableColumn id="9" name="Количество кредитных карт"/>
    <tableColumn id="10" name="Текущий баланс кредитов"/>
    <tableColumn id="11" name="Максимальный выданный кредит"/>
    <tableColumn id="12" name="Стаж работы на текущем месте"/>
    <tableColumn id="13" name="Идентификатор клиента"/>
    <tableColumn id="14" name="Цель кредита"/>
    <tableColumn id="15" name="Недвижимость"/>
    <tableColumn id="16" name="Срок кредита"/>
    <tableColumn id="17" name="Статус кредита"/>
    <tableColumn id="20" name="Столбец1" dataDxfId="4">
      <calculatedColumnFormula>OR(Таблица1[[#This Row],[Ежемесячный платеж]]&lt;$AC$5, Таблица1[[#This Row],[Ежемесячный платеж]]&gt;$AC$6)</calculatedColumnFormula>
    </tableColumn>
    <tableColumn id="21" name="минамакс размер кредита" dataDxfId="2">
      <calculatedColumnFormula>(Таблица1[[#This Row],[Размер кредита]]-21824)/(789096-21824)</calculatedColumnFormula>
    </tableColumn>
    <tableColumn id="22" name="Столбец2" dataDxfId="1">
      <calculatedColumnFormula>(Таблица1[[#This Row],[Кредитный рейтинг]]-586)/(751-586)</calculatedColumnFormula>
    </tableColumn>
    <tableColumn id="23" name="Столбец3" dataDxfId="0">
      <calculatedColumnFormula>Таблица1[[#This Row],[Ежемесячный платеж]]/(Таблица1[[#This Row],[Годовой доход]]/12)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workbookViewId="0">
      <selection activeCell="F13" sqref="F13"/>
    </sheetView>
  </sheetViews>
  <sheetFormatPr defaultRowHeight="14.4" x14ac:dyDescent="0.3"/>
  <cols>
    <col min="1" max="1" width="36.44140625" bestFit="1" customWidth="1"/>
    <col min="3" max="3" width="23.109375" bestFit="1" customWidth="1"/>
    <col min="5" max="5" width="23.109375" bestFit="1" customWidth="1"/>
    <col min="7" max="7" width="23.109375" bestFit="1" customWidth="1"/>
    <col min="9" max="9" width="51.88671875" bestFit="1" customWidth="1"/>
    <col min="11" max="11" width="23.109375" bestFit="1" customWidth="1"/>
    <col min="12" max="12" width="12" bestFit="1" customWidth="1"/>
    <col min="13" max="13" width="28.77734375" bestFit="1" customWidth="1"/>
    <col min="15" max="15" width="27.44140625" bestFit="1" customWidth="1"/>
    <col min="17" max="17" width="24.5546875" bestFit="1" customWidth="1"/>
    <col min="19" max="19" width="31.109375" bestFit="1" customWidth="1"/>
  </cols>
  <sheetData>
    <row r="1" spans="1:20" x14ac:dyDescent="0.3">
      <c r="A1" s="5" t="s">
        <v>1</v>
      </c>
      <c r="B1" s="5"/>
      <c r="C1" s="5" t="s">
        <v>2</v>
      </c>
      <c r="D1" s="5"/>
      <c r="E1" s="5" t="s">
        <v>3</v>
      </c>
      <c r="F1" s="5"/>
      <c r="G1" s="5" t="s">
        <v>4</v>
      </c>
      <c r="H1" s="5"/>
      <c r="I1" s="5" t="s">
        <v>7</v>
      </c>
      <c r="J1" s="5"/>
      <c r="K1" s="5" t="s">
        <v>5</v>
      </c>
      <c r="L1" s="5"/>
      <c r="M1" s="5" t="s">
        <v>6</v>
      </c>
      <c r="N1" s="5"/>
      <c r="O1" s="5" t="s">
        <v>8</v>
      </c>
      <c r="P1" s="5"/>
      <c r="Q1" s="5" t="s">
        <v>9</v>
      </c>
      <c r="R1" s="5"/>
      <c r="S1" s="5" t="s">
        <v>10</v>
      </c>
      <c r="T1" s="5"/>
    </row>
    <row r="2" spans="1:20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x14ac:dyDescent="0.3">
      <c r="A3" s="3" t="s">
        <v>2043</v>
      </c>
      <c r="B3" s="3">
        <v>0.18149999999999999</v>
      </c>
      <c r="C3" s="3" t="s">
        <v>2043</v>
      </c>
      <c r="D3" s="3">
        <v>309594.52442448097</v>
      </c>
      <c r="E3" s="3" t="s">
        <v>2043</v>
      </c>
      <c r="F3" s="3">
        <v>718.10400000000004</v>
      </c>
      <c r="G3" s="3" t="s">
        <v>2043</v>
      </c>
      <c r="H3" s="3">
        <v>1332617.3355</v>
      </c>
      <c r="I3" s="3" t="s">
        <v>2043</v>
      </c>
      <c r="J3" s="3">
        <v>35.26524064171123</v>
      </c>
      <c r="K3" s="3" t="s">
        <v>2043</v>
      </c>
      <c r="L3" s="3">
        <v>18106.439880000009</v>
      </c>
      <c r="M3" s="3" t="s">
        <v>2043</v>
      </c>
      <c r="N3" s="3">
        <v>18.181850000000033</v>
      </c>
      <c r="O3" s="3" t="s">
        <v>2043</v>
      </c>
      <c r="P3" s="3">
        <v>11.141500000000001</v>
      </c>
      <c r="Q3" s="3" t="s">
        <v>2043</v>
      </c>
      <c r="R3" s="3">
        <v>275027.83100000001</v>
      </c>
      <c r="S3" s="3" t="s">
        <v>2043</v>
      </c>
      <c r="T3" s="3">
        <v>724299.16899999999</v>
      </c>
    </row>
    <row r="4" spans="1:20" x14ac:dyDescent="0.3">
      <c r="A4" s="3" t="s">
        <v>2044</v>
      </c>
      <c r="B4" s="3">
        <v>1.1328859012418754E-2</v>
      </c>
      <c r="C4" s="3" t="s">
        <v>2044</v>
      </c>
      <c r="D4" s="3">
        <v>4410.6421556488403</v>
      </c>
      <c r="E4" s="3" t="s">
        <v>2044</v>
      </c>
      <c r="F4" s="3">
        <v>0.55167995013747972</v>
      </c>
      <c r="G4" s="3" t="s">
        <v>2044</v>
      </c>
      <c r="H4" s="3">
        <v>17000.691169208163</v>
      </c>
      <c r="I4" s="3" t="s">
        <v>2044</v>
      </c>
      <c r="J4" s="3">
        <v>0.70090250580443969</v>
      </c>
      <c r="K4" s="3" t="s">
        <v>2044</v>
      </c>
      <c r="L4" s="3">
        <v>260.15633114602628</v>
      </c>
      <c r="M4" s="3" t="s">
        <v>2044</v>
      </c>
      <c r="N4" s="3">
        <v>0.15378742820948388</v>
      </c>
      <c r="O4" s="3" t="s">
        <v>2044</v>
      </c>
      <c r="P4" s="3">
        <v>0.11517322306272117</v>
      </c>
      <c r="Q4" s="3" t="s">
        <v>2044</v>
      </c>
      <c r="R4" s="3">
        <v>6464.3167329068801</v>
      </c>
      <c r="S4" s="3" t="s">
        <v>2044</v>
      </c>
      <c r="T4" s="3">
        <v>82505.798066353906</v>
      </c>
    </row>
    <row r="5" spans="1:20" x14ac:dyDescent="0.3">
      <c r="A5" s="3" t="s">
        <v>2045</v>
      </c>
      <c r="B5" s="3">
        <v>0</v>
      </c>
      <c r="C5" s="3" t="s">
        <v>2045</v>
      </c>
      <c r="D5" s="3">
        <v>266882</v>
      </c>
      <c r="E5" s="3" t="s">
        <v>2045</v>
      </c>
      <c r="F5" s="3">
        <v>723</v>
      </c>
      <c r="G5" s="3" t="s">
        <v>2045</v>
      </c>
      <c r="H5" s="3">
        <v>1168044</v>
      </c>
      <c r="I5" s="3" t="s">
        <v>2045</v>
      </c>
      <c r="J5" s="3">
        <v>33</v>
      </c>
      <c r="K5" s="3" t="s">
        <v>2045</v>
      </c>
      <c r="L5" s="3">
        <v>15907.18</v>
      </c>
      <c r="M5" s="3" t="s">
        <v>2045</v>
      </c>
      <c r="N5" s="3">
        <v>16.899999999999999</v>
      </c>
      <c r="O5" s="3" t="s">
        <v>2045</v>
      </c>
      <c r="P5" s="3">
        <v>10</v>
      </c>
      <c r="Q5" s="3" t="s">
        <v>2045</v>
      </c>
      <c r="R5" s="3">
        <v>206387.5</v>
      </c>
      <c r="S5" s="3" t="s">
        <v>2045</v>
      </c>
      <c r="T5" s="3">
        <v>450670</v>
      </c>
    </row>
    <row r="6" spans="1:20" x14ac:dyDescent="0.3">
      <c r="A6" s="3" t="s">
        <v>2046</v>
      </c>
      <c r="B6" s="3">
        <v>0</v>
      </c>
      <c r="C6" s="3" t="s">
        <v>2046</v>
      </c>
      <c r="D6" s="3">
        <v>172040</v>
      </c>
      <c r="E6" s="3" t="s">
        <v>2046</v>
      </c>
      <c r="F6" s="3">
        <v>723</v>
      </c>
      <c r="G6" s="3" t="s">
        <v>2046</v>
      </c>
      <c r="H6" s="3">
        <v>1168044</v>
      </c>
      <c r="I6" s="3" t="s">
        <v>2046</v>
      </c>
      <c r="J6" s="3">
        <v>18</v>
      </c>
      <c r="K6" s="3" t="s">
        <v>2046</v>
      </c>
      <c r="L6" s="3">
        <v>10855.08</v>
      </c>
      <c r="M6" s="3" t="s">
        <v>2046</v>
      </c>
      <c r="N6" s="3">
        <v>16</v>
      </c>
      <c r="O6" s="3" t="s">
        <v>2046</v>
      </c>
      <c r="P6" s="3">
        <v>9</v>
      </c>
      <c r="Q6" s="3" t="s">
        <v>2046</v>
      </c>
      <c r="R6" s="3">
        <v>0</v>
      </c>
      <c r="S6" s="3" t="s">
        <v>2046</v>
      </c>
      <c r="T6" s="3">
        <v>0</v>
      </c>
    </row>
    <row r="7" spans="1:20" x14ac:dyDescent="0.3">
      <c r="A7" s="3" t="s">
        <v>2047</v>
      </c>
      <c r="B7" s="3">
        <v>0.50664197718558934</v>
      </c>
      <c r="C7" s="3" t="s">
        <v>2047</v>
      </c>
      <c r="D7" s="3">
        <v>186137.46018751146</v>
      </c>
      <c r="E7" s="3" t="s">
        <v>2047</v>
      </c>
      <c r="F7" s="3">
        <v>24.671877406621984</v>
      </c>
      <c r="G7" s="3" t="s">
        <v>2047</v>
      </c>
      <c r="H7" s="3">
        <v>760294.02237659669</v>
      </c>
      <c r="I7" s="3" t="s">
        <v>2047</v>
      </c>
      <c r="J7" s="3">
        <v>21.432035406632554</v>
      </c>
      <c r="K7" s="3" t="s">
        <v>2047</v>
      </c>
      <c r="L7" s="3">
        <v>11634.54482438921</v>
      </c>
      <c r="M7" s="3" t="s">
        <v>2047</v>
      </c>
      <c r="N7" s="3">
        <v>6.8775828712254947</v>
      </c>
      <c r="O7" s="3" t="s">
        <v>2047</v>
      </c>
      <c r="P7" s="3">
        <v>5.1507031191198216</v>
      </c>
      <c r="Q7" s="3" t="s">
        <v>2047</v>
      </c>
      <c r="R7" s="3">
        <v>289093.03285738273</v>
      </c>
      <c r="S7" s="3" t="s">
        <v>2047</v>
      </c>
      <c r="T7" s="3">
        <v>3689771.4602847612</v>
      </c>
    </row>
    <row r="8" spans="1:20" x14ac:dyDescent="0.3">
      <c r="A8" s="3" t="s">
        <v>2048</v>
      </c>
      <c r="B8" s="3">
        <v>0.25668609304652323</v>
      </c>
      <c r="C8" s="3" t="s">
        <v>2048</v>
      </c>
      <c r="D8" s="3">
        <v>34647154085.057411</v>
      </c>
      <c r="E8" s="3" t="s">
        <v>2048</v>
      </c>
      <c r="F8" s="3">
        <v>608.70153476738426</v>
      </c>
      <c r="G8" s="3" t="s">
        <v>2048</v>
      </c>
      <c r="H8" s="3">
        <v>578047000461.58484</v>
      </c>
      <c r="I8" s="3" t="s">
        <v>2048</v>
      </c>
      <c r="J8" s="3">
        <v>459.33214167115148</v>
      </c>
      <c r="K8" s="3" t="s">
        <v>2048</v>
      </c>
      <c r="L8" s="3">
        <v>135362633.27072173</v>
      </c>
      <c r="M8" s="3" t="s">
        <v>2048</v>
      </c>
      <c r="N8" s="3">
        <v>47.301146150574326</v>
      </c>
      <c r="O8" s="3" t="s">
        <v>2048</v>
      </c>
      <c r="P8" s="3">
        <v>26.52974262131066</v>
      </c>
      <c r="Q8" s="3" t="s">
        <v>2048</v>
      </c>
      <c r="R8" s="3">
        <v>83574781646.679779</v>
      </c>
      <c r="S8" s="3" t="s">
        <v>2048</v>
      </c>
      <c r="T8" s="3">
        <v>13614413429131.938</v>
      </c>
    </row>
    <row r="9" spans="1:20" x14ac:dyDescent="0.3">
      <c r="A9" s="3" t="s">
        <v>2049</v>
      </c>
      <c r="B9" s="3">
        <v>37.108206773154379</v>
      </c>
      <c r="C9" s="3" t="s">
        <v>2049</v>
      </c>
      <c r="D9" s="3">
        <v>-7.6034049385383273E-2</v>
      </c>
      <c r="E9" s="3" t="s">
        <v>2049</v>
      </c>
      <c r="F9" s="3">
        <v>3.7855686917057625</v>
      </c>
      <c r="G9" s="3" t="s">
        <v>2049</v>
      </c>
      <c r="H9" s="3">
        <v>17.319560593228896</v>
      </c>
      <c r="I9" s="3" t="s">
        <v>2049</v>
      </c>
      <c r="J9" s="3">
        <v>-0.84738371287818914</v>
      </c>
      <c r="K9" s="3" t="s">
        <v>2049</v>
      </c>
      <c r="L9" s="3">
        <v>5.147279031813949</v>
      </c>
      <c r="M9" s="3" t="s">
        <v>2049</v>
      </c>
      <c r="N9" s="3">
        <v>1.3277315310084994</v>
      </c>
      <c r="O9" s="3" t="s">
        <v>2049</v>
      </c>
      <c r="P9" s="3">
        <v>2.8741382821097172</v>
      </c>
      <c r="Q9" s="3" t="s">
        <v>2049</v>
      </c>
      <c r="R9" s="3">
        <v>65.701503223347643</v>
      </c>
      <c r="S9" s="3" t="s">
        <v>2049</v>
      </c>
      <c r="T9" s="3">
        <v>1267.1141868337936</v>
      </c>
    </row>
    <row r="10" spans="1:20" x14ac:dyDescent="0.3">
      <c r="A10" s="3" t="s">
        <v>2050</v>
      </c>
      <c r="B10" s="3">
        <v>4.6885751962031295</v>
      </c>
      <c r="C10" s="3" t="s">
        <v>2050</v>
      </c>
      <c r="D10" s="3">
        <v>0.78236299660339725</v>
      </c>
      <c r="E10" s="3" t="s">
        <v>2050</v>
      </c>
      <c r="F10" s="3">
        <v>-1.6503845757115303</v>
      </c>
      <c r="G10" s="3" t="s">
        <v>2050</v>
      </c>
      <c r="H10" s="3">
        <v>3.1715659512106056</v>
      </c>
      <c r="I10" s="3" t="s">
        <v>2050</v>
      </c>
      <c r="J10" s="3">
        <v>0.39959386754583892</v>
      </c>
      <c r="K10" s="3" t="s">
        <v>2050</v>
      </c>
      <c r="L10" s="3">
        <v>1.6209072339766821</v>
      </c>
      <c r="M10" s="3" t="s">
        <v>2050</v>
      </c>
      <c r="N10" s="3">
        <v>0.99511551258601494</v>
      </c>
      <c r="O10" s="3" t="s">
        <v>2050</v>
      </c>
      <c r="P10" s="3">
        <v>1.2631778728837284</v>
      </c>
      <c r="Q10" s="3" t="s">
        <v>2050</v>
      </c>
      <c r="R10" s="3">
        <v>5.7126299712195951</v>
      </c>
      <c r="S10" s="3" t="s">
        <v>2050</v>
      </c>
      <c r="T10" s="3">
        <v>34.084223701863515</v>
      </c>
    </row>
    <row r="11" spans="1:20" x14ac:dyDescent="0.3">
      <c r="A11" s="3" t="s">
        <v>2051</v>
      </c>
      <c r="B11" s="3">
        <v>7</v>
      </c>
      <c r="C11" s="3" t="s">
        <v>2051</v>
      </c>
      <c r="D11" s="3">
        <v>767272</v>
      </c>
      <c r="E11" s="3" t="s">
        <v>2051</v>
      </c>
      <c r="F11" s="3">
        <v>165</v>
      </c>
      <c r="G11" s="3" t="s">
        <v>2051</v>
      </c>
      <c r="H11" s="3">
        <v>8872202</v>
      </c>
      <c r="I11" s="3" t="s">
        <v>2051</v>
      </c>
      <c r="J11" s="3">
        <v>88</v>
      </c>
      <c r="K11" s="3" t="s">
        <v>2051</v>
      </c>
      <c r="L11" s="3">
        <v>105676.48</v>
      </c>
      <c r="M11" s="3" t="s">
        <v>2051</v>
      </c>
      <c r="N11" s="3">
        <v>45.6</v>
      </c>
      <c r="O11" s="3" t="s">
        <v>2051</v>
      </c>
      <c r="P11" s="3">
        <v>42</v>
      </c>
      <c r="Q11" s="3" t="s">
        <v>2051</v>
      </c>
      <c r="R11" s="3">
        <v>5246261</v>
      </c>
      <c r="S11" s="3" t="s">
        <v>2051</v>
      </c>
      <c r="T11" s="3">
        <v>145907344</v>
      </c>
    </row>
    <row r="12" spans="1:20" x14ac:dyDescent="0.3">
      <c r="A12" s="3" t="s">
        <v>2052</v>
      </c>
      <c r="B12" s="3">
        <v>0</v>
      </c>
      <c r="C12" s="3" t="s">
        <v>2052</v>
      </c>
      <c r="D12" s="3">
        <v>21824</v>
      </c>
      <c r="E12" s="3" t="s">
        <v>2052</v>
      </c>
      <c r="F12" s="3">
        <v>586</v>
      </c>
      <c r="G12" s="3" t="s">
        <v>2052</v>
      </c>
      <c r="H12" s="3">
        <v>185782</v>
      </c>
      <c r="I12" s="3" t="s">
        <v>2052</v>
      </c>
      <c r="J12" s="3">
        <v>0</v>
      </c>
      <c r="K12" s="3" t="s">
        <v>2052</v>
      </c>
      <c r="L12" s="3">
        <v>0</v>
      </c>
      <c r="M12" s="3" t="s">
        <v>2052</v>
      </c>
      <c r="N12" s="3">
        <v>4.5</v>
      </c>
      <c r="O12" s="3" t="s">
        <v>2052</v>
      </c>
      <c r="P12" s="3">
        <v>1</v>
      </c>
      <c r="Q12" s="3" t="s">
        <v>2052</v>
      </c>
      <c r="R12" s="3">
        <v>0</v>
      </c>
      <c r="S12" s="3" t="s">
        <v>2052</v>
      </c>
      <c r="T12" s="3">
        <v>0</v>
      </c>
    </row>
    <row r="13" spans="1:20" x14ac:dyDescent="0.3">
      <c r="A13" s="3" t="s">
        <v>2053</v>
      </c>
      <c r="B13" s="3">
        <v>7</v>
      </c>
      <c r="C13" s="3" t="s">
        <v>2053</v>
      </c>
      <c r="D13" s="3">
        <v>789096</v>
      </c>
      <c r="E13" s="3" t="s">
        <v>2053</v>
      </c>
      <c r="F13" s="3">
        <v>751</v>
      </c>
      <c r="G13" s="3" t="s">
        <v>2053</v>
      </c>
      <c r="H13" s="3">
        <v>9057984</v>
      </c>
      <c r="I13" s="3" t="s">
        <v>2053</v>
      </c>
      <c r="J13" s="3">
        <v>88</v>
      </c>
      <c r="K13" s="3" t="s">
        <v>2053</v>
      </c>
      <c r="L13" s="3">
        <v>105676.48</v>
      </c>
      <c r="M13" s="3" t="s">
        <v>2053</v>
      </c>
      <c r="N13" s="3">
        <v>50.1</v>
      </c>
      <c r="O13" s="3" t="s">
        <v>2053</v>
      </c>
      <c r="P13" s="3">
        <v>43</v>
      </c>
      <c r="Q13" s="3" t="s">
        <v>2053</v>
      </c>
      <c r="R13" s="3">
        <v>5246261</v>
      </c>
      <c r="S13" s="3" t="s">
        <v>2053</v>
      </c>
      <c r="T13" s="3">
        <v>145907344</v>
      </c>
    </row>
    <row r="14" spans="1:20" x14ac:dyDescent="0.3">
      <c r="A14" s="3" t="s">
        <v>2054</v>
      </c>
      <c r="B14" s="3">
        <v>363</v>
      </c>
      <c r="C14" s="3" t="s">
        <v>2054</v>
      </c>
      <c r="D14" s="3">
        <v>551387848</v>
      </c>
      <c r="E14" s="3" t="s">
        <v>2054</v>
      </c>
      <c r="F14" s="3">
        <v>1436208</v>
      </c>
      <c r="G14" s="3" t="s">
        <v>2054</v>
      </c>
      <c r="H14" s="3">
        <v>2665234671</v>
      </c>
      <c r="I14" s="3" t="s">
        <v>2054</v>
      </c>
      <c r="J14" s="3">
        <v>32973</v>
      </c>
      <c r="K14" s="3" t="s">
        <v>2054</v>
      </c>
      <c r="L14" s="3">
        <v>36212879.76000002</v>
      </c>
      <c r="M14" s="3" t="s">
        <v>2054</v>
      </c>
      <c r="N14" s="3">
        <v>36363.700000000063</v>
      </c>
      <c r="O14" s="3" t="s">
        <v>2054</v>
      </c>
      <c r="P14" s="3">
        <v>22283</v>
      </c>
      <c r="Q14" s="3" t="s">
        <v>2054</v>
      </c>
      <c r="R14" s="3">
        <v>550055662</v>
      </c>
      <c r="S14" s="3" t="s">
        <v>2054</v>
      </c>
      <c r="T14" s="3">
        <v>1448598338</v>
      </c>
    </row>
    <row r="15" spans="1:20" ht="15" thickBot="1" x14ac:dyDescent="0.35">
      <c r="A15" s="4" t="s">
        <v>2055</v>
      </c>
      <c r="B15" s="4">
        <v>2000</v>
      </c>
      <c r="C15" s="4" t="s">
        <v>2055</v>
      </c>
      <c r="D15" s="4">
        <v>1781</v>
      </c>
      <c r="E15" s="4" t="s">
        <v>2055</v>
      </c>
      <c r="F15" s="4">
        <v>2000</v>
      </c>
      <c r="G15" s="4" t="s">
        <v>2055</v>
      </c>
      <c r="H15" s="4">
        <v>2000</v>
      </c>
      <c r="I15" s="4" t="s">
        <v>2055</v>
      </c>
      <c r="J15" s="4">
        <v>935</v>
      </c>
      <c r="K15" s="4" t="s">
        <v>2055</v>
      </c>
      <c r="L15" s="4">
        <v>2000</v>
      </c>
      <c r="M15" s="4" t="s">
        <v>2055</v>
      </c>
      <c r="N15" s="4">
        <v>2000</v>
      </c>
      <c r="O15" s="4" t="s">
        <v>2055</v>
      </c>
      <c r="P15" s="4">
        <v>2000</v>
      </c>
      <c r="Q15" s="4" t="s">
        <v>2055</v>
      </c>
      <c r="R15" s="4">
        <v>2000</v>
      </c>
      <c r="S15" s="4" t="s">
        <v>2055</v>
      </c>
      <c r="T15" s="4">
        <v>2000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001"/>
  <sheetViews>
    <sheetView tabSelected="1" topLeftCell="AR1" zoomScale="80" workbookViewId="0">
      <selection activeCell="BJ20" sqref="BJ20"/>
    </sheetView>
  </sheetViews>
  <sheetFormatPr defaultRowHeight="14.4" x14ac:dyDescent="0.3"/>
  <cols>
    <col min="1" max="1" width="17.5546875" customWidth="1"/>
    <col min="2" max="2" width="37.6640625" customWidth="1"/>
    <col min="3" max="3" width="16.44140625" style="9" customWidth="1"/>
    <col min="4" max="4" width="19.77734375" customWidth="1"/>
    <col min="5" max="5" width="16.109375" customWidth="1"/>
    <col min="6" max="6" width="53.109375" customWidth="1"/>
    <col min="7" max="7" width="21.44140625" customWidth="1"/>
    <col min="8" max="8" width="28.5546875" customWidth="1"/>
    <col min="10" max="10" width="26.6640625" customWidth="1"/>
    <col min="11" max="11" width="25.33203125" customWidth="1"/>
    <col min="12" max="12" width="32.109375" customWidth="1"/>
    <col min="13" max="13" width="29.6640625" customWidth="1"/>
    <col min="14" max="14" width="23.77734375" customWidth="1"/>
    <col min="15" max="15" width="14.44140625" customWidth="1"/>
    <col min="16" max="16" width="15.77734375" customWidth="1"/>
    <col min="17" max="18" width="14.33203125" customWidth="1"/>
    <col min="19" max="19" width="14.33203125" style="9" customWidth="1"/>
    <col min="20" max="21" width="14.33203125" customWidth="1"/>
    <col min="22" max="22" width="15.6640625" customWidth="1"/>
    <col min="25" max="25" width="16" bestFit="1" customWidth="1"/>
    <col min="26" max="26" width="37.5546875" bestFit="1" customWidth="1"/>
    <col min="27" max="27" width="15.21875" bestFit="1" customWidth="1"/>
    <col min="28" max="28" width="18.77734375" bestFit="1" customWidth="1"/>
    <col min="29" max="29" width="14.33203125" bestFit="1" customWidth="1"/>
    <col min="30" max="30" width="28.33203125" bestFit="1" customWidth="1"/>
    <col min="31" max="31" width="54.33203125" bestFit="1" customWidth="1"/>
    <col min="32" max="33" width="26.21875" bestFit="1" customWidth="1"/>
    <col min="34" max="34" width="24.44140625" bestFit="1" customWidth="1"/>
    <col min="35" max="35" width="31.5546875" bestFit="1" customWidth="1"/>
    <col min="36" max="36" width="23.88671875" bestFit="1" customWidth="1"/>
    <col min="37" max="37" width="12" bestFit="1" customWidth="1"/>
    <col min="40" max="40" width="23.88671875" bestFit="1" customWidth="1"/>
    <col min="41" max="41" width="12" bestFit="1" customWidth="1"/>
    <col min="45" max="45" width="29.44140625" bestFit="1" customWidth="1"/>
    <col min="46" max="46" width="7.33203125" bestFit="1" customWidth="1"/>
    <col min="52" max="52" width="17.33203125" bestFit="1" customWidth="1"/>
    <col min="53" max="53" width="35.77734375" bestFit="1" customWidth="1"/>
    <col min="54" max="54" width="8.5546875" bestFit="1" customWidth="1"/>
    <col min="55" max="55" width="11.5546875" bestFit="1" customWidth="1"/>
  </cols>
  <sheetData>
    <row r="1" spans="1:55" x14ac:dyDescent="0.3">
      <c r="A1" t="s">
        <v>0</v>
      </c>
      <c r="B1" t="s">
        <v>1</v>
      </c>
      <c r="C1" s="9" t="s">
        <v>2</v>
      </c>
      <c r="D1" t="s">
        <v>3</v>
      </c>
      <c r="E1" t="s">
        <v>4</v>
      </c>
      <c r="F1" t="s">
        <v>7</v>
      </c>
      <c r="G1" t="s">
        <v>5</v>
      </c>
      <c r="H1" t="s">
        <v>6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2038</v>
      </c>
      <c r="S1" s="9" t="s">
        <v>2069</v>
      </c>
      <c r="T1" t="s">
        <v>2071</v>
      </c>
      <c r="U1" t="s">
        <v>2073</v>
      </c>
      <c r="V1" t="s">
        <v>17</v>
      </c>
      <c r="W1">
        <v>17</v>
      </c>
      <c r="X1" t="s">
        <v>2056</v>
      </c>
      <c r="Y1" t="str">
        <f>Таблица1[[#Headers],[Число нарушений кредитных договоров]]</f>
        <v>Число нарушений кредитных договоров</v>
      </c>
      <c r="Z1" t="str">
        <f>Таблица1[[#Headers],[Размер кредита]]</f>
        <v>Размер кредита</v>
      </c>
      <c r="AA1" t="str">
        <f>Таблица1[[#Headers],[Кредитный рейтинг]]</f>
        <v>Кредитный рейтинг</v>
      </c>
      <c r="AB1" t="str">
        <f>Таблица1[[#Headers],[Годовой доход]]</f>
        <v>Годовой доход</v>
      </c>
      <c r="AC1" t="str">
        <f>Таблица1[[#Headers],[Ежемесячный платеж]]</f>
        <v>Ежемесячный платеж</v>
      </c>
      <c r="AD1" t="str">
        <f>Таблица1[[#Headers],[Срок кредитной истории (лет)]]</f>
        <v>Срок кредитной истории (лет)</v>
      </c>
      <c r="AE1" t="str">
        <f>Таблица1[[#Headers],[Срок с последнего нарушения кредитного договора (мес.)]]</f>
        <v>Срок с последнего нарушения кредитного договора (мес.)</v>
      </c>
      <c r="AF1" t="str">
        <f>Таблица1[[#Headers],[Количество кредитных карт]]</f>
        <v>Количество кредитных карт</v>
      </c>
      <c r="AG1" t="str">
        <f>Таблица1[[#Headers],[Текущий баланс кредитов]]</f>
        <v>Текущий баланс кредитов</v>
      </c>
      <c r="AH1" t="str">
        <f>Таблица1[[#Headers],[Максимальный выданный кредит]]</f>
        <v>Максимальный выданный кредит</v>
      </c>
      <c r="AJ1" s="6" t="s">
        <v>2065</v>
      </c>
      <c r="AK1" s="6"/>
      <c r="AN1" s="6" t="s">
        <v>2066</v>
      </c>
      <c r="AO1" s="6"/>
      <c r="AS1" t="s">
        <v>2067</v>
      </c>
      <c r="AT1">
        <f>COUNTIF(R:R, TRUE)</f>
        <v>65</v>
      </c>
      <c r="AV1" t="s">
        <v>37</v>
      </c>
      <c r="AW1">
        <f>2000 - SUM(AW2:AW11)</f>
        <v>161</v>
      </c>
    </row>
    <row r="2" spans="1:55" x14ac:dyDescent="0.3">
      <c r="A2">
        <v>1</v>
      </c>
      <c r="B2">
        <v>1</v>
      </c>
      <c r="C2" s="9">
        <v>445412</v>
      </c>
      <c r="D2">
        <v>709</v>
      </c>
      <c r="E2" s="1">
        <v>1167493</v>
      </c>
      <c r="F2">
        <v>0</v>
      </c>
      <c r="G2">
        <v>5214.74</v>
      </c>
      <c r="H2">
        <v>17.2</v>
      </c>
      <c r="I2">
        <v>6</v>
      </c>
      <c r="J2">
        <v>228190</v>
      </c>
      <c r="K2">
        <v>416746</v>
      </c>
      <c r="L2" t="s">
        <v>18</v>
      </c>
      <c r="M2" t="s">
        <v>19</v>
      </c>
      <c r="N2" t="s">
        <v>20</v>
      </c>
      <c r="O2" t="s">
        <v>21</v>
      </c>
      <c r="P2" t="s">
        <v>22</v>
      </c>
      <c r="Q2" t="s">
        <v>23</v>
      </c>
      <c r="R2" t="b">
        <f>OR(Таблица1[[#This Row],[Ежемесячный платеж]]&lt;$AC$5, Таблица1[[#This Row],[Ежемесячный платеж]]&gt;$AC$6)</f>
        <v>0</v>
      </c>
      <c r="S2" s="9">
        <f>(Таблица1[[#This Row],[Размер кредита]]-21824)/(789096-21824)</f>
        <v>0.55207019153572656</v>
      </c>
      <c r="T2" s="9">
        <f>(Таблица1[[#This Row],[Кредитный рейтинг]]-586)/(751-586)</f>
        <v>0.74545454545454548</v>
      </c>
      <c r="U2" s="9">
        <f>Таблица1[[#This Row],[Ежемесячный платеж]]/(Таблица1[[#This Row],[Годовой доход]]/12)</f>
        <v>5.3599362051849564E-2</v>
      </c>
      <c r="X2" t="s">
        <v>2057</v>
      </c>
      <c r="Y2">
        <f>QUARTILE(Таблица1[Число нарушений кредитных договоров], 1)</f>
        <v>0</v>
      </c>
      <c r="Z2">
        <f>QUARTILE(Таблица1[Размер кредита], 1)</f>
        <v>168102</v>
      </c>
      <c r="AA2">
        <f>QUARTILE(Таблица1[Кредитный рейтинг], 1)</f>
        <v>710</v>
      </c>
      <c r="AB2">
        <f>QUARTILE(Таблица1[Годовой доход], 1)</f>
        <v>924991.25</v>
      </c>
      <c r="AC2">
        <f>QUARTILE(Таблица1[Ежемесячный платеж], 1)</f>
        <v>10079.6425</v>
      </c>
      <c r="AD2">
        <f>QUARTILE(Таблица1[Срок кредитной истории (лет)], 1)</f>
        <v>13.6</v>
      </c>
      <c r="AE2">
        <f>QUARTILE(Таблица1[Срок с последнего нарушения кредитного договора (мес.)], 1)</f>
        <v>0</v>
      </c>
      <c r="AF2">
        <f>QUARTILE(Таблица1[Количество кредитных карт], 1)</f>
        <v>8</v>
      </c>
      <c r="AG2">
        <f>QUARTILE(Таблица1[Текущий баланс кредитов], 1)</f>
        <v>110404.25</v>
      </c>
      <c r="AH2">
        <f>QUARTILE(Таблица1[Максимальный выданный кредит], 1)</f>
        <v>265793</v>
      </c>
      <c r="AJ2" s="3"/>
      <c r="AK2" s="3"/>
      <c r="AN2" s="3"/>
      <c r="AO2" s="3"/>
      <c r="AV2" t="s">
        <v>63</v>
      </c>
      <c r="AW2">
        <f>COUNTIF(L:L, AV2)</f>
        <v>141</v>
      </c>
      <c r="AZ2" s="10" t="s">
        <v>2078</v>
      </c>
      <c r="BA2" s="10" t="s">
        <v>2077</v>
      </c>
    </row>
    <row r="3" spans="1:55" x14ac:dyDescent="0.3">
      <c r="A3">
        <v>2</v>
      </c>
      <c r="B3">
        <v>0</v>
      </c>
      <c r="C3" s="9">
        <v>262328</v>
      </c>
      <c r="D3">
        <f>$Y$13</f>
        <v>723</v>
      </c>
      <c r="E3">
        <f>$AB$13</f>
        <v>1168044</v>
      </c>
      <c r="F3">
        <v>8</v>
      </c>
      <c r="G3">
        <v>33295.980000000003</v>
      </c>
      <c r="H3">
        <v>21.1</v>
      </c>
      <c r="I3">
        <v>35</v>
      </c>
      <c r="J3">
        <v>229976</v>
      </c>
      <c r="K3">
        <v>850784</v>
      </c>
      <c r="L3" t="s">
        <v>24</v>
      </c>
      <c r="M3" t="s">
        <v>25</v>
      </c>
      <c r="N3" t="s">
        <v>26</v>
      </c>
      <c r="O3" t="s">
        <v>21</v>
      </c>
      <c r="P3" t="s">
        <v>22</v>
      </c>
      <c r="Q3" t="s">
        <v>23</v>
      </c>
      <c r="R3" t="b">
        <f>OR(Таблица1[[#This Row],[Ежемесячный платеж]]&lt;$AC$5, Таблица1[[#This Row],[Ежемесячный платеж]]&gt;$AC$6)</f>
        <v>0</v>
      </c>
      <c r="S3" s="9">
        <f>(Таблица1[[#This Row],[Размер кредита]]-21824)/(789096-21824)</f>
        <v>0.31345337768092674</v>
      </c>
      <c r="T3" s="9">
        <f>(Таблица1[[#This Row],[Кредитный рейтинг]]-586)/(751-586)</f>
        <v>0.83030303030303032</v>
      </c>
      <c r="U3" s="9">
        <f>Таблица1[[#This Row],[Ежемесячный платеж]]/(Таблица1[[#This Row],[Годовой доход]]/12)</f>
        <v>0.34206910013663872</v>
      </c>
      <c r="X3" t="s">
        <v>2058</v>
      </c>
      <c r="Y3">
        <f>QUARTILE(Таблица1[Число нарушений кредитных договоров], 3)</f>
        <v>0</v>
      </c>
      <c r="Z3">
        <f>QUARTILE(Таблица1[Размер кредита], 3)</f>
        <v>432256</v>
      </c>
      <c r="AA3">
        <f>QUARTILE(Таблица1[Кредитный рейтинг], 3)</f>
        <v>735</v>
      </c>
      <c r="AB3">
        <f>QUARTILE(Таблица1[Годовой доход], 3)</f>
        <v>1510367</v>
      </c>
      <c r="AC3">
        <f>QUARTILE(Таблица1[Ежемесячный платеж], 3)</f>
        <v>23641.0825</v>
      </c>
      <c r="AD3">
        <f>QUARTILE(Таблица1[Срок кредитной истории (лет)], 3)</f>
        <v>21.9</v>
      </c>
      <c r="AE3">
        <f>QUARTILE(Таблица1[Срок с последнего нарушения кредитного договора (мес.)], 3)</f>
        <v>31</v>
      </c>
      <c r="AF3">
        <f>QUARTILE(Таблица1[Количество кредитных карт], 3)</f>
        <v>14</v>
      </c>
      <c r="AG3">
        <f>QUARTILE(Таблица1[Текущий баланс кредитов], 3)</f>
        <v>352022.5</v>
      </c>
      <c r="AH3">
        <f>QUARTILE(Таблица1[Максимальный выданный кредит], 3)</f>
        <v>756321.5</v>
      </c>
      <c r="AJ3" s="3" t="s">
        <v>2043</v>
      </c>
      <c r="AK3" s="3">
        <v>724299.16899999999</v>
      </c>
      <c r="AN3" s="3" t="s">
        <v>2043</v>
      </c>
      <c r="AO3" s="3">
        <v>616307.19619619625</v>
      </c>
      <c r="AS3" t="s">
        <v>2068</v>
      </c>
      <c r="AT3">
        <f>COUNTIF(O:O, "в ипотеке")</f>
        <v>981</v>
      </c>
      <c r="AV3" s="8" t="s">
        <v>24</v>
      </c>
      <c r="AW3">
        <f>COUNTIF(L:L, AV3)</f>
        <v>678</v>
      </c>
      <c r="AZ3" s="10" t="s">
        <v>2075</v>
      </c>
      <c r="BA3" t="s">
        <v>36</v>
      </c>
      <c r="BB3" t="s">
        <v>23</v>
      </c>
      <c r="BC3" t="s">
        <v>2076</v>
      </c>
    </row>
    <row r="4" spans="1:55" x14ac:dyDescent="0.3">
      <c r="A4">
        <v>3</v>
      </c>
      <c r="B4">
        <v>1</v>
      </c>
      <c r="D4">
        <v>741</v>
      </c>
      <c r="E4" s="1">
        <v>2231892</v>
      </c>
      <c r="F4">
        <v>29</v>
      </c>
      <c r="G4">
        <v>29200.53</v>
      </c>
      <c r="H4">
        <v>14.9</v>
      </c>
      <c r="I4">
        <v>18</v>
      </c>
      <c r="J4">
        <v>297996</v>
      </c>
      <c r="K4">
        <v>750090</v>
      </c>
      <c r="L4" t="s">
        <v>18</v>
      </c>
      <c r="M4" t="s">
        <v>27</v>
      </c>
      <c r="N4" t="s">
        <v>26</v>
      </c>
      <c r="O4" t="s">
        <v>28</v>
      </c>
      <c r="P4" t="s">
        <v>22</v>
      </c>
      <c r="Q4" t="s">
        <v>23</v>
      </c>
      <c r="R4" t="b">
        <f>OR(Таблица1[[#This Row],[Ежемесячный платеж]]&lt;$AC$5, Таблица1[[#This Row],[Ежемесячный платеж]]&gt;$AC$6)</f>
        <v>0</v>
      </c>
      <c r="T4" s="9">
        <f>(Таблица1[[#This Row],[Кредитный рейтинг]]-586)/(751-586)</f>
        <v>0.93939393939393945</v>
      </c>
      <c r="U4" s="9">
        <f>Таблица1[[#This Row],[Ежемесячный платеж]]/(Таблица1[[#This Row],[Годовой доход]]/12)</f>
        <v>0.15699969353355808</v>
      </c>
      <c r="X4" t="s">
        <v>2059</v>
      </c>
      <c r="Y4">
        <f>Y3-Y2</f>
        <v>0</v>
      </c>
      <c r="Z4">
        <f t="shared" ref="Z4:AH4" si="0">Z3-Z2</f>
        <v>264154</v>
      </c>
      <c r="AA4">
        <f t="shared" si="0"/>
        <v>25</v>
      </c>
      <c r="AB4">
        <f t="shared" si="0"/>
        <v>585375.75</v>
      </c>
      <c r="AC4">
        <f t="shared" si="0"/>
        <v>13561.44</v>
      </c>
      <c r="AD4">
        <f t="shared" si="0"/>
        <v>8.2999999999999989</v>
      </c>
      <c r="AE4">
        <f t="shared" si="0"/>
        <v>31</v>
      </c>
      <c r="AF4">
        <f t="shared" si="0"/>
        <v>6</v>
      </c>
      <c r="AG4">
        <f t="shared" si="0"/>
        <v>241618.25</v>
      </c>
      <c r="AH4">
        <f t="shared" si="0"/>
        <v>490528.5</v>
      </c>
      <c r="AJ4" s="3" t="s">
        <v>2044</v>
      </c>
      <c r="AK4" s="3">
        <v>82505.798066353906</v>
      </c>
      <c r="AN4" s="3" t="s">
        <v>2044</v>
      </c>
      <c r="AO4" s="3">
        <v>16840.416720668694</v>
      </c>
      <c r="AV4" t="s">
        <v>41</v>
      </c>
      <c r="AW4">
        <f>COUNTIF(L:L, AV4)</f>
        <v>181</v>
      </c>
      <c r="AZ4" s="11" t="s">
        <v>37</v>
      </c>
      <c r="BA4" s="13">
        <v>0.2484472049689441</v>
      </c>
      <c r="BB4" s="13">
        <v>0.75155279503105588</v>
      </c>
      <c r="BC4" s="13">
        <v>1</v>
      </c>
    </row>
    <row r="5" spans="1:55" x14ac:dyDescent="0.3">
      <c r="A5">
        <v>4</v>
      </c>
      <c r="B5">
        <v>0</v>
      </c>
      <c r="C5" s="9">
        <v>347666</v>
      </c>
      <c r="D5">
        <v>721</v>
      </c>
      <c r="E5" s="1">
        <v>806949</v>
      </c>
      <c r="F5">
        <v>0</v>
      </c>
      <c r="G5">
        <v>8741.9</v>
      </c>
      <c r="H5">
        <v>12</v>
      </c>
      <c r="I5">
        <v>9</v>
      </c>
      <c r="J5">
        <v>256329</v>
      </c>
      <c r="K5">
        <v>386958</v>
      </c>
      <c r="L5" t="s">
        <v>29</v>
      </c>
      <c r="M5" t="s">
        <v>30</v>
      </c>
      <c r="N5" t="s">
        <v>26</v>
      </c>
      <c r="O5" t="s">
        <v>28</v>
      </c>
      <c r="P5" t="s">
        <v>31</v>
      </c>
      <c r="Q5" t="s">
        <v>23</v>
      </c>
      <c r="R5" t="b">
        <f>OR(Таблица1[[#This Row],[Ежемесячный платеж]]&lt;$AC$5, Таблица1[[#This Row],[Ежемесячный платеж]]&gt;$AC$6)</f>
        <v>0</v>
      </c>
      <c r="S5" s="9">
        <f>(Таблица1[[#This Row],[Размер кредита]]-21824)/(789096-21824)</f>
        <v>0.42467599495354974</v>
      </c>
      <c r="T5" s="9">
        <f>(Таблица1[[#This Row],[Кредитный рейтинг]]-586)/(751-586)</f>
        <v>0.81818181818181823</v>
      </c>
      <c r="U5" s="9">
        <f>Таблица1[[#This Row],[Ежемесячный платеж]]/(Таблица1[[#This Row],[Годовой доход]]/12)</f>
        <v>0.12999929363565726</v>
      </c>
      <c r="X5" t="s">
        <v>2061</v>
      </c>
      <c r="Y5">
        <f>Y2-1.5*Y4</f>
        <v>0</v>
      </c>
      <c r="Z5">
        <f t="shared" ref="Z5:AH5" si="1">Z2-1.5*Z4</f>
        <v>-228129</v>
      </c>
      <c r="AA5">
        <f t="shared" si="1"/>
        <v>672.5</v>
      </c>
      <c r="AB5">
        <f t="shared" si="1"/>
        <v>46927.625</v>
      </c>
      <c r="AC5">
        <f t="shared" si="1"/>
        <v>-10262.5175</v>
      </c>
      <c r="AD5">
        <f t="shared" si="1"/>
        <v>1.1500000000000004</v>
      </c>
      <c r="AE5">
        <f t="shared" si="1"/>
        <v>-46.5</v>
      </c>
      <c r="AF5">
        <f t="shared" si="1"/>
        <v>-1</v>
      </c>
      <c r="AG5">
        <f t="shared" si="1"/>
        <v>-252023.125</v>
      </c>
      <c r="AH5">
        <f t="shared" si="1"/>
        <v>-469999.75</v>
      </c>
      <c r="AJ5" s="3" t="s">
        <v>2045</v>
      </c>
      <c r="AK5" s="3">
        <v>450670</v>
      </c>
      <c r="AN5" s="3" t="s">
        <v>2045</v>
      </c>
      <c r="AO5" s="3">
        <v>449933</v>
      </c>
      <c r="AS5" t="s">
        <v>2046</v>
      </c>
      <c r="AT5" t="str">
        <f>AV3</f>
        <v>10+ лет</v>
      </c>
      <c r="AV5" t="s">
        <v>29</v>
      </c>
      <c r="AW5">
        <f>COUNTIF(L:L, AV5)</f>
        <v>144</v>
      </c>
      <c r="AZ5" s="11" t="s">
        <v>63</v>
      </c>
      <c r="BA5" s="13">
        <v>0.23404255319148937</v>
      </c>
      <c r="BB5" s="13">
        <v>0.76595744680851063</v>
      </c>
      <c r="BC5" s="13">
        <v>1</v>
      </c>
    </row>
    <row r="6" spans="1:55" x14ac:dyDescent="0.3">
      <c r="A6">
        <v>5</v>
      </c>
      <c r="B6">
        <v>0</v>
      </c>
      <c r="C6" s="9">
        <v>176220</v>
      </c>
      <c r="D6">
        <f>$Y$13</f>
        <v>723</v>
      </c>
      <c r="E6">
        <f>$AB$13</f>
        <v>1168044</v>
      </c>
      <c r="F6">
        <v>0</v>
      </c>
      <c r="G6">
        <v>20639.7</v>
      </c>
      <c r="H6">
        <v>6.1</v>
      </c>
      <c r="I6">
        <v>15</v>
      </c>
      <c r="J6">
        <v>253460</v>
      </c>
      <c r="K6">
        <v>427174</v>
      </c>
      <c r="L6" t="s">
        <v>32</v>
      </c>
      <c r="M6" t="s">
        <v>33</v>
      </c>
      <c r="N6" t="s">
        <v>26</v>
      </c>
      <c r="O6" t="s">
        <v>34</v>
      </c>
      <c r="P6" t="s">
        <v>22</v>
      </c>
      <c r="Q6" t="s">
        <v>23</v>
      </c>
      <c r="R6" t="b">
        <f>OR(Таблица1[[#This Row],[Ежемесячный платеж]]&lt;$AC$5, Таблица1[[#This Row],[Ежемесячный платеж]]&gt;$AC$6)</f>
        <v>0</v>
      </c>
      <c r="S6" s="9">
        <f>(Таблица1[[#This Row],[Размер кредита]]-21824)/(789096-21824)</f>
        <v>0.20122720495469665</v>
      </c>
      <c r="T6" s="9">
        <f>(Таблица1[[#This Row],[Кредитный рейтинг]]-586)/(751-586)</f>
        <v>0.83030303030303032</v>
      </c>
      <c r="U6" s="9">
        <f>Таблица1[[#This Row],[Ежемесячный платеж]]/(Таблица1[[#This Row],[Годовой доход]]/12)</f>
        <v>0.21204372438024596</v>
      </c>
      <c r="X6" t="s">
        <v>2060</v>
      </c>
      <c r="Y6">
        <f>Y3+1.5*Y4</f>
        <v>0</v>
      </c>
      <c r="Z6">
        <f t="shared" ref="Z6:AH6" si="2">Z3+1.5*Z4</f>
        <v>828487</v>
      </c>
      <c r="AA6">
        <f t="shared" si="2"/>
        <v>772.5</v>
      </c>
      <c r="AB6">
        <f t="shared" si="2"/>
        <v>2388430.625</v>
      </c>
      <c r="AC6">
        <f t="shared" si="2"/>
        <v>43983.2425</v>
      </c>
      <c r="AD6">
        <f t="shared" si="2"/>
        <v>34.349999999999994</v>
      </c>
      <c r="AE6">
        <f t="shared" si="2"/>
        <v>77.5</v>
      </c>
      <c r="AF6">
        <f t="shared" si="2"/>
        <v>23</v>
      </c>
      <c r="AG6">
        <f t="shared" si="2"/>
        <v>714449.875</v>
      </c>
      <c r="AH6">
        <f t="shared" si="2"/>
        <v>1492114.25</v>
      </c>
      <c r="AJ6" s="3" t="s">
        <v>2046</v>
      </c>
      <c r="AK6" s="3">
        <v>0</v>
      </c>
      <c r="AN6" s="3" t="s">
        <v>2046</v>
      </c>
      <c r="AO6" s="3">
        <v>0</v>
      </c>
      <c r="AV6" t="s">
        <v>47</v>
      </c>
      <c r="AW6">
        <f>COUNTIF(L:L, AV6)</f>
        <v>148</v>
      </c>
      <c r="AZ6" s="11" t="s">
        <v>24</v>
      </c>
      <c r="BA6" s="13">
        <v>0.2359882005899705</v>
      </c>
      <c r="BB6" s="13">
        <v>0.7640117994100295</v>
      </c>
      <c r="BC6" s="13">
        <v>1</v>
      </c>
    </row>
    <row r="7" spans="1:55" x14ac:dyDescent="0.3">
      <c r="A7">
        <v>6</v>
      </c>
      <c r="B7">
        <v>0</v>
      </c>
      <c r="C7" s="9">
        <v>206602</v>
      </c>
      <c r="D7">
        <v>729</v>
      </c>
      <c r="E7" s="1">
        <v>896857</v>
      </c>
      <c r="F7">
        <v>0</v>
      </c>
      <c r="G7">
        <v>16367.74</v>
      </c>
      <c r="H7">
        <v>17.3</v>
      </c>
      <c r="I7">
        <v>6</v>
      </c>
      <c r="J7">
        <v>215308</v>
      </c>
      <c r="K7">
        <v>272448</v>
      </c>
      <c r="L7" t="s">
        <v>24</v>
      </c>
      <c r="M7" t="s">
        <v>35</v>
      </c>
      <c r="N7" t="s">
        <v>26</v>
      </c>
      <c r="O7" t="s">
        <v>21</v>
      </c>
      <c r="P7" t="s">
        <v>22</v>
      </c>
      <c r="Q7" t="s">
        <v>36</v>
      </c>
      <c r="R7" t="b">
        <f>OR(Таблица1[[#This Row],[Ежемесячный платеж]]&lt;$AC$5, Таблица1[[#This Row],[Ежемесячный платеж]]&gt;$AC$6)</f>
        <v>0</v>
      </c>
      <c r="S7" s="9">
        <f>(Таблица1[[#This Row],[Размер кредита]]-21824)/(789096-21824)</f>
        <v>0.24082463585273542</v>
      </c>
      <c r="T7" s="9">
        <f>(Таблица1[[#This Row],[Кредитный рейтинг]]-586)/(751-586)</f>
        <v>0.8666666666666667</v>
      </c>
      <c r="U7" s="9">
        <f>Таблица1[[#This Row],[Ежемесячный платеж]]/(Таблица1[[#This Row],[Годовой доход]]/12)</f>
        <v>0.21900133466093258</v>
      </c>
      <c r="X7" t="s">
        <v>2064</v>
      </c>
      <c r="Y7">
        <f>MIN(Таблица1[Число нарушений кредитных договоров])</f>
        <v>0</v>
      </c>
      <c r="Z7">
        <f>MIN(Таблица1[Размер кредита])</f>
        <v>21824</v>
      </c>
      <c r="AA7" s="8">
        <f>MIN(Таблица1[Кредитный рейтинг])</f>
        <v>586</v>
      </c>
      <c r="AB7">
        <f>MIN(Таблица1[Годовой доход])</f>
        <v>185782</v>
      </c>
      <c r="AC7">
        <f>MIN(Таблица1[Срок с последнего нарушения кредитного договора (мес.)])</f>
        <v>0</v>
      </c>
      <c r="AD7" s="8">
        <f>MIN(Таблица1[Ежемесячный платеж])</f>
        <v>0</v>
      </c>
      <c r="AE7">
        <f>MIN(Таблица1[Срок кредитной истории (лет)])</f>
        <v>4.5</v>
      </c>
      <c r="AF7">
        <f>MIN(Таблица1[Количество кредитных карт])</f>
        <v>1</v>
      </c>
      <c r="AG7">
        <f>MIN(Таблица1[Текущий баланс кредитов])</f>
        <v>0</v>
      </c>
      <c r="AH7">
        <f>MIN(Таблица1[Максимальный выданный кредит])</f>
        <v>0</v>
      </c>
      <c r="AJ7" s="3" t="s">
        <v>2047</v>
      </c>
      <c r="AK7" s="3">
        <v>3689771.4602847612</v>
      </c>
      <c r="AN7" s="3" t="s">
        <v>2047</v>
      </c>
      <c r="AO7" s="3">
        <v>752749.67378332606</v>
      </c>
      <c r="AV7" t="s">
        <v>32</v>
      </c>
      <c r="AW7">
        <f>COUNTIF(L:L, AV7)</f>
        <v>130</v>
      </c>
      <c r="AZ7" s="11" t="s">
        <v>41</v>
      </c>
      <c r="BA7" s="13">
        <v>0.27624309392265195</v>
      </c>
      <c r="BB7" s="13">
        <v>0.72375690607734811</v>
      </c>
      <c r="BC7" s="13">
        <v>1</v>
      </c>
    </row>
    <row r="8" spans="1:55" ht="15" thickBot="1" x14ac:dyDescent="0.35">
      <c r="A8">
        <v>7</v>
      </c>
      <c r="B8">
        <v>1</v>
      </c>
      <c r="C8" s="9">
        <v>217646</v>
      </c>
      <c r="D8">
        <v>730</v>
      </c>
      <c r="E8" s="1">
        <v>1184194</v>
      </c>
      <c r="F8">
        <v>10</v>
      </c>
      <c r="G8">
        <v>10855.08</v>
      </c>
      <c r="H8">
        <v>19.600000000000001</v>
      </c>
      <c r="I8">
        <v>13</v>
      </c>
      <c r="J8">
        <v>122170</v>
      </c>
      <c r="K8">
        <v>272052</v>
      </c>
      <c r="L8" t="s">
        <v>37</v>
      </c>
      <c r="M8" t="s">
        <v>38</v>
      </c>
      <c r="N8" t="s">
        <v>26</v>
      </c>
      <c r="O8" t="s">
        <v>21</v>
      </c>
      <c r="P8" t="s">
        <v>22</v>
      </c>
      <c r="Q8" t="s">
        <v>23</v>
      </c>
      <c r="R8" t="b">
        <f>OR(Таблица1[[#This Row],[Ежемесячный платеж]]&lt;$AC$5, Таблица1[[#This Row],[Ежемесячный платеж]]&gt;$AC$6)</f>
        <v>0</v>
      </c>
      <c r="S8" s="9">
        <f>(Таблица1[[#This Row],[Размер кредита]]-21824)/(789096-21824)</f>
        <v>0.25521848835875671</v>
      </c>
      <c r="T8" s="9">
        <f>(Таблица1[[#This Row],[Кредитный рейтинг]]-586)/(751-586)</f>
        <v>0.87272727272727268</v>
      </c>
      <c r="U8" s="9">
        <f>Таблица1[[#This Row],[Ежемесячный платеж]]/(Таблица1[[#This Row],[Годовой доход]]/12)</f>
        <v>0.10999967910663287</v>
      </c>
      <c r="AJ8" s="3" t="s">
        <v>2048</v>
      </c>
      <c r="AK8" s="3">
        <v>13614413429131.938</v>
      </c>
      <c r="AN8" s="3" t="s">
        <v>2048</v>
      </c>
      <c r="AO8" s="3">
        <v>566632071380.90381</v>
      </c>
      <c r="AQ8">
        <f>AK8/AO8</f>
        <v>24.026902317676967</v>
      </c>
      <c r="AS8" t="s">
        <v>2070</v>
      </c>
      <c r="AT8" s="9">
        <f>SUM(S:S)</f>
        <v>667.97602936116425</v>
      </c>
      <c r="AV8" t="s">
        <v>69</v>
      </c>
      <c r="AW8">
        <f>COUNTIF(L:L, AV8)</f>
        <v>122</v>
      </c>
      <c r="AZ8" s="11" t="s">
        <v>29</v>
      </c>
      <c r="BA8" s="13">
        <v>0.21527777777777779</v>
      </c>
      <c r="BB8" s="13">
        <v>0.78472222222222221</v>
      </c>
      <c r="BC8" s="13">
        <v>1</v>
      </c>
    </row>
    <row r="9" spans="1:55" x14ac:dyDescent="0.3">
      <c r="A9">
        <v>8</v>
      </c>
      <c r="B9">
        <v>0</v>
      </c>
      <c r="C9" s="9">
        <v>648714</v>
      </c>
      <c r="D9">
        <f>$Y$13</f>
        <v>723</v>
      </c>
      <c r="E9">
        <f>$AB$13</f>
        <v>1168044</v>
      </c>
      <c r="F9">
        <v>8</v>
      </c>
      <c r="G9">
        <v>14806.13</v>
      </c>
      <c r="H9">
        <v>8.1999999999999993</v>
      </c>
      <c r="I9">
        <v>15</v>
      </c>
      <c r="J9">
        <v>193306</v>
      </c>
      <c r="K9">
        <v>864204</v>
      </c>
      <c r="L9" t="s">
        <v>37</v>
      </c>
      <c r="M9" t="s">
        <v>39</v>
      </c>
      <c r="N9" t="s">
        <v>40</v>
      </c>
      <c r="O9" t="s">
        <v>21</v>
      </c>
      <c r="P9" t="s">
        <v>31</v>
      </c>
      <c r="Q9" t="s">
        <v>36</v>
      </c>
      <c r="R9" t="b">
        <f>OR(Таблица1[[#This Row],[Ежемесячный платеж]]&lt;$AC$5, Таблица1[[#This Row],[Ежемесячный платеж]]&gt;$AC$6)</f>
        <v>0</v>
      </c>
      <c r="S9" s="9">
        <f>(Таблица1[[#This Row],[Размер кредита]]-21824)/(789096-21824)</f>
        <v>0.8170375043009519</v>
      </c>
      <c r="T9" s="9">
        <f>(Таблица1[[#This Row],[Кредитный рейтинг]]-586)/(751-586)</f>
        <v>0.83030303030303032</v>
      </c>
      <c r="U9" s="9">
        <f>Таблица1[[#This Row],[Ежемесячный платеж]]/(Таблица1[[#This Row],[Годовой доход]]/12)</f>
        <v>0.15211204372438022</v>
      </c>
      <c r="V9" t="s">
        <v>2062</v>
      </c>
      <c r="X9" s="6" t="s">
        <v>3</v>
      </c>
      <c r="Y9" s="6"/>
      <c r="AA9" s="6" t="s">
        <v>4</v>
      </c>
      <c r="AB9" s="6"/>
      <c r="AJ9" s="3" t="s">
        <v>2049</v>
      </c>
      <c r="AK9" s="3">
        <v>1267.1141868337936</v>
      </c>
      <c r="AN9" s="3" t="s">
        <v>2049</v>
      </c>
      <c r="AO9" s="3">
        <v>132.40357771749302</v>
      </c>
      <c r="AS9" t="s">
        <v>2072</v>
      </c>
      <c r="AT9" s="9">
        <f>SUM(Таблица1[Столбец2])</f>
        <v>1601.2606060606058</v>
      </c>
      <c r="AV9" t="s">
        <v>52</v>
      </c>
      <c r="AW9">
        <f>COUNTIF(L:L, AV9)</f>
        <v>123</v>
      </c>
      <c r="AZ9" s="11" t="s">
        <v>47</v>
      </c>
      <c r="BA9" s="13">
        <v>0.22972972972972974</v>
      </c>
      <c r="BB9" s="13">
        <v>0.77027027027027029</v>
      </c>
      <c r="BC9" s="13">
        <v>1</v>
      </c>
    </row>
    <row r="10" spans="1:55" x14ac:dyDescent="0.3">
      <c r="A10">
        <v>9</v>
      </c>
      <c r="B10">
        <v>0</v>
      </c>
      <c r="C10" s="9">
        <v>548746</v>
      </c>
      <c r="D10">
        <v>678</v>
      </c>
      <c r="E10" s="1">
        <v>2559110</v>
      </c>
      <c r="F10">
        <v>33</v>
      </c>
      <c r="G10">
        <v>18660.28</v>
      </c>
      <c r="H10">
        <v>22.6</v>
      </c>
      <c r="I10">
        <v>4</v>
      </c>
      <c r="J10">
        <v>437171</v>
      </c>
      <c r="K10">
        <v>555038</v>
      </c>
      <c r="L10" t="s">
        <v>41</v>
      </c>
      <c r="M10" t="s">
        <v>42</v>
      </c>
      <c r="N10" t="s">
        <v>26</v>
      </c>
      <c r="O10" t="s">
        <v>34</v>
      </c>
      <c r="P10" t="s">
        <v>22</v>
      </c>
      <c r="Q10" t="s">
        <v>23</v>
      </c>
      <c r="R10" t="b">
        <f>OR(Таблица1[[#This Row],[Ежемесячный платеж]]&lt;$AC$5, Таблица1[[#This Row],[Ежемесячный платеж]]&gt;$AC$6)</f>
        <v>0</v>
      </c>
      <c r="S10" s="9">
        <f>(Таблица1[[#This Row],[Размер кредита]]-21824)/(789096-21824)</f>
        <v>0.68674733340979466</v>
      </c>
      <c r="T10" s="9">
        <f>(Таблица1[[#This Row],[Кредитный рейтинг]]-586)/(751-586)</f>
        <v>0.55757575757575761</v>
      </c>
      <c r="U10" s="9">
        <f>Таблица1[[#This Row],[Ежемесячный платеж]]/(Таблица1[[#This Row],[Годовой доход]]/12)</f>
        <v>8.7500482589650305E-2</v>
      </c>
      <c r="X10" s="3"/>
      <c r="Y10" s="3"/>
      <c r="AA10" s="3"/>
      <c r="AB10" s="3"/>
      <c r="AJ10" s="3" t="s">
        <v>2050</v>
      </c>
      <c r="AK10" s="7">
        <v>34.084223701863515</v>
      </c>
      <c r="AN10" s="3" t="s">
        <v>2050</v>
      </c>
      <c r="AO10" s="7">
        <v>9.1166408690808698</v>
      </c>
      <c r="AV10" t="s">
        <v>18</v>
      </c>
      <c r="AW10">
        <f>COUNTIF(L:L, AV10)</f>
        <v>93</v>
      </c>
      <c r="AZ10" s="11" t="s">
        <v>32</v>
      </c>
      <c r="BA10" s="13">
        <v>0.2076923076923077</v>
      </c>
      <c r="BB10" s="13">
        <v>0.79230769230769227</v>
      </c>
      <c r="BC10" s="13">
        <v>1</v>
      </c>
    </row>
    <row r="11" spans="1:55" x14ac:dyDescent="0.3">
      <c r="A11">
        <v>10</v>
      </c>
      <c r="B11">
        <v>0</v>
      </c>
      <c r="C11" s="9">
        <v>215952</v>
      </c>
      <c r="D11">
        <v>739</v>
      </c>
      <c r="E11" s="1">
        <v>1454735</v>
      </c>
      <c r="F11">
        <v>0</v>
      </c>
      <c r="G11">
        <v>39277.75</v>
      </c>
      <c r="H11">
        <v>13.9</v>
      </c>
      <c r="I11">
        <v>20</v>
      </c>
      <c r="J11">
        <v>669560</v>
      </c>
      <c r="K11">
        <v>1021460</v>
      </c>
      <c r="L11" t="s">
        <v>37</v>
      </c>
      <c r="M11" t="s">
        <v>43</v>
      </c>
      <c r="N11" t="s">
        <v>26</v>
      </c>
      <c r="O11" t="s">
        <v>34</v>
      </c>
      <c r="P11" t="s">
        <v>22</v>
      </c>
      <c r="Q11" t="s">
        <v>23</v>
      </c>
      <c r="R11" t="b">
        <f>OR(Таблица1[[#This Row],[Ежемесячный платеж]]&lt;$AC$5, Таблица1[[#This Row],[Ежемесячный платеж]]&gt;$AC$6)</f>
        <v>0</v>
      </c>
      <c r="S11" s="9">
        <f>(Таблица1[[#This Row],[Размер кредита]]-21824)/(789096-21824)</f>
        <v>0.2530106663608212</v>
      </c>
      <c r="T11" s="9">
        <f>(Таблица1[[#This Row],[Кредитный рейтинг]]-586)/(751-586)</f>
        <v>0.92727272727272725</v>
      </c>
      <c r="U11" s="9">
        <f>Таблица1[[#This Row],[Ежемесячный платеж]]/(Таблица1[[#This Row],[Годовой доход]]/12)</f>
        <v>0.32399921635211909</v>
      </c>
      <c r="X11" s="3" t="s">
        <v>2043</v>
      </c>
      <c r="Y11" s="3">
        <v>716.87617260787988</v>
      </c>
      <c r="AA11" s="3" t="s">
        <v>2043</v>
      </c>
      <c r="AB11" s="3">
        <v>1373889.3227016886</v>
      </c>
      <c r="AJ11" s="3" t="s">
        <v>2051</v>
      </c>
      <c r="AK11" s="7">
        <v>145907344</v>
      </c>
      <c r="AN11" s="3" t="s">
        <v>2051</v>
      </c>
      <c r="AO11" s="7">
        <v>14822676</v>
      </c>
      <c r="AS11" t="s">
        <v>2074</v>
      </c>
      <c r="AT11">
        <f>AVERAGE(U:U) * 100</f>
        <v>17.315445376764512</v>
      </c>
      <c r="AV11" t="s">
        <v>50</v>
      </c>
      <c r="AW11">
        <f>COUNTIF(L:L, AV11)</f>
        <v>79</v>
      </c>
      <c r="AZ11" s="11" t="s">
        <v>69</v>
      </c>
      <c r="BA11" s="13">
        <v>0.18852459016393441</v>
      </c>
      <c r="BB11" s="13">
        <v>0.81147540983606559</v>
      </c>
      <c r="BC11" s="13">
        <v>1</v>
      </c>
    </row>
    <row r="12" spans="1:55" x14ac:dyDescent="0.3">
      <c r="A12">
        <v>11</v>
      </c>
      <c r="B12">
        <v>0</v>
      </c>
      <c r="D12">
        <v>728</v>
      </c>
      <c r="E12" s="1">
        <v>714628</v>
      </c>
      <c r="F12">
        <v>76</v>
      </c>
      <c r="G12">
        <v>11851.06</v>
      </c>
      <c r="H12">
        <v>16</v>
      </c>
      <c r="I12">
        <v>16</v>
      </c>
      <c r="J12">
        <v>203965</v>
      </c>
      <c r="K12">
        <v>289784</v>
      </c>
      <c r="L12" t="s">
        <v>29</v>
      </c>
      <c r="M12" t="s">
        <v>44</v>
      </c>
      <c r="N12" t="s">
        <v>26</v>
      </c>
      <c r="O12" t="s">
        <v>34</v>
      </c>
      <c r="P12" t="s">
        <v>22</v>
      </c>
      <c r="Q12" t="s">
        <v>23</v>
      </c>
      <c r="R12" t="b">
        <f>OR(Таблица1[[#This Row],[Ежемесячный платеж]]&lt;$AC$5, Таблица1[[#This Row],[Ежемесячный платеж]]&gt;$AC$6)</f>
        <v>0</v>
      </c>
      <c r="T12" s="9">
        <f>(Таблица1[[#This Row],[Кредитный рейтинг]]-586)/(751-586)</f>
        <v>0.8606060606060606</v>
      </c>
      <c r="U12" s="9">
        <f>Таблица1[[#This Row],[Ежемесячный платеж]]/(Таблица1[[#This Row],[Годовой доход]]/12)</f>
        <v>0.19900244602786343</v>
      </c>
      <c r="X12" s="3" t="s">
        <v>2044</v>
      </c>
      <c r="Y12" s="3">
        <v>0.68665679183527129</v>
      </c>
      <c r="AA12" s="3" t="s">
        <v>2044</v>
      </c>
      <c r="AB12" s="3">
        <v>21140.117231449072</v>
      </c>
      <c r="AJ12" s="3" t="s">
        <v>2052</v>
      </c>
      <c r="AK12" s="3">
        <v>0</v>
      </c>
      <c r="AN12" s="3" t="s">
        <v>2052</v>
      </c>
      <c r="AO12" s="3">
        <v>0</v>
      </c>
      <c r="AZ12" s="11" t="s">
        <v>52</v>
      </c>
      <c r="BA12" s="13">
        <v>0.23577235772357724</v>
      </c>
      <c r="BB12" s="13">
        <v>0.76422764227642281</v>
      </c>
      <c r="BC12" s="13">
        <v>1</v>
      </c>
    </row>
    <row r="13" spans="1:55" x14ac:dyDescent="0.3">
      <c r="A13">
        <v>12</v>
      </c>
      <c r="B13">
        <v>0</v>
      </c>
      <c r="C13" s="9">
        <v>541970</v>
      </c>
      <c r="D13">
        <f>$Y$13</f>
        <v>723</v>
      </c>
      <c r="E13">
        <f>$AB$13</f>
        <v>1168044</v>
      </c>
      <c r="F13">
        <v>0</v>
      </c>
      <c r="G13">
        <v>23568.55</v>
      </c>
      <c r="H13">
        <v>23.2</v>
      </c>
      <c r="I13">
        <v>23</v>
      </c>
      <c r="J13">
        <v>60705</v>
      </c>
      <c r="K13">
        <v>1634468</v>
      </c>
      <c r="L13" t="s">
        <v>24</v>
      </c>
      <c r="M13" t="s">
        <v>45</v>
      </c>
      <c r="N13" t="s">
        <v>20</v>
      </c>
      <c r="O13" t="s">
        <v>21</v>
      </c>
      <c r="P13" t="s">
        <v>22</v>
      </c>
      <c r="Q13" t="s">
        <v>23</v>
      </c>
      <c r="R13" t="b">
        <f>OR(Таблица1[[#This Row],[Ежемесячный платеж]]&lt;$AC$5, Таблица1[[#This Row],[Ежемесячный платеж]]&gt;$AC$6)</f>
        <v>0</v>
      </c>
      <c r="S13" s="9">
        <f>(Таблица1[[#This Row],[Размер кредита]]-21824)/(789096-21824)</f>
        <v>0.6779160454180525</v>
      </c>
      <c r="T13" s="9">
        <f>(Таблица1[[#This Row],[Кредитный рейтинг]]-586)/(751-586)</f>
        <v>0.83030303030303032</v>
      </c>
      <c r="U13" s="9">
        <f>Таблица1[[#This Row],[Ежемесячный платеж]]/(Таблица1[[#This Row],[Годовой доход]]/12)</f>
        <v>0.24213351551825102</v>
      </c>
      <c r="X13" s="3" t="s">
        <v>2045</v>
      </c>
      <c r="Y13" s="3">
        <v>723</v>
      </c>
      <c r="AA13" s="3" t="s">
        <v>2045</v>
      </c>
      <c r="AB13" s="3">
        <v>1168044</v>
      </c>
      <c r="AJ13" s="3" t="s">
        <v>2053</v>
      </c>
      <c r="AK13" s="3">
        <v>145907344</v>
      </c>
      <c r="AN13" s="3" t="s">
        <v>2053</v>
      </c>
      <c r="AO13" s="3">
        <v>14822676</v>
      </c>
      <c r="AZ13" s="11" t="s">
        <v>18</v>
      </c>
      <c r="BA13" s="13">
        <v>0.19354838709677419</v>
      </c>
      <c r="BB13" s="13">
        <v>0.80645161290322576</v>
      </c>
      <c r="BC13" s="13">
        <v>1</v>
      </c>
    </row>
    <row r="14" spans="1:55" x14ac:dyDescent="0.3">
      <c r="A14">
        <v>13</v>
      </c>
      <c r="B14">
        <v>0</v>
      </c>
      <c r="D14">
        <v>740</v>
      </c>
      <c r="E14" s="1">
        <v>776188</v>
      </c>
      <c r="F14">
        <v>25</v>
      </c>
      <c r="G14">
        <v>11578.22</v>
      </c>
      <c r="H14">
        <v>8.5</v>
      </c>
      <c r="I14">
        <v>6</v>
      </c>
      <c r="J14">
        <v>134083</v>
      </c>
      <c r="K14">
        <v>220220</v>
      </c>
      <c r="L14" t="s">
        <v>37</v>
      </c>
      <c r="M14" t="s">
        <v>46</v>
      </c>
      <c r="N14" t="s">
        <v>26</v>
      </c>
      <c r="O14" t="s">
        <v>28</v>
      </c>
      <c r="P14" t="s">
        <v>22</v>
      </c>
      <c r="Q14" t="s">
        <v>23</v>
      </c>
      <c r="R14" t="b">
        <f>OR(Таблица1[[#This Row],[Ежемесячный платеж]]&lt;$AC$5, Таблица1[[#This Row],[Ежемесячный платеж]]&gt;$AC$6)</f>
        <v>0</v>
      </c>
      <c r="T14" s="9">
        <f>(Таблица1[[#This Row],[Кредитный рейтинг]]-586)/(751-586)</f>
        <v>0.93333333333333335</v>
      </c>
      <c r="U14" s="9">
        <f>Таблица1[[#This Row],[Ежемесячный платеж]]/(Таблица1[[#This Row],[Годовой доход]]/12)</f>
        <v>0.17900127288749632</v>
      </c>
      <c r="X14" s="3" t="s">
        <v>2046</v>
      </c>
      <c r="Y14" s="3">
        <v>747</v>
      </c>
      <c r="AA14" s="3" t="s">
        <v>2046</v>
      </c>
      <c r="AB14" s="3">
        <v>753692</v>
      </c>
      <c r="AJ14" s="3" t="s">
        <v>2054</v>
      </c>
      <c r="AK14" s="3">
        <v>1448598338</v>
      </c>
      <c r="AN14" s="3" t="s">
        <v>2054</v>
      </c>
      <c r="AO14" s="3">
        <v>1231381778</v>
      </c>
      <c r="AZ14" s="11" t="s">
        <v>50</v>
      </c>
      <c r="BA14" s="13">
        <v>0.24050632911392406</v>
      </c>
      <c r="BB14" s="13">
        <v>0.759493670886076</v>
      </c>
      <c r="BC14" s="13">
        <v>1</v>
      </c>
    </row>
    <row r="15" spans="1:55" ht="15" thickBot="1" x14ac:dyDescent="0.35">
      <c r="A15">
        <v>14</v>
      </c>
      <c r="B15">
        <v>1</v>
      </c>
      <c r="D15">
        <v>743</v>
      </c>
      <c r="E15" s="1">
        <v>1560907</v>
      </c>
      <c r="F15">
        <v>0</v>
      </c>
      <c r="G15">
        <v>17560.37</v>
      </c>
      <c r="H15">
        <v>13.3</v>
      </c>
      <c r="I15">
        <v>10</v>
      </c>
      <c r="J15">
        <v>225549</v>
      </c>
      <c r="K15">
        <v>496474</v>
      </c>
      <c r="L15" t="s">
        <v>47</v>
      </c>
      <c r="M15" t="s">
        <v>48</v>
      </c>
      <c r="N15" t="s">
        <v>26</v>
      </c>
      <c r="O15" t="s">
        <v>34</v>
      </c>
      <c r="P15" t="s">
        <v>22</v>
      </c>
      <c r="Q15" t="s">
        <v>23</v>
      </c>
      <c r="R15" t="b">
        <f>OR(Таблица1[[#This Row],[Ежемесячный платеж]]&lt;$AC$5, Таблица1[[#This Row],[Ежемесячный платеж]]&gt;$AC$6)</f>
        <v>0</v>
      </c>
      <c r="T15" s="9">
        <f>(Таблица1[[#This Row],[Кредитный рейтинг]]-586)/(751-586)</f>
        <v>0.95151515151515154</v>
      </c>
      <c r="U15" s="9">
        <f>Таблица1[[#This Row],[Ежемесячный платеж]]/(Таблица1[[#This Row],[Годовой доход]]/12)</f>
        <v>0.13500127810305163</v>
      </c>
      <c r="X15" s="3" t="s">
        <v>2047</v>
      </c>
      <c r="Y15" s="3">
        <v>27.457687121967101</v>
      </c>
      <c r="AA15" s="3" t="s">
        <v>2047</v>
      </c>
      <c r="AB15" s="3">
        <v>845340.39649037039</v>
      </c>
      <c r="AJ15" s="4" t="s">
        <v>2055</v>
      </c>
      <c r="AK15" s="4">
        <v>2000</v>
      </c>
      <c r="AN15" s="4" t="s">
        <v>2055</v>
      </c>
      <c r="AO15" s="4">
        <v>1998</v>
      </c>
      <c r="AZ15" s="11" t="s">
        <v>2076</v>
      </c>
      <c r="BA15" s="13">
        <v>0.23200000000000001</v>
      </c>
      <c r="BB15" s="13">
        <v>0.76800000000000002</v>
      </c>
      <c r="BC15" s="13">
        <v>1</v>
      </c>
    </row>
    <row r="16" spans="1:55" x14ac:dyDescent="0.3">
      <c r="A16">
        <v>15</v>
      </c>
      <c r="B16">
        <v>1</v>
      </c>
      <c r="C16" s="9">
        <v>234124</v>
      </c>
      <c r="D16">
        <v>727</v>
      </c>
      <c r="E16" s="1">
        <v>693234</v>
      </c>
      <c r="F16">
        <v>46</v>
      </c>
      <c r="G16">
        <v>14211.24</v>
      </c>
      <c r="H16">
        <v>24.7</v>
      </c>
      <c r="I16">
        <v>10</v>
      </c>
      <c r="J16">
        <v>28291</v>
      </c>
      <c r="K16">
        <v>107052</v>
      </c>
      <c r="L16" t="s">
        <v>24</v>
      </c>
      <c r="M16" t="s">
        <v>49</v>
      </c>
      <c r="N16" t="s">
        <v>26</v>
      </c>
      <c r="O16" t="s">
        <v>34</v>
      </c>
      <c r="P16" t="s">
        <v>22</v>
      </c>
      <c r="Q16" t="s">
        <v>23</v>
      </c>
      <c r="R16" t="b">
        <f>OR(Таблица1[[#This Row],[Ежемесячный платеж]]&lt;$AC$5, Таблица1[[#This Row],[Ежемесячный платеж]]&gt;$AC$6)</f>
        <v>0</v>
      </c>
      <c r="S16" s="9">
        <f>(Таблица1[[#This Row],[Размер кредита]]-21824)/(789096-21824)</f>
        <v>0.27669457506594791</v>
      </c>
      <c r="T16" s="9">
        <f>(Таблица1[[#This Row],[Кредитный рейтинг]]-586)/(751-586)</f>
        <v>0.8545454545454545</v>
      </c>
      <c r="U16" s="9">
        <f>Таблица1[[#This Row],[Ежемесячный платеж]]/(Таблица1[[#This Row],[Годовой доход]]/12)</f>
        <v>0.2459990133201776</v>
      </c>
      <c r="X16" s="3" t="s">
        <v>2048</v>
      </c>
      <c r="Y16" s="3">
        <v>753.92458208783796</v>
      </c>
      <c r="AA16" s="3" t="s">
        <v>2048</v>
      </c>
      <c r="AB16" s="3">
        <v>714600385938.49658</v>
      </c>
    </row>
    <row r="17" spans="1:53" x14ac:dyDescent="0.3">
      <c r="A17">
        <v>16</v>
      </c>
      <c r="B17">
        <v>0</v>
      </c>
      <c r="C17" s="9">
        <v>449020</v>
      </c>
      <c r="D17">
        <f>$Y$13</f>
        <v>723</v>
      </c>
      <c r="E17">
        <f>$AB$13</f>
        <v>1168044</v>
      </c>
      <c r="F17">
        <v>0</v>
      </c>
      <c r="G17">
        <v>18904.810000000001</v>
      </c>
      <c r="H17">
        <v>19.399999999999999</v>
      </c>
      <c r="I17">
        <v>8</v>
      </c>
      <c r="J17">
        <v>334533</v>
      </c>
      <c r="K17">
        <v>428956</v>
      </c>
      <c r="L17" t="s">
        <v>50</v>
      </c>
      <c r="M17" t="s">
        <v>51</v>
      </c>
      <c r="N17" t="s">
        <v>26</v>
      </c>
      <c r="O17" t="s">
        <v>28</v>
      </c>
      <c r="P17" t="s">
        <v>31</v>
      </c>
      <c r="Q17" t="s">
        <v>23</v>
      </c>
      <c r="R17" t="b">
        <f>OR(Таблица1[[#This Row],[Ежемесячный платеж]]&lt;$AC$5, Таблица1[[#This Row],[Ежемесячный платеж]]&gt;$AC$6)</f>
        <v>0</v>
      </c>
      <c r="S17" s="9">
        <f>(Таблица1[[#This Row],[Размер кредита]]-21824)/(789096-21824)</f>
        <v>0.5567725656611997</v>
      </c>
      <c r="T17" s="9">
        <f>(Таблица1[[#This Row],[Кредитный рейтинг]]-586)/(751-586)</f>
        <v>0.83030303030303032</v>
      </c>
      <c r="U17" s="9">
        <f>Таблица1[[#This Row],[Ежемесячный платеж]]/(Таблица1[[#This Row],[Годовой доход]]/12)</f>
        <v>0.19422018348623854</v>
      </c>
      <c r="X17" s="3" t="s">
        <v>2049</v>
      </c>
      <c r="Y17" s="3">
        <v>2.2783011228528043</v>
      </c>
      <c r="AA17" s="3" t="s">
        <v>2049</v>
      </c>
      <c r="AB17" s="3">
        <v>13.091200610127903</v>
      </c>
    </row>
    <row r="18" spans="1:53" x14ac:dyDescent="0.3">
      <c r="A18">
        <v>17</v>
      </c>
      <c r="B18">
        <v>0</v>
      </c>
      <c r="C18" s="9">
        <v>653004</v>
      </c>
      <c r="D18">
        <f>$Y$13</f>
        <v>723</v>
      </c>
      <c r="E18">
        <f>$AB$13</f>
        <v>1168044</v>
      </c>
      <c r="F18">
        <v>0</v>
      </c>
      <c r="G18">
        <v>14537.09</v>
      </c>
      <c r="H18">
        <v>20.5</v>
      </c>
      <c r="I18">
        <v>9</v>
      </c>
      <c r="J18">
        <v>302309</v>
      </c>
      <c r="K18">
        <v>413754</v>
      </c>
      <c r="L18" t="s">
        <v>52</v>
      </c>
      <c r="M18" t="s">
        <v>53</v>
      </c>
      <c r="N18" t="s">
        <v>26</v>
      </c>
      <c r="O18" t="s">
        <v>21</v>
      </c>
      <c r="P18" t="s">
        <v>31</v>
      </c>
      <c r="Q18" t="s">
        <v>36</v>
      </c>
      <c r="R18" t="b">
        <f>OR(Таблица1[[#This Row],[Ежемесячный платеж]]&lt;$AC$5, Таблица1[[#This Row],[Ежемесячный платеж]]&gt;$AC$6)</f>
        <v>0</v>
      </c>
      <c r="S18" s="9">
        <f>(Таблица1[[#This Row],[Размер кредита]]-21824)/(789096-21824)</f>
        <v>0.82262874182819135</v>
      </c>
      <c r="T18" s="9">
        <f>(Таблица1[[#This Row],[Кредитный рейтинг]]-586)/(751-586)</f>
        <v>0.83030303030303032</v>
      </c>
      <c r="U18" s="9">
        <f>Таблица1[[#This Row],[Ежемесячный платеж]]/(Таблица1[[#This Row],[Годовой доход]]/12)</f>
        <v>0.14934803825883272</v>
      </c>
      <c r="X18" s="3" t="s">
        <v>2050</v>
      </c>
      <c r="Y18" s="7">
        <v>-1.3651299335458407</v>
      </c>
      <c r="AA18" s="3" t="s">
        <v>2050</v>
      </c>
      <c r="AB18" s="7">
        <v>2.7422305735375985</v>
      </c>
      <c r="AZ18" s="10" t="s">
        <v>2075</v>
      </c>
      <c r="BA18" t="s">
        <v>2079</v>
      </c>
    </row>
    <row r="19" spans="1:53" x14ac:dyDescent="0.3">
      <c r="A19">
        <v>18</v>
      </c>
      <c r="B19">
        <v>0</v>
      </c>
      <c r="C19" s="9">
        <v>666204</v>
      </c>
      <c r="D19">
        <v>723</v>
      </c>
      <c r="E19" s="1">
        <v>1821967</v>
      </c>
      <c r="F19">
        <v>34</v>
      </c>
      <c r="G19">
        <v>17612.240000000002</v>
      </c>
      <c r="H19">
        <v>22</v>
      </c>
      <c r="I19">
        <v>15</v>
      </c>
      <c r="J19">
        <v>813694</v>
      </c>
      <c r="K19">
        <v>2004618</v>
      </c>
      <c r="L19" t="s">
        <v>24</v>
      </c>
      <c r="M19" s="2" t="s">
        <v>54</v>
      </c>
      <c r="N19" t="s">
        <v>26</v>
      </c>
      <c r="O19" t="s">
        <v>21</v>
      </c>
      <c r="P19" t="s">
        <v>31</v>
      </c>
      <c r="Q19" t="s">
        <v>23</v>
      </c>
      <c r="R19" t="b">
        <f>OR(Таблица1[[#This Row],[Ежемесячный платеж]]&lt;$AC$5, Таблица1[[#This Row],[Ежемесячный платеж]]&gt;$AC$6)</f>
        <v>0</v>
      </c>
      <c r="S19" s="9">
        <f>(Таблица1[[#This Row],[Размер кредита]]-21824)/(789096-21824)</f>
        <v>0.83983254960431242</v>
      </c>
      <c r="T19" s="9">
        <f>(Таблица1[[#This Row],[Кредитный рейтинг]]-586)/(751-586)</f>
        <v>0.83030303030303032</v>
      </c>
      <c r="U19" s="9">
        <f>Таблица1[[#This Row],[Ежемесячный платеж]]/(Таблица1[[#This Row],[Годовой доход]]/12)</f>
        <v>0.1159992908762892</v>
      </c>
      <c r="X19" s="3" t="s">
        <v>2051</v>
      </c>
      <c r="Y19" s="3">
        <v>165</v>
      </c>
      <c r="AA19" s="3" t="s">
        <v>2051</v>
      </c>
      <c r="AB19" s="3">
        <v>8872202</v>
      </c>
      <c r="AZ19" s="11" t="s">
        <v>36</v>
      </c>
      <c r="BA19" s="12">
        <v>714.90086206896547</v>
      </c>
    </row>
    <row r="20" spans="1:53" x14ac:dyDescent="0.3">
      <c r="A20">
        <v>19</v>
      </c>
      <c r="B20">
        <v>1</v>
      </c>
      <c r="C20" s="9">
        <v>66396</v>
      </c>
      <c r="D20">
        <f>$Y$13</f>
        <v>723</v>
      </c>
      <c r="E20">
        <f>$AB$13</f>
        <v>1168044</v>
      </c>
      <c r="F20">
        <v>0</v>
      </c>
      <c r="G20">
        <v>9898.81</v>
      </c>
      <c r="H20">
        <v>27.1</v>
      </c>
      <c r="I20">
        <v>23</v>
      </c>
      <c r="J20">
        <v>9728</v>
      </c>
      <c r="K20">
        <v>402380</v>
      </c>
      <c r="L20" t="s">
        <v>24</v>
      </c>
      <c r="M20" t="s">
        <v>55</v>
      </c>
      <c r="N20" t="s">
        <v>26</v>
      </c>
      <c r="O20" t="s">
        <v>34</v>
      </c>
      <c r="P20" t="s">
        <v>22</v>
      </c>
      <c r="Q20" t="s">
        <v>23</v>
      </c>
      <c r="R20" t="b">
        <f>OR(Таблица1[[#This Row],[Ежемесячный платеж]]&lt;$AC$5, Таблица1[[#This Row],[Ежемесячный платеж]]&gt;$AC$6)</f>
        <v>0</v>
      </c>
      <c r="S20" s="9">
        <f>(Таблица1[[#This Row],[Размер кредита]]-21824)/(789096-21824)</f>
        <v>5.8091524257368965E-2</v>
      </c>
      <c r="T20" s="9">
        <f>(Таблица1[[#This Row],[Кредитный рейтинг]]-586)/(751-586)</f>
        <v>0.83030303030303032</v>
      </c>
      <c r="U20" s="9">
        <f>Таблица1[[#This Row],[Ежемесячный платеж]]/(Таблица1[[#This Row],[Годовой доход]]/12)</f>
        <v>0.10169627171579153</v>
      </c>
      <c r="X20" s="3" t="s">
        <v>2052</v>
      </c>
      <c r="Y20" s="3">
        <v>586</v>
      </c>
      <c r="AA20" s="3" t="s">
        <v>2052</v>
      </c>
      <c r="AB20" s="3">
        <v>185782</v>
      </c>
      <c r="AZ20" s="11" t="s">
        <v>23</v>
      </c>
      <c r="BA20" s="12">
        <v>719.07161458333337</v>
      </c>
    </row>
    <row r="21" spans="1:53" x14ac:dyDescent="0.3">
      <c r="A21">
        <v>20</v>
      </c>
      <c r="B21">
        <v>0</v>
      </c>
      <c r="C21" s="9">
        <v>390390</v>
      </c>
      <c r="D21">
        <v>747</v>
      </c>
      <c r="E21" s="1">
        <v>1791738</v>
      </c>
      <c r="F21">
        <v>0</v>
      </c>
      <c r="G21">
        <v>2478.5500000000002</v>
      </c>
      <c r="H21">
        <v>22.7</v>
      </c>
      <c r="I21">
        <v>6</v>
      </c>
      <c r="J21">
        <v>121182</v>
      </c>
      <c r="K21">
        <v>801812</v>
      </c>
      <c r="L21" t="s">
        <v>18</v>
      </c>
      <c r="M21" t="s">
        <v>56</v>
      </c>
      <c r="N21" t="s">
        <v>20</v>
      </c>
      <c r="O21" t="s">
        <v>21</v>
      </c>
      <c r="P21" t="s">
        <v>22</v>
      </c>
      <c r="Q21" t="s">
        <v>23</v>
      </c>
      <c r="R21" t="b">
        <f>OR(Таблица1[[#This Row],[Ежемесячный платеж]]&lt;$AC$5, Таблица1[[#This Row],[Ежемесячный платеж]]&gt;$AC$6)</f>
        <v>0</v>
      </c>
      <c r="S21" s="9">
        <f>(Таблица1[[#This Row],[Размер кредита]]-21824)/(789096-21824)</f>
        <v>0.48035898612226174</v>
      </c>
      <c r="T21" s="9">
        <f>(Таблица1[[#This Row],[Кредитный рейтинг]]-586)/(751-586)</f>
        <v>0.97575757575757571</v>
      </c>
      <c r="U21" s="9">
        <f>Таблица1[[#This Row],[Ежемесячный платеж]]/(Таблица1[[#This Row],[Годовой доход]]/12)</f>
        <v>1.6599860024177644E-2</v>
      </c>
      <c r="X21" s="3" t="s">
        <v>2053</v>
      </c>
      <c r="Y21" s="3">
        <v>751</v>
      </c>
      <c r="AA21" s="3" t="s">
        <v>2053</v>
      </c>
      <c r="AB21" s="3">
        <v>9057984</v>
      </c>
      <c r="AZ21" s="11" t="s">
        <v>2076</v>
      </c>
      <c r="BA21" s="12">
        <v>718.10400000000004</v>
      </c>
    </row>
    <row r="22" spans="1:53" x14ac:dyDescent="0.3">
      <c r="A22">
        <v>21</v>
      </c>
      <c r="B22">
        <v>0</v>
      </c>
      <c r="C22" s="9">
        <v>317108</v>
      </c>
      <c r="D22">
        <v>687</v>
      </c>
      <c r="E22" s="1">
        <v>1133274</v>
      </c>
      <c r="F22">
        <v>53</v>
      </c>
      <c r="G22">
        <v>9632.81</v>
      </c>
      <c r="H22">
        <v>17.399999999999999</v>
      </c>
      <c r="I22">
        <v>4</v>
      </c>
      <c r="J22">
        <v>60287</v>
      </c>
      <c r="K22">
        <v>126940</v>
      </c>
      <c r="L22" t="s">
        <v>18</v>
      </c>
      <c r="M22" t="s">
        <v>57</v>
      </c>
      <c r="N22" t="s">
        <v>26</v>
      </c>
      <c r="O22" t="s">
        <v>34</v>
      </c>
      <c r="P22" t="s">
        <v>31</v>
      </c>
      <c r="Q22" t="s">
        <v>36</v>
      </c>
      <c r="R22" t="b">
        <f>OR(Таблица1[[#This Row],[Ежемесячный платеж]]&lt;$AC$5, Таблица1[[#This Row],[Ежемесячный платеж]]&gt;$AC$6)</f>
        <v>0</v>
      </c>
      <c r="S22" s="9">
        <f>(Таблица1[[#This Row],[Размер кредита]]-21824)/(789096-21824)</f>
        <v>0.38484917995182932</v>
      </c>
      <c r="T22" s="9">
        <f>(Таблица1[[#This Row],[Кредитный рейтинг]]-586)/(751-586)</f>
        <v>0.61212121212121207</v>
      </c>
      <c r="U22" s="9">
        <f>Таблица1[[#This Row],[Ежемесячный платеж]]/(Таблица1[[#This Row],[Годовой доход]]/12)</f>
        <v>0.10199979881299667</v>
      </c>
      <c r="X22" s="3" t="s">
        <v>2054</v>
      </c>
      <c r="Y22" s="3">
        <v>1146285</v>
      </c>
      <c r="AA22" s="3" t="s">
        <v>2054</v>
      </c>
      <c r="AB22" s="3">
        <v>2196849027</v>
      </c>
    </row>
    <row r="23" spans="1:53" ht="15" thickBot="1" x14ac:dyDescent="0.35">
      <c r="A23">
        <v>22</v>
      </c>
      <c r="B23">
        <v>0</v>
      </c>
      <c r="C23" s="9">
        <v>128238</v>
      </c>
      <c r="D23">
        <v>750</v>
      </c>
      <c r="E23" s="1">
        <v>1354073</v>
      </c>
      <c r="F23">
        <v>0</v>
      </c>
      <c r="G23">
        <v>13202.15</v>
      </c>
      <c r="H23">
        <v>11.9</v>
      </c>
      <c r="I23">
        <v>7</v>
      </c>
      <c r="J23">
        <v>131936</v>
      </c>
      <c r="K23">
        <v>458788</v>
      </c>
      <c r="L23" t="s">
        <v>37</v>
      </c>
      <c r="M23" t="s">
        <v>58</v>
      </c>
      <c r="N23" t="s">
        <v>26</v>
      </c>
      <c r="O23" t="s">
        <v>34</v>
      </c>
      <c r="P23" t="s">
        <v>22</v>
      </c>
      <c r="Q23" t="s">
        <v>23</v>
      </c>
      <c r="R23" t="b">
        <f>OR(Таблица1[[#This Row],[Ежемесячный платеж]]&lt;$AC$5, Таблица1[[#This Row],[Ежемесячный платеж]]&gt;$AC$6)</f>
        <v>0</v>
      </c>
      <c r="S23" s="9">
        <f>(Таблица1[[#This Row],[Размер кредита]]-21824)/(789096-21824)</f>
        <v>0.13869136368849638</v>
      </c>
      <c r="T23" s="9">
        <f>(Таблица1[[#This Row],[Кредитный рейтинг]]-586)/(751-586)</f>
        <v>0.9939393939393939</v>
      </c>
      <c r="U23" s="9">
        <f>Таблица1[[#This Row],[Ежемесячный платеж]]/(Таблица1[[#This Row],[Годовой доход]]/12)</f>
        <v>0.11699945276214797</v>
      </c>
      <c r="X23" s="4" t="s">
        <v>2055</v>
      </c>
      <c r="Y23" s="4">
        <v>1599</v>
      </c>
      <c r="AA23" s="4" t="s">
        <v>2055</v>
      </c>
      <c r="AB23" s="4">
        <v>1599</v>
      </c>
    </row>
    <row r="24" spans="1:53" x14ac:dyDescent="0.3">
      <c r="A24">
        <v>23</v>
      </c>
      <c r="B24">
        <v>0</v>
      </c>
      <c r="C24" s="9">
        <v>153252</v>
      </c>
      <c r="D24">
        <v>714</v>
      </c>
      <c r="E24" s="1">
        <v>1890690</v>
      </c>
      <c r="F24">
        <v>0</v>
      </c>
      <c r="G24">
        <v>21900.35</v>
      </c>
      <c r="H24">
        <v>15.7</v>
      </c>
      <c r="I24">
        <v>12</v>
      </c>
      <c r="J24">
        <v>891594</v>
      </c>
      <c r="K24">
        <v>1081014</v>
      </c>
      <c r="L24" t="s">
        <v>41</v>
      </c>
      <c r="M24" t="s">
        <v>59</v>
      </c>
      <c r="N24" t="s">
        <v>26</v>
      </c>
      <c r="O24" t="s">
        <v>34</v>
      </c>
      <c r="P24" t="s">
        <v>22</v>
      </c>
      <c r="Q24" t="s">
        <v>36</v>
      </c>
      <c r="R24" t="b">
        <f>OR(Таблица1[[#This Row],[Ежемесячный платеж]]&lt;$AC$5, Таблица1[[#This Row],[Ежемесячный платеж]]&gt;$AC$6)</f>
        <v>0</v>
      </c>
      <c r="S24" s="9">
        <f>(Таблица1[[#This Row],[Размер кредита]]-21824)/(789096-21824)</f>
        <v>0.17129257942424589</v>
      </c>
      <c r="T24" s="9">
        <f>(Таблица1[[#This Row],[Кредитный рейтинг]]-586)/(751-586)</f>
        <v>0.77575757575757576</v>
      </c>
      <c r="U24" s="9">
        <f>Таблица1[[#This Row],[Ежемесячный платеж]]/(Таблица1[[#This Row],[Годовой доход]]/12)</f>
        <v>0.13899909556828458</v>
      </c>
      <c r="X24" s="3" t="s">
        <v>2063</v>
      </c>
      <c r="AA24" s="3" t="s">
        <v>2063</v>
      </c>
    </row>
    <row r="25" spans="1:53" x14ac:dyDescent="0.3">
      <c r="A25">
        <v>24</v>
      </c>
      <c r="B25">
        <v>0</v>
      </c>
      <c r="C25" s="9">
        <v>91894</v>
      </c>
      <c r="D25">
        <v>724</v>
      </c>
      <c r="E25" s="1">
        <v>850383</v>
      </c>
      <c r="F25">
        <v>0</v>
      </c>
      <c r="G25">
        <v>5860.74</v>
      </c>
      <c r="H25">
        <v>17.5</v>
      </c>
      <c r="I25">
        <v>7</v>
      </c>
      <c r="J25">
        <v>95608</v>
      </c>
      <c r="K25">
        <v>230626</v>
      </c>
      <c r="L25" t="s">
        <v>24</v>
      </c>
      <c r="M25" t="s">
        <v>60</v>
      </c>
      <c r="N25" t="s">
        <v>26</v>
      </c>
      <c r="O25" t="s">
        <v>21</v>
      </c>
      <c r="P25" t="s">
        <v>22</v>
      </c>
      <c r="Q25" t="s">
        <v>23</v>
      </c>
      <c r="R25" t="b">
        <f>OR(Таблица1[[#This Row],[Ежемесячный платеж]]&lt;$AC$5, Таблица1[[#This Row],[Ежемесячный платеж]]&gt;$AC$6)</f>
        <v>0</v>
      </c>
      <c r="S25" s="9">
        <f>(Таблица1[[#This Row],[Размер кредита]]-21824)/(789096-21824)</f>
        <v>9.132354627824292E-2</v>
      </c>
      <c r="T25" s="9">
        <f>(Таблица1[[#This Row],[Кредитный рейтинг]]-586)/(751-586)</f>
        <v>0.83636363636363631</v>
      </c>
      <c r="U25" s="9">
        <f>Таблица1[[#This Row],[Ежемесячный платеж]]/(Таблица1[[#This Row],[Годовой доход]]/12)</f>
        <v>8.2702594007641253E-2</v>
      </c>
    </row>
    <row r="26" spans="1:53" x14ac:dyDescent="0.3">
      <c r="A26">
        <v>25</v>
      </c>
      <c r="B26">
        <v>1</v>
      </c>
      <c r="C26" s="9">
        <v>244926</v>
      </c>
      <c r="D26">
        <v>704</v>
      </c>
      <c r="E26" s="1">
        <v>1249953</v>
      </c>
      <c r="F26">
        <v>0</v>
      </c>
      <c r="G26">
        <v>6812.26</v>
      </c>
      <c r="H26">
        <v>14.4</v>
      </c>
      <c r="I26">
        <v>6</v>
      </c>
      <c r="J26">
        <v>143051</v>
      </c>
      <c r="K26">
        <v>245014</v>
      </c>
      <c r="L26" t="s">
        <v>47</v>
      </c>
      <c r="M26" t="s">
        <v>61</v>
      </c>
      <c r="N26" t="s">
        <v>26</v>
      </c>
      <c r="O26" t="s">
        <v>21</v>
      </c>
      <c r="P26" t="s">
        <v>31</v>
      </c>
      <c r="Q26" t="s">
        <v>23</v>
      </c>
      <c r="R26" t="b">
        <f>OR(Таблица1[[#This Row],[Ежемесячный платеж]]&lt;$AC$5, Таблица1[[#This Row],[Ежемесячный платеж]]&gt;$AC$6)</f>
        <v>0</v>
      </c>
      <c r="S26" s="9">
        <f>(Таблица1[[#This Row],[Размер кредита]]-21824)/(789096-21824)</f>
        <v>0.29077302442940706</v>
      </c>
      <c r="T26" s="9">
        <f>(Таблица1[[#This Row],[Кредитный рейтинг]]-586)/(751-586)</f>
        <v>0.7151515151515152</v>
      </c>
      <c r="U26" s="9">
        <f>Таблица1[[#This Row],[Ежемесячный платеж]]/(Таблица1[[#This Row],[Годовой доход]]/12)</f>
        <v>6.540015504582973E-2</v>
      </c>
    </row>
    <row r="27" spans="1:53" x14ac:dyDescent="0.3">
      <c r="A27">
        <v>26</v>
      </c>
      <c r="B27">
        <v>0</v>
      </c>
      <c r="C27" s="9">
        <v>465410</v>
      </c>
      <c r="D27">
        <v>688</v>
      </c>
      <c r="E27" s="1">
        <v>1722654</v>
      </c>
      <c r="F27">
        <v>30</v>
      </c>
      <c r="G27">
        <v>15647.45</v>
      </c>
      <c r="H27">
        <v>22.3</v>
      </c>
      <c r="I27">
        <v>7</v>
      </c>
      <c r="J27">
        <v>107559</v>
      </c>
      <c r="K27">
        <v>488356</v>
      </c>
      <c r="L27" t="s">
        <v>29</v>
      </c>
      <c r="M27" t="s">
        <v>62</v>
      </c>
      <c r="N27" t="s">
        <v>40</v>
      </c>
      <c r="O27" t="s">
        <v>34</v>
      </c>
      <c r="P27" t="s">
        <v>31</v>
      </c>
      <c r="Q27" t="s">
        <v>23</v>
      </c>
      <c r="R27" t="b">
        <f>OR(Таблица1[[#This Row],[Ежемесячный платеж]]&lt;$AC$5, Таблица1[[#This Row],[Ежемесячный платеж]]&gt;$AC$6)</f>
        <v>0</v>
      </c>
      <c r="S27" s="9">
        <f>(Таблица1[[#This Row],[Размер кредита]]-21824)/(789096-21824)</f>
        <v>0.57813396031655007</v>
      </c>
      <c r="T27" s="9">
        <f>(Таблица1[[#This Row],[Кредитный рейтинг]]-586)/(751-586)</f>
        <v>0.61818181818181817</v>
      </c>
      <c r="U27" s="9">
        <f>Таблица1[[#This Row],[Ежемесячный платеж]]/(Таблица1[[#This Row],[Годовой доход]]/12)</f>
        <v>0.10900006617695719</v>
      </c>
    </row>
    <row r="28" spans="1:53" x14ac:dyDescent="0.3">
      <c r="A28">
        <v>27</v>
      </c>
      <c r="B28">
        <v>0</v>
      </c>
      <c r="D28">
        <v>724</v>
      </c>
      <c r="E28" s="1">
        <v>1029857</v>
      </c>
      <c r="F28">
        <v>0</v>
      </c>
      <c r="G28">
        <v>13817.18</v>
      </c>
      <c r="H28">
        <v>12</v>
      </c>
      <c r="I28">
        <v>6</v>
      </c>
      <c r="J28">
        <v>138339</v>
      </c>
      <c r="K28">
        <v>221232</v>
      </c>
      <c r="L28" t="s">
        <v>63</v>
      </c>
      <c r="M28" t="s">
        <v>64</v>
      </c>
      <c r="N28" t="s">
        <v>26</v>
      </c>
      <c r="O28" t="s">
        <v>34</v>
      </c>
      <c r="P28" t="s">
        <v>22</v>
      </c>
      <c r="Q28" t="s">
        <v>23</v>
      </c>
      <c r="R28" t="b">
        <f>OR(Таблица1[[#This Row],[Ежемесячный платеж]]&lt;$AC$5, Таблица1[[#This Row],[Ежемесячный платеж]]&gt;$AC$6)</f>
        <v>0</v>
      </c>
      <c r="T28" s="9">
        <f>(Таблица1[[#This Row],[Кредитный рейтинг]]-586)/(751-586)</f>
        <v>0.83636363636363631</v>
      </c>
      <c r="U28" s="9">
        <f>Таблица1[[#This Row],[Ежемесячный платеж]]/(Таблица1[[#This Row],[Годовой доход]]/12)</f>
        <v>0.16099920668597678</v>
      </c>
    </row>
    <row r="29" spans="1:53" x14ac:dyDescent="0.3">
      <c r="A29">
        <v>28</v>
      </c>
      <c r="B29">
        <v>0</v>
      </c>
      <c r="C29" s="9">
        <v>443960</v>
      </c>
      <c r="D29">
        <v>749</v>
      </c>
      <c r="E29" s="1">
        <v>1432391</v>
      </c>
      <c r="F29">
        <v>0</v>
      </c>
      <c r="G29">
        <v>25186.21</v>
      </c>
      <c r="H29">
        <v>14</v>
      </c>
      <c r="I29">
        <v>15</v>
      </c>
      <c r="J29">
        <v>342475</v>
      </c>
      <c r="K29">
        <v>905344</v>
      </c>
      <c r="L29" t="s">
        <v>41</v>
      </c>
      <c r="M29" t="s">
        <v>65</v>
      </c>
      <c r="N29" t="s">
        <v>26</v>
      </c>
      <c r="O29" t="s">
        <v>21</v>
      </c>
      <c r="P29" t="s">
        <v>22</v>
      </c>
      <c r="Q29" t="s">
        <v>23</v>
      </c>
      <c r="R29" t="b">
        <f>OR(Таблица1[[#This Row],[Ежемесячный платеж]]&lt;$AC$5, Таблица1[[#This Row],[Ежемесячный платеж]]&gt;$AC$6)</f>
        <v>0</v>
      </c>
      <c r="S29" s="9">
        <f>(Таблица1[[#This Row],[Размер кредита]]-21824)/(789096-21824)</f>
        <v>0.55017777268035328</v>
      </c>
      <c r="T29" s="9">
        <f>(Таблица1[[#This Row],[Кредитный рейтинг]]-586)/(751-586)</f>
        <v>0.98787878787878791</v>
      </c>
      <c r="U29" s="9">
        <f>Таблица1[[#This Row],[Ежемесячный платеж]]/(Таблица1[[#This Row],[Годовой доход]]/12)</f>
        <v>0.2110000132645346</v>
      </c>
    </row>
    <row r="30" spans="1:53" x14ac:dyDescent="0.3">
      <c r="A30">
        <v>29</v>
      </c>
      <c r="B30">
        <v>0</v>
      </c>
      <c r="D30">
        <v>746</v>
      </c>
      <c r="E30" s="1">
        <v>1749748</v>
      </c>
      <c r="F30">
        <v>32</v>
      </c>
      <c r="G30">
        <v>19247.189999999999</v>
      </c>
      <c r="H30">
        <v>20</v>
      </c>
      <c r="I30">
        <v>17</v>
      </c>
      <c r="J30">
        <v>224390</v>
      </c>
      <c r="K30">
        <v>295240</v>
      </c>
      <c r="L30" t="s">
        <v>24</v>
      </c>
      <c r="M30" t="s">
        <v>66</v>
      </c>
      <c r="N30" t="s">
        <v>26</v>
      </c>
      <c r="O30" t="s">
        <v>21</v>
      </c>
      <c r="P30" t="s">
        <v>22</v>
      </c>
      <c r="Q30" t="s">
        <v>23</v>
      </c>
      <c r="R30" t="b">
        <f>OR(Таблица1[[#This Row],[Ежемесячный платеж]]&lt;$AC$5, Таблица1[[#This Row],[Ежемесячный платеж]]&gt;$AC$6)</f>
        <v>0</v>
      </c>
      <c r="T30" s="9">
        <f>(Таблица1[[#This Row],[Кредитный рейтинг]]-586)/(751-586)</f>
        <v>0.96969696969696972</v>
      </c>
      <c r="U30" s="9">
        <f>Таблица1[[#This Row],[Ежемесячный платеж]]/(Таблица1[[#This Row],[Годовой доход]]/12)</f>
        <v>0.13199973939104373</v>
      </c>
    </row>
    <row r="31" spans="1:53" x14ac:dyDescent="0.3">
      <c r="A31">
        <v>30</v>
      </c>
      <c r="B31">
        <v>0</v>
      </c>
      <c r="C31" s="9">
        <v>107404</v>
      </c>
      <c r="D31">
        <f>$Y$13</f>
        <v>723</v>
      </c>
      <c r="E31">
        <f>$AB$13</f>
        <v>1168044</v>
      </c>
      <c r="F31">
        <v>0</v>
      </c>
      <c r="G31">
        <v>19238.07</v>
      </c>
      <c r="H31">
        <v>43.7</v>
      </c>
      <c r="I31">
        <v>5</v>
      </c>
      <c r="J31">
        <v>28956</v>
      </c>
      <c r="K31">
        <v>58014</v>
      </c>
      <c r="L31" t="s">
        <v>24</v>
      </c>
      <c r="M31" t="s">
        <v>67</v>
      </c>
      <c r="N31" t="s">
        <v>68</v>
      </c>
      <c r="O31" t="s">
        <v>21</v>
      </c>
      <c r="P31" t="s">
        <v>22</v>
      </c>
      <c r="Q31" t="s">
        <v>23</v>
      </c>
      <c r="R31" t="b">
        <f>OR(Таблица1[[#This Row],[Ежемесячный платеж]]&lt;$AC$5, Таблица1[[#This Row],[Ежемесячный платеж]]&gt;$AC$6)</f>
        <v>0</v>
      </c>
      <c r="S31" s="9">
        <f>(Таблица1[[#This Row],[Размер кредита]]-21824)/(789096-21824)</f>
        <v>0.11153802041518522</v>
      </c>
      <c r="T31" s="9">
        <f>(Таблица1[[#This Row],[Кредитный рейтинг]]-586)/(751-586)</f>
        <v>0.83030303030303032</v>
      </c>
      <c r="U31" s="9">
        <f>Таблица1[[#This Row],[Ежемесячный платеж]]/(Таблица1[[#This Row],[Годовой доход]]/12)</f>
        <v>0.19764395861799727</v>
      </c>
    </row>
    <row r="32" spans="1:53" x14ac:dyDescent="0.3">
      <c r="A32">
        <v>31</v>
      </c>
      <c r="B32">
        <v>0</v>
      </c>
      <c r="D32">
        <v>737</v>
      </c>
      <c r="E32" s="1">
        <v>1501912</v>
      </c>
      <c r="F32">
        <v>0</v>
      </c>
      <c r="G32">
        <v>31039.54</v>
      </c>
      <c r="H32">
        <v>18</v>
      </c>
      <c r="I32">
        <v>8</v>
      </c>
      <c r="J32">
        <v>229349</v>
      </c>
      <c r="K32">
        <v>469172</v>
      </c>
      <c r="L32" t="s">
        <v>69</v>
      </c>
      <c r="M32" t="s">
        <v>70</v>
      </c>
      <c r="N32" t="s">
        <v>71</v>
      </c>
      <c r="O32" t="s">
        <v>34</v>
      </c>
      <c r="P32" t="s">
        <v>22</v>
      </c>
      <c r="Q32" t="s">
        <v>23</v>
      </c>
      <c r="R32" t="b">
        <f>OR(Таблица1[[#This Row],[Ежемесячный платеж]]&lt;$AC$5, Таблица1[[#This Row],[Ежемесячный платеж]]&gt;$AC$6)</f>
        <v>0</v>
      </c>
      <c r="T32" s="9">
        <f>(Таблица1[[#This Row],[Кредитный рейтинг]]-586)/(751-586)</f>
        <v>0.91515151515151516</v>
      </c>
      <c r="U32" s="9">
        <f>Таблица1[[#This Row],[Ежемесячный платеж]]/(Таблица1[[#This Row],[Годовой доход]]/12)</f>
        <v>0.24800020240866311</v>
      </c>
    </row>
    <row r="33" spans="1:21" x14ac:dyDescent="0.3">
      <c r="A33">
        <v>32</v>
      </c>
      <c r="B33">
        <v>0</v>
      </c>
      <c r="C33" s="9">
        <v>334620</v>
      </c>
      <c r="D33">
        <v>729</v>
      </c>
      <c r="E33" s="1">
        <v>1348620</v>
      </c>
      <c r="F33">
        <v>0</v>
      </c>
      <c r="G33">
        <v>16913.990000000002</v>
      </c>
      <c r="H33">
        <v>20</v>
      </c>
      <c r="I33">
        <v>16</v>
      </c>
      <c r="J33">
        <v>313177</v>
      </c>
      <c r="K33">
        <v>539616</v>
      </c>
      <c r="L33" t="s">
        <v>41</v>
      </c>
      <c r="M33" t="s">
        <v>72</v>
      </c>
      <c r="N33" t="s">
        <v>26</v>
      </c>
      <c r="O33" t="s">
        <v>34</v>
      </c>
      <c r="P33" t="s">
        <v>22</v>
      </c>
      <c r="Q33" t="s">
        <v>23</v>
      </c>
      <c r="R33" t="b">
        <f>OR(Таблица1[[#This Row],[Ежемесячный платеж]]&lt;$AC$5, Таблица1[[#This Row],[Ежемесячный платеж]]&gt;$AC$6)</f>
        <v>0</v>
      </c>
      <c r="S33" s="9">
        <f>(Таблица1[[#This Row],[Размер кредита]]-21824)/(789096-21824)</f>
        <v>0.40767289826815001</v>
      </c>
      <c r="T33" s="9">
        <f>(Таблица1[[#This Row],[Кредитный рейтинг]]-586)/(751-586)</f>
        <v>0.8666666666666667</v>
      </c>
      <c r="U33" s="9">
        <f>Таблица1[[#This Row],[Ежемесячный платеж]]/(Таблица1[[#This Row],[Годовой доход]]/12)</f>
        <v>0.15050042265426883</v>
      </c>
    </row>
    <row r="34" spans="1:21" x14ac:dyDescent="0.3">
      <c r="A34">
        <v>33</v>
      </c>
      <c r="B34">
        <v>1</v>
      </c>
      <c r="C34" s="9">
        <v>130174</v>
      </c>
      <c r="D34">
        <v>733</v>
      </c>
      <c r="E34" s="1">
        <v>524609</v>
      </c>
      <c r="F34">
        <v>0</v>
      </c>
      <c r="G34">
        <v>9311.7099999999991</v>
      </c>
      <c r="H34">
        <v>15.4</v>
      </c>
      <c r="I34">
        <v>7</v>
      </c>
      <c r="J34">
        <v>130701</v>
      </c>
      <c r="K34">
        <v>268818</v>
      </c>
      <c r="L34" t="s">
        <v>37</v>
      </c>
      <c r="M34" t="s">
        <v>73</v>
      </c>
      <c r="N34" t="s">
        <v>26</v>
      </c>
      <c r="O34" t="s">
        <v>34</v>
      </c>
      <c r="P34" t="s">
        <v>22</v>
      </c>
      <c r="Q34" t="s">
        <v>36</v>
      </c>
      <c r="R34" t="b">
        <f>OR(Таблица1[[#This Row],[Ежемесячный платеж]]&lt;$AC$5, Таблица1[[#This Row],[Ежемесячный платеж]]&gt;$AC$6)</f>
        <v>0</v>
      </c>
      <c r="S34" s="9">
        <f>(Таблица1[[#This Row],[Размер кредита]]-21824)/(789096-21824)</f>
        <v>0.14121458882899415</v>
      </c>
      <c r="T34" s="9">
        <f>(Таблица1[[#This Row],[Кредитный рейтинг]]-586)/(751-586)</f>
        <v>0.89090909090909087</v>
      </c>
      <c r="U34" s="9">
        <f>Таблица1[[#This Row],[Ежемесячный платеж]]/(Таблица1[[#This Row],[Годовой доход]]/12)</f>
        <v>0.21299771830067726</v>
      </c>
    </row>
    <row r="35" spans="1:21" x14ac:dyDescent="0.3">
      <c r="A35">
        <v>34</v>
      </c>
      <c r="B35">
        <v>0</v>
      </c>
      <c r="C35" s="9">
        <v>333564</v>
      </c>
      <c r="D35">
        <v>725</v>
      </c>
      <c r="E35" s="1">
        <v>1248338</v>
      </c>
      <c r="F35">
        <v>0</v>
      </c>
      <c r="G35">
        <v>18205.04</v>
      </c>
      <c r="H35">
        <v>14.6</v>
      </c>
      <c r="I35">
        <v>18</v>
      </c>
      <c r="J35">
        <v>300979</v>
      </c>
      <c r="K35">
        <v>515526</v>
      </c>
      <c r="L35" t="s">
        <v>24</v>
      </c>
      <c r="M35" t="s">
        <v>74</v>
      </c>
      <c r="N35" t="s">
        <v>26</v>
      </c>
      <c r="O35" t="s">
        <v>21</v>
      </c>
      <c r="P35" t="s">
        <v>31</v>
      </c>
      <c r="Q35" t="s">
        <v>23</v>
      </c>
      <c r="R35" t="b">
        <f>OR(Таблица1[[#This Row],[Ежемесячный платеж]]&lt;$AC$5, Таблица1[[#This Row],[Ежемесячный платеж]]&gt;$AC$6)</f>
        <v>0</v>
      </c>
      <c r="S35" s="9">
        <f>(Таблица1[[#This Row],[Размер кредита]]-21824)/(789096-21824)</f>
        <v>0.40629659364606036</v>
      </c>
      <c r="T35" s="9">
        <f>(Таблица1[[#This Row],[Кредитный рейтинг]]-586)/(751-586)</f>
        <v>0.84242424242424241</v>
      </c>
      <c r="U35" s="9">
        <f>Таблица1[[#This Row],[Ежемесячный платеж]]/(Таблица1[[#This Row],[Годовой доход]]/12)</f>
        <v>0.17500106541657789</v>
      </c>
    </row>
    <row r="36" spans="1:21" x14ac:dyDescent="0.3">
      <c r="A36">
        <v>35</v>
      </c>
      <c r="B36">
        <v>0</v>
      </c>
      <c r="C36" s="9">
        <v>109318</v>
      </c>
      <c r="D36">
        <f>$Y$13</f>
        <v>723</v>
      </c>
      <c r="E36">
        <f>$AB$13</f>
        <v>1168044</v>
      </c>
      <c r="F36">
        <v>0</v>
      </c>
      <c r="G36">
        <v>15524.9</v>
      </c>
      <c r="H36">
        <v>22.7</v>
      </c>
      <c r="I36">
        <v>9</v>
      </c>
      <c r="J36">
        <v>77121</v>
      </c>
      <c r="K36">
        <v>920524</v>
      </c>
      <c r="L36" t="s">
        <v>24</v>
      </c>
      <c r="M36" t="s">
        <v>75</v>
      </c>
      <c r="N36" t="s">
        <v>76</v>
      </c>
      <c r="O36" t="s">
        <v>21</v>
      </c>
      <c r="P36" t="s">
        <v>31</v>
      </c>
      <c r="Q36" t="s">
        <v>23</v>
      </c>
      <c r="R36" t="b">
        <f>OR(Таблица1[[#This Row],[Ежемесячный платеж]]&lt;$AC$5, Таблица1[[#This Row],[Ежемесячный платеж]]&gt;$AC$6)</f>
        <v>0</v>
      </c>
      <c r="S36" s="9">
        <f>(Таблица1[[#This Row],[Размер кредита]]-21824)/(789096-21824)</f>
        <v>0.1140325725427228</v>
      </c>
      <c r="T36" s="9">
        <f>(Таблица1[[#This Row],[Кредитный рейтинг]]-586)/(751-586)</f>
        <v>0.83030303030303032</v>
      </c>
      <c r="U36" s="9">
        <f>Таблица1[[#This Row],[Ежемесячный платеж]]/(Таблица1[[#This Row],[Годовой доход]]/12)</f>
        <v>0.15949638883466719</v>
      </c>
    </row>
    <row r="37" spans="1:21" x14ac:dyDescent="0.3">
      <c r="A37">
        <v>36</v>
      </c>
      <c r="B37">
        <v>0</v>
      </c>
      <c r="C37" s="9">
        <v>125796</v>
      </c>
      <c r="D37">
        <v>745</v>
      </c>
      <c r="E37" s="1">
        <v>1261068</v>
      </c>
      <c r="F37">
        <v>0</v>
      </c>
      <c r="G37">
        <v>20597.330000000002</v>
      </c>
      <c r="H37">
        <v>24.5</v>
      </c>
      <c r="I37">
        <v>13</v>
      </c>
      <c r="J37">
        <v>684817</v>
      </c>
      <c r="K37">
        <v>997414</v>
      </c>
      <c r="L37" t="s">
        <v>32</v>
      </c>
      <c r="M37" t="s">
        <v>77</v>
      </c>
      <c r="N37" t="s">
        <v>26</v>
      </c>
      <c r="O37" t="s">
        <v>21</v>
      </c>
      <c r="P37" t="s">
        <v>22</v>
      </c>
      <c r="Q37" t="s">
        <v>23</v>
      </c>
      <c r="R37" t="b">
        <f>OR(Таблица1[[#This Row],[Ежемесячный платеж]]&lt;$AC$5, Таблица1[[#This Row],[Ежемесячный платеж]]&gt;$AC$6)</f>
        <v>0</v>
      </c>
      <c r="S37" s="9">
        <f>(Таблица1[[#This Row],[Размер кредита]]-21824)/(789096-21824)</f>
        <v>0.13550865924991398</v>
      </c>
      <c r="T37" s="9">
        <f>(Таблица1[[#This Row],[Кредитный рейтинг]]-586)/(751-586)</f>
        <v>0.96363636363636362</v>
      </c>
      <c r="U37" s="9">
        <f>Таблица1[[#This Row],[Ежемесячный платеж]]/(Таблица1[[#This Row],[Годовой доход]]/12)</f>
        <v>0.19599891520520704</v>
      </c>
    </row>
    <row r="38" spans="1:21" x14ac:dyDescent="0.3">
      <c r="A38">
        <v>37</v>
      </c>
      <c r="B38">
        <v>0</v>
      </c>
      <c r="D38">
        <v>743</v>
      </c>
      <c r="E38" s="1">
        <v>752039</v>
      </c>
      <c r="F38">
        <v>0</v>
      </c>
      <c r="G38">
        <v>17046.23</v>
      </c>
      <c r="H38">
        <v>14.1</v>
      </c>
      <c r="I38">
        <v>10</v>
      </c>
      <c r="J38">
        <v>213484</v>
      </c>
      <c r="K38">
        <v>478126</v>
      </c>
      <c r="L38" t="s">
        <v>47</v>
      </c>
      <c r="M38" t="s">
        <v>78</v>
      </c>
      <c r="N38" t="s">
        <v>26</v>
      </c>
      <c r="O38" t="s">
        <v>21</v>
      </c>
      <c r="P38" t="s">
        <v>22</v>
      </c>
      <c r="Q38" t="s">
        <v>23</v>
      </c>
      <c r="R38" t="b">
        <f>OR(Таблица1[[#This Row],[Ежемесячный платеж]]&lt;$AC$5, Таблица1[[#This Row],[Ежемесячный платеж]]&gt;$AC$6)</f>
        <v>0</v>
      </c>
      <c r="T38" s="9">
        <f>(Таблица1[[#This Row],[Кредитный рейтинг]]-586)/(751-586)</f>
        <v>0.95151515151515154</v>
      </c>
      <c r="U38" s="9">
        <f>Таблица1[[#This Row],[Ежемесячный платеж]]/(Таблица1[[#This Row],[Годовой доход]]/12)</f>
        <v>0.27200020211717746</v>
      </c>
    </row>
    <row r="39" spans="1:21" x14ac:dyDescent="0.3">
      <c r="A39">
        <v>38</v>
      </c>
      <c r="B39">
        <v>1</v>
      </c>
      <c r="C39" s="9">
        <v>161172</v>
      </c>
      <c r="D39">
        <v>720</v>
      </c>
      <c r="E39" s="1">
        <v>796499</v>
      </c>
      <c r="F39">
        <v>0</v>
      </c>
      <c r="G39">
        <v>3404.99</v>
      </c>
      <c r="H39">
        <v>22.6</v>
      </c>
      <c r="I39">
        <v>6</v>
      </c>
      <c r="J39">
        <v>114095</v>
      </c>
      <c r="K39">
        <v>170038</v>
      </c>
      <c r="L39" t="s">
        <v>18</v>
      </c>
      <c r="M39" t="s">
        <v>79</v>
      </c>
      <c r="N39" t="s">
        <v>26</v>
      </c>
      <c r="O39" t="s">
        <v>21</v>
      </c>
      <c r="P39" t="s">
        <v>22</v>
      </c>
      <c r="Q39" t="s">
        <v>23</v>
      </c>
      <c r="R39" t="b">
        <f>OR(Таблица1[[#This Row],[Ежемесячный платеж]]&lt;$AC$5, Таблица1[[#This Row],[Ежемесячный платеж]]&gt;$AC$6)</f>
        <v>0</v>
      </c>
      <c r="S39" s="9">
        <f>(Таблица1[[#This Row],[Размер кредита]]-21824)/(789096-21824)</f>
        <v>0.18161486408991856</v>
      </c>
      <c r="T39" s="9">
        <f>(Таблица1[[#This Row],[Кредитный рейтинг]]-586)/(751-586)</f>
        <v>0.81212121212121213</v>
      </c>
      <c r="U39" s="9">
        <f>Таблица1[[#This Row],[Ежемесячный платеж]]/(Таблица1[[#This Row],[Годовой доход]]/12)</f>
        <v>5.1299348775076921E-2</v>
      </c>
    </row>
    <row r="40" spans="1:21" x14ac:dyDescent="0.3">
      <c r="A40">
        <v>39</v>
      </c>
      <c r="B40">
        <v>0</v>
      </c>
      <c r="C40" s="9">
        <v>259842</v>
      </c>
      <c r="D40">
        <f>$Y$13</f>
        <v>723</v>
      </c>
      <c r="E40">
        <f>$AB$13</f>
        <v>1168044</v>
      </c>
      <c r="F40">
        <v>34</v>
      </c>
      <c r="G40">
        <v>11792.73</v>
      </c>
      <c r="H40">
        <v>20.6</v>
      </c>
      <c r="I40">
        <v>9</v>
      </c>
      <c r="J40">
        <v>401584</v>
      </c>
      <c r="K40">
        <v>708818</v>
      </c>
      <c r="L40" t="s">
        <v>18</v>
      </c>
      <c r="M40" t="s">
        <v>80</v>
      </c>
      <c r="N40" t="s">
        <v>26</v>
      </c>
      <c r="O40" t="s">
        <v>21</v>
      </c>
      <c r="P40" t="s">
        <v>22</v>
      </c>
      <c r="Q40" t="s">
        <v>36</v>
      </c>
      <c r="R40" t="b">
        <f>OR(Таблица1[[#This Row],[Ежемесячный платеж]]&lt;$AC$5, Таблица1[[#This Row],[Ежемесячный платеж]]&gt;$AC$6)</f>
        <v>0</v>
      </c>
      <c r="S40" s="9">
        <f>(Таблица1[[#This Row],[Размер кредита]]-21824)/(789096-21824)</f>
        <v>0.31021332721642392</v>
      </c>
      <c r="T40" s="9">
        <f>(Таблица1[[#This Row],[Кредитный рейтинг]]-586)/(751-586)</f>
        <v>0.83030303030303032</v>
      </c>
      <c r="U40" s="9">
        <f>Таблица1[[#This Row],[Ежемесячный платеж]]/(Таблица1[[#This Row],[Годовой доход]]/12)</f>
        <v>0.12115362092523911</v>
      </c>
    </row>
    <row r="41" spans="1:21" x14ac:dyDescent="0.3">
      <c r="A41">
        <v>40</v>
      </c>
      <c r="B41">
        <v>0</v>
      </c>
      <c r="C41" s="9">
        <v>449108</v>
      </c>
      <c r="D41">
        <v>718</v>
      </c>
      <c r="E41" s="1">
        <v>1454507</v>
      </c>
      <c r="F41">
        <v>21</v>
      </c>
      <c r="G41">
        <v>13090.43</v>
      </c>
      <c r="H41">
        <v>28.8</v>
      </c>
      <c r="I41">
        <v>14</v>
      </c>
      <c r="J41">
        <v>193990</v>
      </c>
      <c r="K41">
        <v>458414</v>
      </c>
      <c r="L41" t="s">
        <v>18</v>
      </c>
      <c r="M41" t="s">
        <v>81</v>
      </c>
      <c r="N41" t="s">
        <v>26</v>
      </c>
      <c r="O41" t="s">
        <v>21</v>
      </c>
      <c r="P41" t="s">
        <v>22</v>
      </c>
      <c r="Q41" t="s">
        <v>23</v>
      </c>
      <c r="R41" t="b">
        <f>OR(Таблица1[[#This Row],[Ежемесячный платеж]]&lt;$AC$5, Таблица1[[#This Row],[Ежемесячный платеж]]&gt;$AC$6)</f>
        <v>0</v>
      </c>
      <c r="S41" s="9">
        <f>(Таблица1[[#This Row],[Размер кредита]]-21824)/(789096-21824)</f>
        <v>0.55688725771304048</v>
      </c>
      <c r="T41" s="9">
        <f>(Таблица1[[#This Row],[Кредитный рейтинг]]-586)/(751-586)</f>
        <v>0.8</v>
      </c>
      <c r="U41" s="9">
        <f>Таблица1[[#This Row],[Ежемесячный платеж]]/(Таблица1[[#This Row],[Годовой доход]]/12)</f>
        <v>0.10799890272099068</v>
      </c>
    </row>
    <row r="42" spans="1:21" x14ac:dyDescent="0.3">
      <c r="A42">
        <v>41</v>
      </c>
      <c r="B42">
        <v>0</v>
      </c>
      <c r="C42" s="9">
        <v>688468</v>
      </c>
      <c r="D42">
        <v>682</v>
      </c>
      <c r="E42" s="1">
        <v>1494616</v>
      </c>
      <c r="F42">
        <v>50</v>
      </c>
      <c r="G42">
        <v>14697.07</v>
      </c>
      <c r="H42">
        <v>16.600000000000001</v>
      </c>
      <c r="I42">
        <v>8</v>
      </c>
      <c r="J42">
        <v>343995</v>
      </c>
      <c r="K42">
        <v>843854</v>
      </c>
      <c r="L42" t="s">
        <v>37</v>
      </c>
      <c r="M42" t="s">
        <v>82</v>
      </c>
      <c r="N42" t="s">
        <v>26</v>
      </c>
      <c r="O42" t="s">
        <v>34</v>
      </c>
      <c r="P42" t="s">
        <v>31</v>
      </c>
      <c r="Q42" t="s">
        <v>36</v>
      </c>
      <c r="R42" t="b">
        <f>OR(Таблица1[[#This Row],[Ежемесячный платеж]]&lt;$AC$5, Таблица1[[#This Row],[Ежемесячный платеж]]&gt;$AC$6)</f>
        <v>0</v>
      </c>
      <c r="S42" s="9">
        <f>(Таблица1[[#This Row],[Размер кредита]]-21824)/(789096-21824)</f>
        <v>0.86884963872003673</v>
      </c>
      <c r="T42" s="9">
        <f>(Таблица1[[#This Row],[Кредитный рейтинг]]-586)/(751-586)</f>
        <v>0.58181818181818179</v>
      </c>
      <c r="U42" s="9">
        <f>Таблица1[[#This Row],[Ежемесячный платеж]]/(Таблица1[[#This Row],[Годовой доход]]/12)</f>
        <v>0.11800010169836266</v>
      </c>
    </row>
    <row r="43" spans="1:21" x14ac:dyDescent="0.3">
      <c r="A43">
        <v>42</v>
      </c>
      <c r="B43">
        <v>0</v>
      </c>
      <c r="C43" s="9">
        <v>210166</v>
      </c>
      <c r="D43">
        <f>$Y$13</f>
        <v>723</v>
      </c>
      <c r="E43">
        <f>$AB$13</f>
        <v>1168044</v>
      </c>
      <c r="F43">
        <v>20</v>
      </c>
      <c r="G43">
        <v>13084.54</v>
      </c>
      <c r="H43">
        <v>14</v>
      </c>
      <c r="I43">
        <v>10</v>
      </c>
      <c r="J43">
        <v>314336</v>
      </c>
      <c r="K43">
        <v>483362</v>
      </c>
      <c r="L43" t="s">
        <v>41</v>
      </c>
      <c r="M43" t="s">
        <v>83</v>
      </c>
      <c r="N43" t="s">
        <v>26</v>
      </c>
      <c r="O43" t="s">
        <v>34</v>
      </c>
      <c r="P43" t="s">
        <v>22</v>
      </c>
      <c r="Q43" t="s">
        <v>23</v>
      </c>
      <c r="R43" t="b">
        <f>OR(Таблица1[[#This Row],[Ежемесячный платеж]]&lt;$AC$5, Таблица1[[#This Row],[Ежемесячный платеж]]&gt;$AC$6)</f>
        <v>0</v>
      </c>
      <c r="S43" s="9">
        <f>(Таблица1[[#This Row],[Размер кредита]]-21824)/(789096-21824)</f>
        <v>0.24546966395228811</v>
      </c>
      <c r="T43" s="9">
        <f>(Таблица1[[#This Row],[Кредитный рейтинг]]-586)/(751-586)</f>
        <v>0.83030303030303032</v>
      </c>
      <c r="U43" s="9">
        <f>Таблица1[[#This Row],[Ежемесячный платеж]]/(Таблица1[[#This Row],[Годовой доход]]/12)</f>
        <v>0.13442514151864143</v>
      </c>
    </row>
    <row r="44" spans="1:21" x14ac:dyDescent="0.3">
      <c r="A44">
        <v>43</v>
      </c>
      <c r="B44">
        <v>0</v>
      </c>
      <c r="C44" s="9">
        <v>327008</v>
      </c>
      <c r="D44">
        <f>$Y$13</f>
        <v>723</v>
      </c>
      <c r="E44">
        <f>$AB$13</f>
        <v>1168044</v>
      </c>
      <c r="F44">
        <v>24</v>
      </c>
      <c r="G44">
        <v>15419.45</v>
      </c>
      <c r="H44">
        <v>16.7</v>
      </c>
      <c r="I44">
        <v>13</v>
      </c>
      <c r="J44">
        <v>268090</v>
      </c>
      <c r="K44">
        <v>529738</v>
      </c>
      <c r="L44" t="s">
        <v>47</v>
      </c>
      <c r="M44" t="s">
        <v>84</v>
      </c>
      <c r="N44" t="s">
        <v>26</v>
      </c>
      <c r="O44" t="s">
        <v>21</v>
      </c>
      <c r="P44" t="s">
        <v>31</v>
      </c>
      <c r="Q44" t="s">
        <v>23</v>
      </c>
      <c r="R44" t="b">
        <f>OR(Таблица1[[#This Row],[Ежемесячный платеж]]&lt;$AC$5, Таблица1[[#This Row],[Ежемесячный платеж]]&gt;$AC$6)</f>
        <v>0</v>
      </c>
      <c r="S44" s="9">
        <f>(Таблица1[[#This Row],[Размер кредита]]-21824)/(789096-21824)</f>
        <v>0.39775203578392015</v>
      </c>
      <c r="T44" s="9">
        <f>(Таблица1[[#This Row],[Кредитный рейтинг]]-586)/(751-586)</f>
        <v>0.83030303030303032</v>
      </c>
      <c r="U44" s="9">
        <f>Таблица1[[#This Row],[Ежемесячный платеж]]/(Таблица1[[#This Row],[Годовой доход]]/12)</f>
        <v>0.15841303923482336</v>
      </c>
    </row>
    <row r="45" spans="1:21" x14ac:dyDescent="0.3">
      <c r="A45">
        <v>44</v>
      </c>
      <c r="B45">
        <v>0</v>
      </c>
      <c r="C45" s="9">
        <v>288948</v>
      </c>
      <c r="D45">
        <v>712</v>
      </c>
      <c r="E45" s="1">
        <v>537472</v>
      </c>
      <c r="F45">
        <v>0</v>
      </c>
      <c r="G45">
        <v>5777.9</v>
      </c>
      <c r="H45">
        <v>14.8</v>
      </c>
      <c r="I45">
        <v>4</v>
      </c>
      <c r="J45">
        <v>132468</v>
      </c>
      <c r="K45">
        <v>164406</v>
      </c>
      <c r="L45" t="s">
        <v>24</v>
      </c>
      <c r="M45" t="s">
        <v>85</v>
      </c>
      <c r="N45" t="s">
        <v>26</v>
      </c>
      <c r="O45" t="s">
        <v>34</v>
      </c>
      <c r="P45" t="s">
        <v>22</v>
      </c>
      <c r="Q45" t="s">
        <v>36</v>
      </c>
      <c r="R45" t="b">
        <f>OR(Таблица1[[#This Row],[Ежемесячный платеж]]&lt;$AC$5, Таблица1[[#This Row],[Ежемесячный платеж]]&gt;$AC$6)</f>
        <v>0</v>
      </c>
      <c r="S45" s="9">
        <f>(Таблица1[[#This Row],[Размер кредита]]-21824)/(789096-21824)</f>
        <v>0.34814772336277094</v>
      </c>
      <c r="T45" s="9">
        <f>(Таблица1[[#This Row],[Кредитный рейтинг]]-586)/(751-586)</f>
        <v>0.76363636363636367</v>
      </c>
      <c r="U45" s="9">
        <f>Таблица1[[#This Row],[Ежемесячный платеж]]/(Таблица1[[#This Row],[Годовой доход]]/12)</f>
        <v>0.12900169683257917</v>
      </c>
    </row>
    <row r="46" spans="1:21" x14ac:dyDescent="0.3">
      <c r="A46">
        <v>45</v>
      </c>
      <c r="B46">
        <v>0</v>
      </c>
      <c r="C46" s="9">
        <v>311762</v>
      </c>
      <c r="D46">
        <v>680</v>
      </c>
      <c r="E46" s="1">
        <v>2211657</v>
      </c>
      <c r="F46">
        <v>15</v>
      </c>
      <c r="G46">
        <v>44601.74</v>
      </c>
      <c r="H46">
        <v>14.5</v>
      </c>
      <c r="I46">
        <v>11</v>
      </c>
      <c r="J46">
        <v>213921</v>
      </c>
      <c r="K46">
        <v>509652</v>
      </c>
      <c r="L46" t="s">
        <v>47</v>
      </c>
      <c r="M46" t="s">
        <v>86</v>
      </c>
      <c r="N46" t="s">
        <v>26</v>
      </c>
      <c r="O46" t="s">
        <v>21</v>
      </c>
      <c r="P46" t="s">
        <v>31</v>
      </c>
      <c r="Q46" t="s">
        <v>23</v>
      </c>
      <c r="R46" t="b">
        <f>OR(Таблица1[[#This Row],[Ежемесячный платеж]]&lt;$AC$5, Таблица1[[#This Row],[Ежемесячный платеж]]&gt;$AC$6)</f>
        <v>1</v>
      </c>
      <c r="S46" s="9">
        <f>(Таблица1[[#This Row],[Размер кредита]]-21824)/(789096-21824)</f>
        <v>0.37788163780250028</v>
      </c>
      <c r="T46" s="9">
        <f>(Таблица1[[#This Row],[Кредитный рейтинг]]-586)/(751-586)</f>
        <v>0.5696969696969697</v>
      </c>
      <c r="U46" s="9">
        <f>Таблица1[[#This Row],[Ежемесячный платеж]]/(Таблица1[[#This Row],[Годовой доход]]/12)</f>
        <v>0.24199994845493672</v>
      </c>
    </row>
    <row r="47" spans="1:21" x14ac:dyDescent="0.3">
      <c r="A47">
        <v>46</v>
      </c>
      <c r="B47">
        <v>0</v>
      </c>
      <c r="C47" s="9">
        <v>266112</v>
      </c>
      <c r="D47">
        <v>750</v>
      </c>
      <c r="E47" s="1">
        <v>919296</v>
      </c>
      <c r="F47">
        <v>0</v>
      </c>
      <c r="G47">
        <v>12946.79</v>
      </c>
      <c r="H47">
        <v>21.6</v>
      </c>
      <c r="I47">
        <v>9</v>
      </c>
      <c r="J47">
        <v>266266</v>
      </c>
      <c r="K47">
        <v>485518</v>
      </c>
      <c r="L47" t="s">
        <v>63</v>
      </c>
      <c r="M47" t="s">
        <v>87</v>
      </c>
      <c r="N47" t="s">
        <v>26</v>
      </c>
      <c r="O47" t="s">
        <v>34</v>
      </c>
      <c r="P47" t="s">
        <v>22</v>
      </c>
      <c r="Q47" t="s">
        <v>23</v>
      </c>
      <c r="R47" t="b">
        <f>OR(Таблица1[[#This Row],[Ежемесячный платеж]]&lt;$AC$5, Таблица1[[#This Row],[Ежемесячный платеж]]&gt;$AC$6)</f>
        <v>0</v>
      </c>
      <c r="S47" s="9">
        <f>(Таблица1[[#This Row],[Размер кредита]]-21824)/(789096-21824)</f>
        <v>0.31838513591008144</v>
      </c>
      <c r="T47" s="9">
        <f>(Таблица1[[#This Row],[Кредитный рейтинг]]-586)/(751-586)</f>
        <v>0.9939393939393939</v>
      </c>
      <c r="U47" s="9">
        <f>Таблица1[[#This Row],[Ежемесячный платеж]]/(Таблица1[[#This Row],[Годовой доход]]/12)</f>
        <v>0.16900049603174605</v>
      </c>
    </row>
    <row r="48" spans="1:21" x14ac:dyDescent="0.3">
      <c r="A48">
        <v>47</v>
      </c>
      <c r="B48">
        <v>1</v>
      </c>
      <c r="C48" s="9">
        <v>129712</v>
      </c>
      <c r="D48">
        <v>723</v>
      </c>
      <c r="E48" s="1">
        <v>1465698</v>
      </c>
      <c r="F48">
        <v>6</v>
      </c>
      <c r="G48">
        <v>18199.150000000001</v>
      </c>
      <c r="H48">
        <v>19.399999999999999</v>
      </c>
      <c r="I48">
        <v>34</v>
      </c>
      <c r="J48">
        <v>45106</v>
      </c>
      <c r="K48">
        <v>163218</v>
      </c>
      <c r="L48" t="s">
        <v>24</v>
      </c>
      <c r="M48" t="s">
        <v>88</v>
      </c>
      <c r="N48" t="s">
        <v>26</v>
      </c>
      <c r="O48" t="s">
        <v>28</v>
      </c>
      <c r="P48" t="s">
        <v>22</v>
      </c>
      <c r="Q48" t="s">
        <v>23</v>
      </c>
      <c r="R48" t="b">
        <f>OR(Таблица1[[#This Row],[Ежемесячный платеж]]&lt;$AC$5, Таблица1[[#This Row],[Ежемесячный платеж]]&gt;$AC$6)</f>
        <v>0</v>
      </c>
      <c r="S48" s="9">
        <f>(Таблица1[[#This Row],[Размер кредита]]-21824)/(789096-21824)</f>
        <v>0.14061245555682991</v>
      </c>
      <c r="T48" s="9">
        <f>(Таблица1[[#This Row],[Кредитный рейтинг]]-586)/(751-586)</f>
        <v>0.83030303030303032</v>
      </c>
      <c r="U48" s="9">
        <f>Таблица1[[#This Row],[Ежемесячный платеж]]/(Таблица1[[#This Row],[Годовой доход]]/12)</f>
        <v>0.1490005444504939</v>
      </c>
    </row>
    <row r="49" spans="1:21" x14ac:dyDescent="0.3">
      <c r="A49">
        <v>48</v>
      </c>
      <c r="B49">
        <v>0</v>
      </c>
      <c r="C49" s="9">
        <v>287980</v>
      </c>
      <c r="D49">
        <v>737</v>
      </c>
      <c r="E49" s="1">
        <v>1013954</v>
      </c>
      <c r="F49">
        <v>13</v>
      </c>
      <c r="G49">
        <v>16138.6</v>
      </c>
      <c r="H49">
        <v>18.600000000000001</v>
      </c>
      <c r="I49">
        <v>11</v>
      </c>
      <c r="J49">
        <v>223117</v>
      </c>
      <c r="K49">
        <v>489302</v>
      </c>
      <c r="L49" t="s">
        <v>37</v>
      </c>
      <c r="M49" t="s">
        <v>89</v>
      </c>
      <c r="N49" t="s">
        <v>26</v>
      </c>
      <c r="O49" t="s">
        <v>21</v>
      </c>
      <c r="P49" t="s">
        <v>22</v>
      </c>
      <c r="Q49" t="s">
        <v>23</v>
      </c>
      <c r="R49" t="b">
        <f>OR(Таблица1[[#This Row],[Ежемесячный платеж]]&lt;$AC$5, Таблица1[[#This Row],[Ежемесячный платеж]]&gt;$AC$6)</f>
        <v>0</v>
      </c>
      <c r="S49" s="9">
        <f>(Таблица1[[#This Row],[Размер кредита]]-21824)/(789096-21824)</f>
        <v>0.34688611079252207</v>
      </c>
      <c r="T49" s="9">
        <f>(Таблица1[[#This Row],[Кредитный рейтинг]]-586)/(751-586)</f>
        <v>0.91515151515151516</v>
      </c>
      <c r="U49" s="9">
        <f>Таблица1[[#This Row],[Ежемесячный платеж]]/(Таблица1[[#This Row],[Годовой доход]]/12)</f>
        <v>0.19099801371659858</v>
      </c>
    </row>
    <row r="50" spans="1:21" x14ac:dyDescent="0.3">
      <c r="A50">
        <v>49</v>
      </c>
      <c r="B50">
        <v>0</v>
      </c>
      <c r="C50" s="9">
        <v>439428</v>
      </c>
      <c r="D50">
        <v>710</v>
      </c>
      <c r="E50" s="1">
        <v>1518024</v>
      </c>
      <c r="F50">
        <v>0</v>
      </c>
      <c r="G50">
        <v>20923.560000000001</v>
      </c>
      <c r="H50">
        <v>17.8</v>
      </c>
      <c r="I50">
        <v>11</v>
      </c>
      <c r="J50">
        <v>209304</v>
      </c>
      <c r="K50">
        <v>265716</v>
      </c>
      <c r="L50" t="s">
        <v>18</v>
      </c>
      <c r="M50" t="s">
        <v>90</v>
      </c>
      <c r="N50" t="s">
        <v>26</v>
      </c>
      <c r="O50" t="s">
        <v>34</v>
      </c>
      <c r="P50" t="s">
        <v>22</v>
      </c>
      <c r="Q50" t="s">
        <v>23</v>
      </c>
      <c r="R50" t="b">
        <f>OR(Таблица1[[#This Row],[Ежемесячный платеж]]&lt;$AC$5, Таблица1[[#This Row],[Ежемесячный платеж]]&gt;$AC$6)</f>
        <v>0</v>
      </c>
      <c r="S50" s="9">
        <f>(Таблица1[[#This Row],[Размер кредита]]-21824)/(789096-21824)</f>
        <v>0.54427113201055166</v>
      </c>
      <c r="T50" s="9">
        <f>(Таблица1[[#This Row],[Кредитный рейтинг]]-586)/(751-586)</f>
        <v>0.75151515151515147</v>
      </c>
      <c r="U50" s="9">
        <f>Таблица1[[#This Row],[Ежемесячный платеж]]/(Таблица1[[#This Row],[Годовой доход]]/12)</f>
        <v>0.16540102132772605</v>
      </c>
    </row>
    <row r="51" spans="1:21" x14ac:dyDescent="0.3">
      <c r="A51">
        <v>50</v>
      </c>
      <c r="B51">
        <v>0</v>
      </c>
      <c r="C51" s="9">
        <v>456808</v>
      </c>
      <c r="D51">
        <v>598</v>
      </c>
      <c r="E51" s="1">
        <v>1096167</v>
      </c>
      <c r="F51">
        <v>0</v>
      </c>
      <c r="G51">
        <v>14341.39</v>
      </c>
      <c r="H51">
        <v>14.1</v>
      </c>
      <c r="I51">
        <v>8</v>
      </c>
      <c r="J51">
        <v>161861</v>
      </c>
      <c r="K51">
        <v>278058</v>
      </c>
      <c r="L51" t="s">
        <v>24</v>
      </c>
      <c r="M51" t="s">
        <v>91</v>
      </c>
      <c r="N51" t="s">
        <v>26</v>
      </c>
      <c r="O51" t="s">
        <v>28</v>
      </c>
      <c r="P51" t="s">
        <v>31</v>
      </c>
      <c r="Q51" t="s">
        <v>36</v>
      </c>
      <c r="R51" t="b">
        <f>OR(Таблица1[[#This Row],[Ежемесячный платеж]]&lt;$AC$5, Таблица1[[#This Row],[Ежемесячный платеж]]&gt;$AC$6)</f>
        <v>0</v>
      </c>
      <c r="S51" s="9">
        <f>(Таблица1[[#This Row],[Размер кредита]]-21824)/(789096-21824)</f>
        <v>0.56692281224911112</v>
      </c>
      <c r="T51" s="9">
        <f>(Таблица1[[#This Row],[Кредитный рейтинг]]-586)/(751-586)</f>
        <v>7.2727272727272724E-2</v>
      </c>
      <c r="U51" s="9">
        <f>Таблица1[[#This Row],[Ежемесячный платеж]]/(Таблица1[[#This Row],[Годовой доход]]/12)</f>
        <v>0.15699859601684779</v>
      </c>
    </row>
    <row r="52" spans="1:21" x14ac:dyDescent="0.3">
      <c r="A52">
        <v>51</v>
      </c>
      <c r="B52">
        <v>0</v>
      </c>
      <c r="C52" s="9">
        <v>518012</v>
      </c>
      <c r="D52">
        <v>719</v>
      </c>
      <c r="E52" s="1">
        <v>1193010</v>
      </c>
      <c r="F52">
        <v>0</v>
      </c>
      <c r="G52">
        <v>22667.38</v>
      </c>
      <c r="H52">
        <v>20.9</v>
      </c>
      <c r="I52">
        <v>11</v>
      </c>
      <c r="J52">
        <v>452770</v>
      </c>
      <c r="K52">
        <v>1080926</v>
      </c>
      <c r="L52" t="s">
        <v>24</v>
      </c>
      <c r="M52" t="s">
        <v>92</v>
      </c>
      <c r="N52" t="s">
        <v>26</v>
      </c>
      <c r="O52" t="s">
        <v>28</v>
      </c>
      <c r="P52" t="s">
        <v>31</v>
      </c>
      <c r="Q52" t="s">
        <v>23</v>
      </c>
      <c r="R52" t="b">
        <f>OR(Таблица1[[#This Row],[Ежемесячный платеж]]&lt;$AC$5, Таблица1[[#This Row],[Ежемесячный платеж]]&gt;$AC$6)</f>
        <v>0</v>
      </c>
      <c r="S52" s="9">
        <f>(Таблица1[[#This Row],[Размер кредита]]-21824)/(789096-21824)</f>
        <v>0.64669113430439273</v>
      </c>
      <c r="T52" s="9">
        <f>(Таблица1[[#This Row],[Кредитный рейтинг]]-586)/(751-586)</f>
        <v>0.80606060606060603</v>
      </c>
      <c r="U52" s="9">
        <f>Таблица1[[#This Row],[Ежемесячный платеж]]/(Таблица1[[#This Row],[Годовой доход]]/12)</f>
        <v>0.22800191113234591</v>
      </c>
    </row>
    <row r="53" spans="1:21" x14ac:dyDescent="0.3">
      <c r="A53">
        <v>52</v>
      </c>
      <c r="B53">
        <v>0</v>
      </c>
      <c r="C53" s="9">
        <v>219692</v>
      </c>
      <c r="D53">
        <v>661</v>
      </c>
      <c r="E53" s="1">
        <v>527839</v>
      </c>
      <c r="F53">
        <v>48</v>
      </c>
      <c r="G53">
        <v>14207.63</v>
      </c>
      <c r="H53">
        <v>17</v>
      </c>
      <c r="I53">
        <v>9</v>
      </c>
      <c r="J53">
        <v>254277</v>
      </c>
      <c r="K53">
        <v>379918</v>
      </c>
      <c r="L53" t="s">
        <v>24</v>
      </c>
      <c r="M53" t="s">
        <v>93</v>
      </c>
      <c r="N53" t="s">
        <v>26</v>
      </c>
      <c r="O53" t="s">
        <v>34</v>
      </c>
      <c r="P53" t="s">
        <v>31</v>
      </c>
      <c r="Q53" t="s">
        <v>36</v>
      </c>
      <c r="R53" t="b">
        <f>OR(Таблица1[[#This Row],[Ежемесячный платеж]]&lt;$AC$5, Таблица1[[#This Row],[Ежемесячный платеж]]&gt;$AC$6)</f>
        <v>0</v>
      </c>
      <c r="S53" s="9">
        <f>(Таблица1[[#This Row],[Размер кредита]]-21824)/(789096-21824)</f>
        <v>0.25788507856405551</v>
      </c>
      <c r="T53" s="9">
        <f>(Таблица1[[#This Row],[Кредитный рейтинг]]-586)/(751-586)</f>
        <v>0.45454545454545453</v>
      </c>
      <c r="U53" s="9">
        <f>Таблица1[[#This Row],[Ежемесячный платеж]]/(Таблица1[[#This Row],[Годовой доход]]/12)</f>
        <v>0.32299917209603685</v>
      </c>
    </row>
    <row r="54" spans="1:21" x14ac:dyDescent="0.3">
      <c r="A54">
        <v>53</v>
      </c>
      <c r="B54">
        <v>0</v>
      </c>
      <c r="C54" s="9">
        <v>214874</v>
      </c>
      <c r="D54">
        <f>$Y$13</f>
        <v>723</v>
      </c>
      <c r="E54">
        <f>$AB$13</f>
        <v>1168044</v>
      </c>
      <c r="F54">
        <v>69</v>
      </c>
      <c r="G54">
        <v>20322.78</v>
      </c>
      <c r="H54">
        <v>15.6</v>
      </c>
      <c r="I54">
        <v>8</v>
      </c>
      <c r="J54">
        <v>285589</v>
      </c>
      <c r="K54">
        <v>402776</v>
      </c>
      <c r="L54" t="s">
        <v>41</v>
      </c>
      <c r="M54" t="s">
        <v>94</v>
      </c>
      <c r="N54" t="s">
        <v>26</v>
      </c>
      <c r="O54" t="s">
        <v>34</v>
      </c>
      <c r="P54" t="s">
        <v>22</v>
      </c>
      <c r="Q54" t="s">
        <v>36</v>
      </c>
      <c r="R54" t="b">
        <f>OR(Таблица1[[#This Row],[Ежемесячный платеж]]&lt;$AC$5, Таблица1[[#This Row],[Ежемесячный платеж]]&gt;$AC$6)</f>
        <v>0</v>
      </c>
      <c r="S54" s="9">
        <f>(Таблица1[[#This Row],[Размер кредита]]-21824)/(789096-21824)</f>
        <v>0.25160568872577133</v>
      </c>
      <c r="T54" s="9">
        <f>(Таблица1[[#This Row],[Кредитный рейтинг]]-586)/(751-586)</f>
        <v>0.83030303030303032</v>
      </c>
      <c r="U54" s="9">
        <f>Таблица1[[#This Row],[Ежемесячный платеж]]/(Таблица1[[#This Row],[Годовой доход]]/12)</f>
        <v>0.20878781963693147</v>
      </c>
    </row>
    <row r="55" spans="1:21" x14ac:dyDescent="0.3">
      <c r="A55">
        <v>54</v>
      </c>
      <c r="B55">
        <v>0</v>
      </c>
      <c r="C55" s="9">
        <v>374176</v>
      </c>
      <c r="D55">
        <v>652</v>
      </c>
      <c r="E55" s="1">
        <v>1239199</v>
      </c>
      <c r="F55">
        <v>42</v>
      </c>
      <c r="G55">
        <v>5163.25</v>
      </c>
      <c r="H55">
        <v>36.6</v>
      </c>
      <c r="I55">
        <v>10</v>
      </c>
      <c r="J55">
        <v>126350</v>
      </c>
      <c r="K55">
        <v>415602</v>
      </c>
      <c r="L55" t="s">
        <v>24</v>
      </c>
      <c r="M55" t="s">
        <v>95</v>
      </c>
      <c r="N55" t="s">
        <v>68</v>
      </c>
      <c r="O55" t="s">
        <v>21</v>
      </c>
      <c r="P55" t="s">
        <v>31</v>
      </c>
      <c r="Q55" t="s">
        <v>36</v>
      </c>
      <c r="R55" t="b">
        <f>OR(Таблица1[[#This Row],[Ежемесячный платеж]]&lt;$AC$5, Таблица1[[#This Row],[Ежемесячный платеж]]&gt;$AC$6)</f>
        <v>0</v>
      </c>
      <c r="S55" s="9">
        <f>(Таблица1[[#This Row],[Размер кредита]]-21824)/(789096-21824)</f>
        <v>0.45922697557059294</v>
      </c>
      <c r="T55" s="9">
        <f>(Таблица1[[#This Row],[Кредитный рейтинг]]-586)/(751-586)</f>
        <v>0.4</v>
      </c>
      <c r="U55" s="9">
        <f>Таблица1[[#This Row],[Ежемесячный платеж]]/(Таблица1[[#This Row],[Годовой доход]]/12)</f>
        <v>4.999923337575321E-2</v>
      </c>
    </row>
    <row r="56" spans="1:21" x14ac:dyDescent="0.3">
      <c r="A56">
        <v>55</v>
      </c>
      <c r="B56">
        <v>0</v>
      </c>
      <c r="D56">
        <v>730</v>
      </c>
      <c r="E56" s="1">
        <v>2509520</v>
      </c>
      <c r="F56">
        <v>35</v>
      </c>
      <c r="G56">
        <v>34714.9</v>
      </c>
      <c r="H56">
        <v>40.799999999999997</v>
      </c>
      <c r="I56">
        <v>12</v>
      </c>
      <c r="J56">
        <v>733324</v>
      </c>
      <c r="K56">
        <v>1035496</v>
      </c>
      <c r="L56" t="s">
        <v>24</v>
      </c>
      <c r="M56" t="s">
        <v>96</v>
      </c>
      <c r="N56" t="s">
        <v>26</v>
      </c>
      <c r="O56" t="s">
        <v>21</v>
      </c>
      <c r="P56" t="s">
        <v>31</v>
      </c>
      <c r="Q56" t="s">
        <v>23</v>
      </c>
      <c r="R56" t="b">
        <f>OR(Таблица1[[#This Row],[Ежемесячный платеж]]&lt;$AC$5, Таблица1[[#This Row],[Ежемесячный платеж]]&gt;$AC$6)</f>
        <v>0</v>
      </c>
      <c r="T56" s="9">
        <f>(Таблица1[[#This Row],[Кредитный рейтинг]]-586)/(751-586)</f>
        <v>0.87272727272727268</v>
      </c>
      <c r="U56" s="9">
        <f>Таблица1[[#This Row],[Ежемесячный платеж]]/(Таблица1[[#This Row],[Годовой доход]]/12)</f>
        <v>0.16599939430648095</v>
      </c>
    </row>
    <row r="57" spans="1:21" x14ac:dyDescent="0.3">
      <c r="A57">
        <v>56</v>
      </c>
      <c r="B57">
        <v>0</v>
      </c>
      <c r="C57" s="9">
        <v>176198</v>
      </c>
      <c r="D57">
        <v>736</v>
      </c>
      <c r="E57" s="1">
        <v>1902090</v>
      </c>
      <c r="F57">
        <v>7</v>
      </c>
      <c r="G57">
        <v>28372.89</v>
      </c>
      <c r="H57">
        <v>15.4</v>
      </c>
      <c r="I57">
        <v>9</v>
      </c>
      <c r="J57">
        <v>206872</v>
      </c>
      <c r="K57">
        <v>620554</v>
      </c>
      <c r="L57" t="s">
        <v>24</v>
      </c>
      <c r="M57" s="2" t="s">
        <v>97</v>
      </c>
      <c r="N57" t="s">
        <v>26</v>
      </c>
      <c r="O57" t="s">
        <v>21</v>
      </c>
      <c r="P57" t="s">
        <v>22</v>
      </c>
      <c r="Q57" t="s">
        <v>36</v>
      </c>
      <c r="R57" t="b">
        <f>OR(Таблица1[[#This Row],[Ежемесячный платеж]]&lt;$AC$5, Таблица1[[#This Row],[Ежемесячный платеж]]&gt;$AC$6)</f>
        <v>0</v>
      </c>
      <c r="S57" s="9">
        <f>(Таблица1[[#This Row],[Размер кредита]]-21824)/(789096-21824)</f>
        <v>0.20119853194173642</v>
      </c>
      <c r="T57" s="9">
        <f>(Таблица1[[#This Row],[Кредитный рейтинг]]-586)/(751-586)</f>
        <v>0.90909090909090906</v>
      </c>
      <c r="U57" s="9">
        <f>Таблица1[[#This Row],[Ежемесячный платеж]]/(Таблица1[[#This Row],[Годовой доход]]/12)</f>
        <v>0.1790002996703626</v>
      </c>
    </row>
    <row r="58" spans="1:21" x14ac:dyDescent="0.3">
      <c r="A58">
        <v>57</v>
      </c>
      <c r="B58">
        <v>0</v>
      </c>
      <c r="C58" s="9">
        <v>78012</v>
      </c>
      <c r="D58">
        <v>738</v>
      </c>
      <c r="E58" s="1">
        <v>728726</v>
      </c>
      <c r="F58">
        <v>0</v>
      </c>
      <c r="G58">
        <v>10135.36</v>
      </c>
      <c r="H58">
        <v>11.4</v>
      </c>
      <c r="I58">
        <v>8</v>
      </c>
      <c r="J58">
        <v>104633</v>
      </c>
      <c r="K58">
        <v>199936</v>
      </c>
      <c r="L58" t="s">
        <v>47</v>
      </c>
      <c r="M58" t="s">
        <v>98</v>
      </c>
      <c r="N58" t="s">
        <v>99</v>
      </c>
      <c r="O58" t="s">
        <v>34</v>
      </c>
      <c r="P58" t="s">
        <v>22</v>
      </c>
      <c r="Q58" t="s">
        <v>36</v>
      </c>
      <c r="R58" t="b">
        <f>OR(Таблица1[[#This Row],[Ежемесячный платеж]]&lt;$AC$5, Таблица1[[#This Row],[Ежемесячный платеж]]&gt;$AC$6)</f>
        <v>0</v>
      </c>
      <c r="S58" s="9">
        <f>(Таблица1[[#This Row],[Размер кредита]]-21824)/(789096-21824)</f>
        <v>7.3230875100355544E-2</v>
      </c>
      <c r="T58" s="9">
        <f>(Таблица1[[#This Row],[Кредитный рейтинг]]-586)/(751-586)</f>
        <v>0.92121212121212126</v>
      </c>
      <c r="U58" s="9">
        <f>Таблица1[[#This Row],[Ежемесячный платеж]]/(Таблица1[[#This Row],[Годовой доход]]/12)</f>
        <v>0.16689993221046046</v>
      </c>
    </row>
    <row r="59" spans="1:21" x14ac:dyDescent="0.3">
      <c r="A59">
        <v>58</v>
      </c>
      <c r="B59">
        <v>0</v>
      </c>
      <c r="C59" s="9">
        <v>669372</v>
      </c>
      <c r="D59">
        <v>725</v>
      </c>
      <c r="E59" s="1">
        <v>2158210</v>
      </c>
      <c r="F59">
        <v>0</v>
      </c>
      <c r="G59">
        <v>34711.29</v>
      </c>
      <c r="H59">
        <v>9.1999999999999993</v>
      </c>
      <c r="I59">
        <v>17</v>
      </c>
      <c r="J59">
        <v>496052</v>
      </c>
      <c r="K59">
        <v>638176</v>
      </c>
      <c r="L59" t="s">
        <v>52</v>
      </c>
      <c r="M59" t="s">
        <v>100</v>
      </c>
      <c r="N59" t="s">
        <v>26</v>
      </c>
      <c r="O59" t="s">
        <v>21</v>
      </c>
      <c r="P59" t="s">
        <v>22</v>
      </c>
      <c r="Q59" t="s">
        <v>23</v>
      </c>
      <c r="R59" t="b">
        <f>OR(Таблица1[[#This Row],[Ежемесячный платеж]]&lt;$AC$5, Таблица1[[#This Row],[Ежемесячный платеж]]&gt;$AC$6)</f>
        <v>0</v>
      </c>
      <c r="S59" s="9">
        <f>(Таблица1[[#This Row],[Размер кредита]]-21824)/(789096-21824)</f>
        <v>0.84396146347058154</v>
      </c>
      <c r="T59" s="9">
        <f>(Таблица1[[#This Row],[Кредитный рейтинг]]-586)/(751-586)</f>
        <v>0.84242424242424241</v>
      </c>
      <c r="U59" s="9">
        <f>Таблица1[[#This Row],[Ежемесячный платеж]]/(Таблица1[[#This Row],[Годовой доход]]/12)</f>
        <v>0.19300044017959328</v>
      </c>
    </row>
    <row r="60" spans="1:21" x14ac:dyDescent="0.3">
      <c r="A60">
        <v>59</v>
      </c>
      <c r="B60">
        <v>0</v>
      </c>
      <c r="C60" s="9">
        <v>130922</v>
      </c>
      <c r="D60">
        <v>747</v>
      </c>
      <c r="E60" s="1">
        <v>2261304</v>
      </c>
      <c r="F60">
        <v>30</v>
      </c>
      <c r="G60">
        <v>9761.25</v>
      </c>
      <c r="H60">
        <v>16.100000000000001</v>
      </c>
      <c r="I60">
        <v>6</v>
      </c>
      <c r="J60">
        <v>110428</v>
      </c>
      <c r="K60">
        <v>235488</v>
      </c>
      <c r="L60" t="s">
        <v>41</v>
      </c>
      <c r="M60" t="s">
        <v>101</v>
      </c>
      <c r="N60" t="s">
        <v>26</v>
      </c>
      <c r="O60" t="s">
        <v>34</v>
      </c>
      <c r="P60" t="s">
        <v>22</v>
      </c>
      <c r="Q60" t="s">
        <v>23</v>
      </c>
      <c r="R60" t="b">
        <f>OR(Таблица1[[#This Row],[Ежемесячный платеж]]&lt;$AC$5, Таблица1[[#This Row],[Ежемесячный платеж]]&gt;$AC$6)</f>
        <v>0</v>
      </c>
      <c r="S60" s="9">
        <f>(Таблица1[[#This Row],[Размер кредита]]-21824)/(789096-21824)</f>
        <v>0.14218947126964102</v>
      </c>
      <c r="T60" s="9">
        <f>(Таблица1[[#This Row],[Кредитный рейтинг]]-586)/(751-586)</f>
        <v>0.97575757575757571</v>
      </c>
      <c r="U60" s="9">
        <f>Таблица1[[#This Row],[Ежемесячный платеж]]/(Таблица1[[#This Row],[Годовой доход]]/12)</f>
        <v>5.1799758015728975E-2</v>
      </c>
    </row>
    <row r="61" spans="1:21" x14ac:dyDescent="0.3">
      <c r="A61">
        <v>60</v>
      </c>
      <c r="B61">
        <v>0</v>
      </c>
      <c r="C61" s="9">
        <v>174548</v>
      </c>
      <c r="D61">
        <v>721</v>
      </c>
      <c r="E61" s="1">
        <v>1620681</v>
      </c>
      <c r="F61">
        <v>27</v>
      </c>
      <c r="G61">
        <v>30522.74</v>
      </c>
      <c r="H61">
        <v>15</v>
      </c>
      <c r="I61">
        <v>7</v>
      </c>
      <c r="J61">
        <v>40489</v>
      </c>
      <c r="K61">
        <v>128832</v>
      </c>
      <c r="L61" t="s">
        <v>69</v>
      </c>
      <c r="M61" t="s">
        <v>102</v>
      </c>
      <c r="N61" t="s">
        <v>103</v>
      </c>
      <c r="O61" t="s">
        <v>34</v>
      </c>
      <c r="P61" t="s">
        <v>22</v>
      </c>
      <c r="Q61" t="s">
        <v>23</v>
      </c>
      <c r="R61" t="b">
        <f>OR(Таблица1[[#This Row],[Ежемесячный платеж]]&lt;$AC$5, Таблица1[[#This Row],[Ежемесячный платеж]]&gt;$AC$6)</f>
        <v>0</v>
      </c>
      <c r="S61" s="9">
        <f>(Таблица1[[#This Row],[Размер кредита]]-21824)/(789096-21824)</f>
        <v>0.1990480559697213</v>
      </c>
      <c r="T61" s="9">
        <f>(Таблица1[[#This Row],[Кредитный рейтинг]]-586)/(751-586)</f>
        <v>0.81818181818181823</v>
      </c>
      <c r="U61" s="9">
        <f>Таблица1[[#This Row],[Ежемесячный платеж]]/(Таблица1[[#This Row],[Годовой доход]]/12)</f>
        <v>0.22599936693278938</v>
      </c>
    </row>
    <row r="62" spans="1:21" x14ac:dyDescent="0.3">
      <c r="A62">
        <v>61</v>
      </c>
      <c r="B62">
        <v>0</v>
      </c>
      <c r="C62" s="9">
        <v>290224</v>
      </c>
      <c r="D62">
        <v>644</v>
      </c>
      <c r="E62" s="1">
        <v>837045</v>
      </c>
      <c r="F62">
        <v>10</v>
      </c>
      <c r="G62">
        <v>8230.99</v>
      </c>
      <c r="H62">
        <v>18.3</v>
      </c>
      <c r="I62">
        <v>11</v>
      </c>
      <c r="J62">
        <v>176624</v>
      </c>
      <c r="K62">
        <v>370480</v>
      </c>
      <c r="L62" t="s">
        <v>52</v>
      </c>
      <c r="M62" t="s">
        <v>104</v>
      </c>
      <c r="N62" t="s">
        <v>26</v>
      </c>
      <c r="O62" t="s">
        <v>21</v>
      </c>
      <c r="P62" t="s">
        <v>31</v>
      </c>
      <c r="Q62" t="s">
        <v>36</v>
      </c>
      <c r="R62" t="b">
        <f>OR(Таблица1[[#This Row],[Ежемесячный платеж]]&lt;$AC$5, Таблица1[[#This Row],[Ежемесячный платеж]]&gt;$AC$6)</f>
        <v>0</v>
      </c>
      <c r="S62" s="9">
        <f>(Таблица1[[#This Row],[Размер кредита]]-21824)/(789096-21824)</f>
        <v>0.34981075811446266</v>
      </c>
      <c r="T62" s="9">
        <f>(Таблица1[[#This Row],[Кредитный рейтинг]]-586)/(751-586)</f>
        <v>0.3515151515151515</v>
      </c>
      <c r="U62" s="9">
        <f>Таблица1[[#This Row],[Ежемесячный платеж]]/(Таблица1[[#This Row],[Годовой доход]]/12)</f>
        <v>0.1180006809669731</v>
      </c>
    </row>
    <row r="63" spans="1:21" x14ac:dyDescent="0.3">
      <c r="A63">
        <v>62</v>
      </c>
      <c r="B63">
        <v>0</v>
      </c>
      <c r="C63" s="9">
        <v>718784</v>
      </c>
      <c r="D63">
        <v>672</v>
      </c>
      <c r="E63" s="1">
        <v>1648915</v>
      </c>
      <c r="F63">
        <v>5</v>
      </c>
      <c r="G63">
        <v>15664.74</v>
      </c>
      <c r="H63">
        <v>12</v>
      </c>
      <c r="I63">
        <v>10</v>
      </c>
      <c r="J63">
        <v>252016</v>
      </c>
      <c r="K63">
        <v>489610</v>
      </c>
      <c r="L63" t="s">
        <v>24</v>
      </c>
      <c r="M63" t="s">
        <v>105</v>
      </c>
      <c r="N63" t="s">
        <v>26</v>
      </c>
      <c r="O63" t="s">
        <v>21</v>
      </c>
      <c r="P63" t="s">
        <v>31</v>
      </c>
      <c r="Q63" t="s">
        <v>23</v>
      </c>
      <c r="R63" t="b">
        <f>OR(Таблица1[[#This Row],[Ежемесячный платеж]]&lt;$AC$5, Таблица1[[#This Row],[Ежемесячный платеж]]&gt;$AC$6)</f>
        <v>0</v>
      </c>
      <c r="S63" s="9">
        <f>(Таблица1[[#This Row],[Размер кредита]]-21824)/(789096-21824)</f>
        <v>0.90836105057919481</v>
      </c>
      <c r="T63" s="9">
        <f>(Таблица1[[#This Row],[Кредитный рейтинг]]-586)/(751-586)</f>
        <v>0.52121212121212124</v>
      </c>
      <c r="U63" s="9">
        <f>Таблица1[[#This Row],[Ежемесячный платеж]]/(Таблица1[[#This Row],[Годовой доход]]/12)</f>
        <v>0.11400034568185745</v>
      </c>
    </row>
    <row r="64" spans="1:21" x14ac:dyDescent="0.3">
      <c r="A64">
        <v>63</v>
      </c>
      <c r="B64">
        <v>0</v>
      </c>
      <c r="C64" s="9">
        <v>152548</v>
      </c>
      <c r="D64">
        <f>$Y$13</f>
        <v>723</v>
      </c>
      <c r="E64">
        <f>$AB$13</f>
        <v>1168044</v>
      </c>
      <c r="F64">
        <v>26</v>
      </c>
      <c r="G64">
        <v>19164.54</v>
      </c>
      <c r="H64">
        <v>12.1</v>
      </c>
      <c r="I64">
        <v>22</v>
      </c>
      <c r="J64">
        <v>120916</v>
      </c>
      <c r="K64">
        <v>946000</v>
      </c>
      <c r="L64" t="s">
        <v>52</v>
      </c>
      <c r="M64" t="s">
        <v>106</v>
      </c>
      <c r="N64" t="s">
        <v>26</v>
      </c>
      <c r="O64" t="s">
        <v>21</v>
      </c>
      <c r="P64" t="s">
        <v>22</v>
      </c>
      <c r="Q64" t="s">
        <v>23</v>
      </c>
      <c r="R64" t="b">
        <f>OR(Таблица1[[#This Row],[Ежемесячный платеж]]&lt;$AC$5, Таблица1[[#This Row],[Ежемесячный платеж]]&gt;$AC$6)</f>
        <v>0</v>
      </c>
      <c r="S64" s="9">
        <f>(Таблица1[[#This Row],[Размер кредита]]-21824)/(789096-21824)</f>
        <v>0.17037504300951944</v>
      </c>
      <c r="T64" s="9">
        <f>(Таблица1[[#This Row],[Кредитный рейтинг]]-586)/(751-586)</f>
        <v>0.83030303030303032</v>
      </c>
      <c r="U64" s="9">
        <f>Таблица1[[#This Row],[Ежемесячный платеж]]/(Таблица1[[#This Row],[Годовой доход]]/12)</f>
        <v>0.19688854186999805</v>
      </c>
    </row>
    <row r="65" spans="1:21" x14ac:dyDescent="0.3">
      <c r="A65">
        <v>64</v>
      </c>
      <c r="B65">
        <v>0</v>
      </c>
      <c r="C65" s="9">
        <v>602008</v>
      </c>
      <c r="D65">
        <v>741</v>
      </c>
      <c r="E65" s="1">
        <v>2896721</v>
      </c>
      <c r="F65">
        <v>32</v>
      </c>
      <c r="G65">
        <v>48278.62</v>
      </c>
      <c r="H65">
        <v>19.600000000000001</v>
      </c>
      <c r="I65">
        <v>17</v>
      </c>
      <c r="J65">
        <v>5246261</v>
      </c>
      <c r="K65">
        <v>11887678</v>
      </c>
      <c r="L65" t="s">
        <v>41</v>
      </c>
      <c r="M65" t="s">
        <v>107</v>
      </c>
      <c r="N65" t="s">
        <v>26</v>
      </c>
      <c r="O65" t="s">
        <v>28</v>
      </c>
      <c r="P65" t="s">
        <v>31</v>
      </c>
      <c r="Q65" t="s">
        <v>23</v>
      </c>
      <c r="R65" t="b">
        <f>OR(Таблица1[[#This Row],[Ежемесячный платеж]]&lt;$AC$5, Таблица1[[#This Row],[Ежемесячный платеж]]&gt;$AC$6)</f>
        <v>1</v>
      </c>
      <c r="S65" s="9">
        <f>(Таблица1[[#This Row],[Размер кредита]]-21824)/(789096-21824)</f>
        <v>0.75616469778644335</v>
      </c>
      <c r="T65" s="9">
        <f>(Таблица1[[#This Row],[Кредитный рейтинг]]-586)/(751-586)</f>
        <v>0.93939393939393945</v>
      </c>
      <c r="U65" s="9">
        <f>Таблица1[[#This Row],[Ежемесячный платеж]]/(Таблица1[[#This Row],[Годовой доход]]/12)</f>
        <v>0.19999973763438042</v>
      </c>
    </row>
    <row r="66" spans="1:21" x14ac:dyDescent="0.3">
      <c r="A66">
        <v>65</v>
      </c>
      <c r="B66">
        <v>0</v>
      </c>
      <c r="C66" s="9">
        <v>171248</v>
      </c>
      <c r="D66">
        <v>747</v>
      </c>
      <c r="E66" s="1">
        <v>3035725</v>
      </c>
      <c r="F66">
        <v>17</v>
      </c>
      <c r="G66">
        <v>42500.15</v>
      </c>
      <c r="H66">
        <v>31.5</v>
      </c>
      <c r="I66">
        <v>11</v>
      </c>
      <c r="J66">
        <v>25460</v>
      </c>
      <c r="K66">
        <v>151140</v>
      </c>
      <c r="L66" t="s">
        <v>24</v>
      </c>
      <c r="M66" t="s">
        <v>108</v>
      </c>
      <c r="N66" t="s">
        <v>26</v>
      </c>
      <c r="O66" t="s">
        <v>21</v>
      </c>
      <c r="P66" t="s">
        <v>22</v>
      </c>
      <c r="Q66" t="s">
        <v>23</v>
      </c>
      <c r="R66" t="b">
        <f>OR(Таблица1[[#This Row],[Ежемесячный платеж]]&lt;$AC$5, Таблица1[[#This Row],[Ежемесячный платеж]]&gt;$AC$6)</f>
        <v>0</v>
      </c>
      <c r="S66" s="9">
        <f>(Таблица1[[#This Row],[Размер кредита]]-21824)/(789096-21824)</f>
        <v>0.19474710402569101</v>
      </c>
      <c r="T66" s="9">
        <f>(Таблица1[[#This Row],[Кредитный рейтинг]]-586)/(751-586)</f>
        <v>0.97575757575757571</v>
      </c>
      <c r="U66" s="9">
        <f>Таблица1[[#This Row],[Ежемесячный платеж]]/(Таблица1[[#This Row],[Годовой доход]]/12)</f>
        <v>0.16800000000000001</v>
      </c>
    </row>
    <row r="67" spans="1:21" x14ac:dyDescent="0.3">
      <c r="A67">
        <v>66</v>
      </c>
      <c r="B67">
        <v>0</v>
      </c>
      <c r="C67" s="9">
        <v>523908</v>
      </c>
      <c r="D67">
        <v>737</v>
      </c>
      <c r="E67" s="1">
        <v>1028774</v>
      </c>
      <c r="F67">
        <v>0</v>
      </c>
      <c r="G67">
        <v>22632.99</v>
      </c>
      <c r="H67">
        <v>19.3</v>
      </c>
      <c r="I67">
        <v>5</v>
      </c>
      <c r="J67">
        <v>474658</v>
      </c>
      <c r="K67">
        <v>742720</v>
      </c>
      <c r="L67" t="s">
        <v>69</v>
      </c>
      <c r="M67" t="s">
        <v>109</v>
      </c>
      <c r="N67" t="s">
        <v>26</v>
      </c>
      <c r="O67" t="s">
        <v>21</v>
      </c>
      <c r="P67" t="s">
        <v>31</v>
      </c>
      <c r="Q67" t="s">
        <v>36</v>
      </c>
      <c r="R67" t="b">
        <f>OR(Таблица1[[#This Row],[Ежемесячный платеж]]&lt;$AC$5, Таблица1[[#This Row],[Ежемесячный платеж]]&gt;$AC$6)</f>
        <v>0</v>
      </c>
      <c r="S67" s="9">
        <f>(Таблица1[[#This Row],[Размер кредита]]-21824)/(789096-21824)</f>
        <v>0.65437550177772685</v>
      </c>
      <c r="T67" s="9">
        <f>(Таблица1[[#This Row],[Кредитный рейтинг]]-586)/(751-586)</f>
        <v>0.91515151515151516</v>
      </c>
      <c r="U67" s="9">
        <f>Таблица1[[#This Row],[Ежемесячный платеж]]/(Таблица1[[#This Row],[Годовой доход]]/12)</f>
        <v>0.26399955675396153</v>
      </c>
    </row>
    <row r="68" spans="1:21" x14ac:dyDescent="0.3">
      <c r="A68">
        <v>67</v>
      </c>
      <c r="B68">
        <v>1</v>
      </c>
      <c r="C68" s="9">
        <v>323466</v>
      </c>
      <c r="D68">
        <v>699</v>
      </c>
      <c r="E68" s="1">
        <v>2048618</v>
      </c>
      <c r="F68">
        <v>72</v>
      </c>
      <c r="G68">
        <v>27997.64</v>
      </c>
      <c r="H68">
        <v>14</v>
      </c>
      <c r="I68">
        <v>19</v>
      </c>
      <c r="J68">
        <v>389994</v>
      </c>
      <c r="K68">
        <v>743952</v>
      </c>
      <c r="L68" t="s">
        <v>69</v>
      </c>
      <c r="M68" t="s">
        <v>110</v>
      </c>
      <c r="N68" t="s">
        <v>26</v>
      </c>
      <c r="O68" t="s">
        <v>21</v>
      </c>
      <c r="P68" t="s">
        <v>31</v>
      </c>
      <c r="Q68" t="s">
        <v>23</v>
      </c>
      <c r="R68" t="b">
        <f>OR(Таблица1[[#This Row],[Ежемесячный платеж]]&lt;$AC$5, Таблица1[[#This Row],[Ежемесячный платеж]]&gt;$AC$6)</f>
        <v>0</v>
      </c>
      <c r="S68" s="9">
        <f>(Таблица1[[#This Row],[Размер кредита]]-21824)/(789096-21824)</f>
        <v>0.39313568069732768</v>
      </c>
      <c r="T68" s="9">
        <f>(Таблица1[[#This Row],[Кредитный рейтинг]]-586)/(751-586)</f>
        <v>0.68484848484848482</v>
      </c>
      <c r="U68" s="9">
        <f>Таблица1[[#This Row],[Ежемесячный платеж]]/(Таблица1[[#This Row],[Годовой доход]]/12)</f>
        <v>0.16399918384003265</v>
      </c>
    </row>
    <row r="69" spans="1:21" x14ac:dyDescent="0.3">
      <c r="A69">
        <v>68</v>
      </c>
      <c r="B69">
        <v>0</v>
      </c>
      <c r="C69" s="9">
        <v>751520</v>
      </c>
      <c r="D69">
        <f>$Y$13</f>
        <v>723</v>
      </c>
      <c r="E69">
        <f>$AB$13</f>
        <v>1168044</v>
      </c>
      <c r="F69">
        <v>48</v>
      </c>
      <c r="G69">
        <v>27204.01</v>
      </c>
      <c r="H69">
        <v>20.5</v>
      </c>
      <c r="I69">
        <v>19</v>
      </c>
      <c r="J69">
        <v>483968</v>
      </c>
      <c r="K69">
        <v>594880</v>
      </c>
      <c r="L69" t="s">
        <v>69</v>
      </c>
      <c r="M69" t="s">
        <v>111</v>
      </c>
      <c r="N69" t="s">
        <v>26</v>
      </c>
      <c r="O69" t="s">
        <v>21</v>
      </c>
      <c r="P69" t="s">
        <v>31</v>
      </c>
      <c r="Q69" t="s">
        <v>36</v>
      </c>
      <c r="R69" t="b">
        <f>OR(Таблица1[[#This Row],[Ежемесячный платеж]]&lt;$AC$5, Таблица1[[#This Row],[Ежемесячный платеж]]&gt;$AC$6)</f>
        <v>0</v>
      </c>
      <c r="S69" s="9">
        <f>(Таблица1[[#This Row],[Размер кредита]]-21824)/(789096-21824)</f>
        <v>0.9510264938639752</v>
      </c>
      <c r="T69" s="9">
        <f>(Таблица1[[#This Row],[Кредитный рейтинг]]-586)/(751-586)</f>
        <v>0.83030303030303032</v>
      </c>
      <c r="U69" s="9">
        <f>Таблица1[[#This Row],[Ежемесячный платеж]]/(Таблица1[[#This Row],[Годовой доход]]/12)</f>
        <v>0.27948272496584031</v>
      </c>
    </row>
    <row r="70" spans="1:21" x14ac:dyDescent="0.3">
      <c r="A70">
        <v>69</v>
      </c>
      <c r="B70">
        <v>0</v>
      </c>
      <c r="C70" s="9">
        <v>289388</v>
      </c>
      <c r="D70">
        <f>$Y$13</f>
        <v>723</v>
      </c>
      <c r="E70">
        <f>$AB$13</f>
        <v>1168044</v>
      </c>
      <c r="F70">
        <v>0</v>
      </c>
      <c r="G70">
        <v>9758.4</v>
      </c>
      <c r="H70">
        <v>16</v>
      </c>
      <c r="I70">
        <v>12</v>
      </c>
      <c r="J70">
        <v>439033</v>
      </c>
      <c r="K70">
        <v>1735030</v>
      </c>
      <c r="L70" t="s">
        <v>52</v>
      </c>
      <c r="M70" t="s">
        <v>112</v>
      </c>
      <c r="N70" t="s">
        <v>26</v>
      </c>
      <c r="O70" t="s">
        <v>21</v>
      </c>
      <c r="P70" t="s">
        <v>22</v>
      </c>
      <c r="Q70" t="s">
        <v>23</v>
      </c>
      <c r="R70" t="b">
        <f>OR(Таблица1[[#This Row],[Ежемесячный платеж]]&lt;$AC$5, Таблица1[[#This Row],[Ежемесячный платеж]]&gt;$AC$6)</f>
        <v>0</v>
      </c>
      <c r="S70" s="9">
        <f>(Таблица1[[#This Row],[Размер кредита]]-21824)/(789096-21824)</f>
        <v>0.34872118362197502</v>
      </c>
      <c r="T70" s="9">
        <f>(Таблица1[[#This Row],[Кредитный рейтинг]]-586)/(751-586)</f>
        <v>0.83030303030303032</v>
      </c>
      <c r="U70" s="9">
        <f>Таблица1[[#This Row],[Ежемесячный платеж]]/(Таблица1[[#This Row],[Годовой доход]]/12)</f>
        <v>0.10025375756392738</v>
      </c>
    </row>
    <row r="71" spans="1:21" x14ac:dyDescent="0.3">
      <c r="A71">
        <v>70</v>
      </c>
      <c r="B71">
        <v>0</v>
      </c>
      <c r="C71" s="9">
        <v>144562</v>
      </c>
      <c r="D71">
        <v>751</v>
      </c>
      <c r="E71" s="1">
        <v>1060922</v>
      </c>
      <c r="F71">
        <v>0</v>
      </c>
      <c r="G71">
        <v>19750.88</v>
      </c>
      <c r="H71">
        <v>21.8</v>
      </c>
      <c r="I71">
        <v>7</v>
      </c>
      <c r="J71">
        <v>314773</v>
      </c>
      <c r="K71">
        <v>1035408</v>
      </c>
      <c r="L71" t="s">
        <v>50</v>
      </c>
      <c r="M71" t="s">
        <v>113</v>
      </c>
      <c r="N71" t="s">
        <v>26</v>
      </c>
      <c r="O71" t="s">
        <v>21</v>
      </c>
      <c r="P71" t="s">
        <v>22</v>
      </c>
      <c r="Q71" t="s">
        <v>23</v>
      </c>
      <c r="R71" t="b">
        <f>OR(Таблица1[[#This Row],[Ежемесячный платеж]]&lt;$AC$5, Таблица1[[#This Row],[Ежемесячный платеж]]&gt;$AC$6)</f>
        <v>0</v>
      </c>
      <c r="S71" s="9">
        <f>(Таблица1[[#This Row],[Размер кредита]]-21824)/(789096-21824)</f>
        <v>0.15996673930496616</v>
      </c>
      <c r="T71" s="9">
        <f>(Таблица1[[#This Row],[Кредитный рейтинг]]-586)/(751-586)</f>
        <v>1</v>
      </c>
      <c r="U71" s="9">
        <f>Таблица1[[#This Row],[Ежемесячный платеж]]/(Таблица1[[#This Row],[Годовой доход]]/12)</f>
        <v>0.22340055159568753</v>
      </c>
    </row>
    <row r="72" spans="1:21" x14ac:dyDescent="0.3">
      <c r="A72">
        <v>71</v>
      </c>
      <c r="B72">
        <v>1</v>
      </c>
      <c r="C72" s="9">
        <v>211222</v>
      </c>
      <c r="D72">
        <v>694</v>
      </c>
      <c r="E72" s="1">
        <v>947625</v>
      </c>
      <c r="F72">
        <v>65</v>
      </c>
      <c r="G72">
        <v>8923.35</v>
      </c>
      <c r="H72">
        <v>18</v>
      </c>
      <c r="I72">
        <v>9</v>
      </c>
      <c r="J72">
        <v>93081</v>
      </c>
      <c r="K72">
        <v>397694</v>
      </c>
      <c r="L72" t="s">
        <v>47</v>
      </c>
      <c r="M72" t="s">
        <v>114</v>
      </c>
      <c r="N72" t="s">
        <v>26</v>
      </c>
      <c r="O72" t="s">
        <v>34</v>
      </c>
      <c r="P72" t="s">
        <v>22</v>
      </c>
      <c r="Q72" t="s">
        <v>23</v>
      </c>
      <c r="R72" t="b">
        <f>OR(Таблица1[[#This Row],[Ежемесячный платеж]]&lt;$AC$5, Таблица1[[#This Row],[Ежемесячный платеж]]&gt;$AC$6)</f>
        <v>0</v>
      </c>
      <c r="S72" s="9">
        <f>(Таблица1[[#This Row],[Размер кредита]]-21824)/(789096-21824)</f>
        <v>0.24684596857437779</v>
      </c>
      <c r="T72" s="9">
        <f>(Таблица1[[#This Row],[Кредитный рейтинг]]-586)/(751-586)</f>
        <v>0.65454545454545454</v>
      </c>
      <c r="U72" s="9">
        <f>Таблица1[[#This Row],[Ежемесячный платеж]]/(Таблица1[[#This Row],[Годовой доход]]/12)</f>
        <v>0.11299849624060151</v>
      </c>
    </row>
    <row r="73" spans="1:21" x14ac:dyDescent="0.3">
      <c r="A73">
        <v>72</v>
      </c>
      <c r="B73">
        <v>0</v>
      </c>
      <c r="C73" s="9">
        <v>162360</v>
      </c>
      <c r="D73">
        <v>720</v>
      </c>
      <c r="E73" s="1">
        <v>486875</v>
      </c>
      <c r="F73">
        <v>46</v>
      </c>
      <c r="G73">
        <v>8560.83</v>
      </c>
      <c r="H73">
        <v>15.1</v>
      </c>
      <c r="I73">
        <v>16</v>
      </c>
      <c r="J73">
        <v>129504</v>
      </c>
      <c r="K73">
        <v>434654</v>
      </c>
      <c r="L73" t="s">
        <v>24</v>
      </c>
      <c r="M73" t="s">
        <v>115</v>
      </c>
      <c r="N73" t="s">
        <v>26</v>
      </c>
      <c r="O73" t="s">
        <v>34</v>
      </c>
      <c r="P73" t="s">
        <v>22</v>
      </c>
      <c r="Q73" t="s">
        <v>23</v>
      </c>
      <c r="R73" t="b">
        <f>OR(Таблица1[[#This Row],[Ежемесячный платеж]]&lt;$AC$5, Таблица1[[#This Row],[Ежемесячный платеж]]&gt;$AC$6)</f>
        <v>0</v>
      </c>
      <c r="S73" s="9">
        <f>(Таблица1[[#This Row],[Размер кредита]]-21824)/(789096-21824)</f>
        <v>0.18316320678976947</v>
      </c>
      <c r="T73" s="9">
        <f>(Таблица1[[#This Row],[Кредитный рейтинг]]-586)/(751-586)</f>
        <v>0.81212121212121213</v>
      </c>
      <c r="U73" s="9">
        <f>Таблица1[[#This Row],[Ежемесячный платеж]]/(Таблица1[[#This Row],[Годовой доход]]/12)</f>
        <v>0.21099863414634148</v>
      </c>
    </row>
    <row r="74" spans="1:21" x14ac:dyDescent="0.3">
      <c r="A74">
        <v>73</v>
      </c>
      <c r="B74">
        <v>0</v>
      </c>
      <c r="D74">
        <v>699</v>
      </c>
      <c r="E74" s="1">
        <v>2770162</v>
      </c>
      <c r="F74">
        <v>25</v>
      </c>
      <c r="G74">
        <v>48708.4</v>
      </c>
      <c r="H74">
        <v>25.6</v>
      </c>
      <c r="I74">
        <v>13</v>
      </c>
      <c r="J74">
        <v>348802</v>
      </c>
      <c r="K74">
        <v>449262</v>
      </c>
      <c r="L74" t="s">
        <v>32</v>
      </c>
      <c r="M74" t="s">
        <v>116</v>
      </c>
      <c r="N74" t="s">
        <v>26</v>
      </c>
      <c r="O74" t="s">
        <v>21</v>
      </c>
      <c r="P74" t="s">
        <v>22</v>
      </c>
      <c r="Q74" t="s">
        <v>23</v>
      </c>
      <c r="R74" t="b">
        <f>OR(Таблица1[[#This Row],[Ежемесячный платеж]]&lt;$AC$5, Таблица1[[#This Row],[Ежемесячный платеж]]&gt;$AC$6)</f>
        <v>1</v>
      </c>
      <c r="T74" s="9">
        <f>(Таблица1[[#This Row],[Кредитный рейтинг]]-586)/(751-586)</f>
        <v>0.68484848484848482</v>
      </c>
      <c r="U74" s="9">
        <f>Таблица1[[#This Row],[Ежемесячный платеж]]/(Таблица1[[#This Row],[Годовой доход]]/12)</f>
        <v>0.21099877913277273</v>
      </c>
    </row>
    <row r="75" spans="1:21" x14ac:dyDescent="0.3">
      <c r="A75">
        <v>74</v>
      </c>
      <c r="B75">
        <v>0</v>
      </c>
      <c r="C75" s="9">
        <v>311058</v>
      </c>
      <c r="D75">
        <v>675</v>
      </c>
      <c r="E75" s="1">
        <v>1343167</v>
      </c>
      <c r="F75">
        <v>17</v>
      </c>
      <c r="G75">
        <v>21378.799999999999</v>
      </c>
      <c r="H75">
        <v>31.4</v>
      </c>
      <c r="I75">
        <v>11</v>
      </c>
      <c r="J75">
        <v>247912</v>
      </c>
      <c r="K75">
        <v>541596</v>
      </c>
      <c r="L75" t="s">
        <v>24</v>
      </c>
      <c r="M75" t="s">
        <v>117</v>
      </c>
      <c r="N75" t="s">
        <v>26</v>
      </c>
      <c r="O75" t="s">
        <v>21</v>
      </c>
      <c r="P75" t="s">
        <v>31</v>
      </c>
      <c r="Q75" t="s">
        <v>23</v>
      </c>
      <c r="R75" t="b">
        <f>OR(Таблица1[[#This Row],[Ежемесячный платеж]]&lt;$AC$5, Таблица1[[#This Row],[Ежемесячный платеж]]&gt;$AC$6)</f>
        <v>0</v>
      </c>
      <c r="S75" s="9">
        <f>(Таблица1[[#This Row],[Размер кредита]]-21824)/(789096-21824)</f>
        <v>0.37696410138777381</v>
      </c>
      <c r="T75" s="9">
        <f>(Таблица1[[#This Row],[Кредитный рейтинг]]-586)/(751-586)</f>
        <v>0.53939393939393943</v>
      </c>
      <c r="U75" s="9">
        <f>Таблица1[[#This Row],[Ежемесячный платеж]]/(Таблица1[[#This Row],[Годовой доход]]/12)</f>
        <v>0.19100052338986886</v>
      </c>
    </row>
    <row r="76" spans="1:21" x14ac:dyDescent="0.3">
      <c r="A76">
        <v>75</v>
      </c>
      <c r="B76">
        <v>0</v>
      </c>
      <c r="C76" s="9">
        <v>767536</v>
      </c>
      <c r="D76">
        <v>724</v>
      </c>
      <c r="E76" s="1">
        <v>6628720</v>
      </c>
      <c r="F76">
        <v>0</v>
      </c>
      <c r="G76">
        <v>53747.96</v>
      </c>
      <c r="H76">
        <v>29.5</v>
      </c>
      <c r="I76">
        <v>13</v>
      </c>
      <c r="J76">
        <v>1426425</v>
      </c>
      <c r="K76">
        <v>2510112</v>
      </c>
      <c r="L76" t="s">
        <v>24</v>
      </c>
      <c r="M76" t="s">
        <v>118</v>
      </c>
      <c r="N76" t="s">
        <v>26</v>
      </c>
      <c r="O76" t="s">
        <v>21</v>
      </c>
      <c r="P76" t="s">
        <v>31</v>
      </c>
      <c r="Q76" t="s">
        <v>23</v>
      </c>
      <c r="R76" t="b">
        <f>OR(Таблица1[[#This Row],[Ежемесячный платеж]]&lt;$AC$5, Таблица1[[#This Row],[Ежемесячный платеж]]&gt;$AC$6)</f>
        <v>1</v>
      </c>
      <c r="S76" s="9">
        <f>(Таблица1[[#This Row],[Размер кредита]]-21824)/(789096-21824)</f>
        <v>0.97190044729900216</v>
      </c>
      <c r="T76" s="9">
        <f>(Таблица1[[#This Row],[Кредитный рейтинг]]-586)/(751-586)</f>
        <v>0.83636363636363631</v>
      </c>
      <c r="U76" s="9">
        <f>Таблица1[[#This Row],[Ежемесячный платеж]]/(Таблица1[[#This Row],[Годовой доход]]/12)</f>
        <v>9.7300160513643652E-2</v>
      </c>
    </row>
    <row r="77" spans="1:21" x14ac:dyDescent="0.3">
      <c r="A77">
        <v>76</v>
      </c>
      <c r="B77">
        <v>0</v>
      </c>
      <c r="C77" s="9">
        <v>133034</v>
      </c>
      <c r="D77">
        <f>$Y$13</f>
        <v>723</v>
      </c>
      <c r="E77">
        <f>$AB$13</f>
        <v>1168044</v>
      </c>
      <c r="F77">
        <v>0</v>
      </c>
      <c r="G77">
        <v>30520.46</v>
      </c>
      <c r="H77">
        <v>13.8</v>
      </c>
      <c r="I77">
        <v>23</v>
      </c>
      <c r="J77">
        <v>113278</v>
      </c>
      <c r="K77">
        <v>1561406</v>
      </c>
      <c r="L77" t="s">
        <v>32</v>
      </c>
      <c r="M77" t="s">
        <v>119</v>
      </c>
      <c r="N77" t="s">
        <v>68</v>
      </c>
      <c r="O77" t="s">
        <v>28</v>
      </c>
      <c r="P77" t="s">
        <v>22</v>
      </c>
      <c r="Q77" t="s">
        <v>36</v>
      </c>
      <c r="R77" t="b">
        <f>OR(Таблица1[[#This Row],[Ежемесячный платеж]]&lt;$AC$5, Таблица1[[#This Row],[Ежемесячный платеж]]&gt;$AC$6)</f>
        <v>0</v>
      </c>
      <c r="S77" s="9">
        <f>(Таблица1[[#This Row],[Размер кредита]]-21824)/(789096-21824)</f>
        <v>0.1449420805138204</v>
      </c>
      <c r="T77" s="9">
        <f>(Таблица1[[#This Row],[Кредитный рейтинг]]-586)/(751-586)</f>
        <v>0.83030303030303032</v>
      </c>
      <c r="U77" s="9">
        <f>Таблица1[[#This Row],[Ежемесячный платеж]]/(Таблица1[[#This Row],[Годовой доход]]/12)</f>
        <v>0.31355455787624437</v>
      </c>
    </row>
    <row r="78" spans="1:21" x14ac:dyDescent="0.3">
      <c r="A78">
        <v>77</v>
      </c>
      <c r="B78">
        <v>1</v>
      </c>
      <c r="C78" s="9">
        <v>389884</v>
      </c>
      <c r="D78">
        <v>657</v>
      </c>
      <c r="E78" s="1">
        <v>4776125</v>
      </c>
      <c r="F78">
        <v>4</v>
      </c>
      <c r="G78">
        <v>42985.22</v>
      </c>
      <c r="H78">
        <v>21.5</v>
      </c>
      <c r="I78">
        <v>14</v>
      </c>
      <c r="J78">
        <v>237500</v>
      </c>
      <c r="K78">
        <v>562386</v>
      </c>
      <c r="L78" t="s">
        <v>63</v>
      </c>
      <c r="M78" t="s">
        <v>120</v>
      </c>
      <c r="N78" t="s">
        <v>26</v>
      </c>
      <c r="O78" t="s">
        <v>21</v>
      </c>
      <c r="P78" t="s">
        <v>22</v>
      </c>
      <c r="Q78" t="s">
        <v>23</v>
      </c>
      <c r="R78" t="b">
        <f>OR(Таблица1[[#This Row],[Ежемесячный платеж]]&lt;$AC$5, Таблица1[[#This Row],[Ежемесячный платеж]]&gt;$AC$6)</f>
        <v>0</v>
      </c>
      <c r="S78" s="9">
        <f>(Таблица1[[#This Row],[Размер кредита]]-21824)/(789096-21824)</f>
        <v>0.47969950682417706</v>
      </c>
      <c r="T78" s="9">
        <f>(Таблица1[[#This Row],[Кредитный рейтинг]]-586)/(751-586)</f>
        <v>0.4303030303030303</v>
      </c>
      <c r="U78" s="9">
        <f>Таблица1[[#This Row],[Ежемесячный платеж]]/(Таблица1[[#This Row],[Годовой доход]]/12)</f>
        <v>0.10800023868722029</v>
      </c>
    </row>
    <row r="79" spans="1:21" x14ac:dyDescent="0.3">
      <c r="A79">
        <v>78</v>
      </c>
      <c r="B79">
        <v>1</v>
      </c>
      <c r="C79" s="9">
        <v>163966</v>
      </c>
      <c r="D79">
        <v>678</v>
      </c>
      <c r="E79" s="1">
        <v>719910</v>
      </c>
      <c r="F79">
        <v>0</v>
      </c>
      <c r="G79">
        <v>12778.26</v>
      </c>
      <c r="H79">
        <v>6.4</v>
      </c>
      <c r="I79">
        <v>9</v>
      </c>
      <c r="J79">
        <v>66025</v>
      </c>
      <c r="K79">
        <v>138248</v>
      </c>
      <c r="L79" t="s">
        <v>50</v>
      </c>
      <c r="M79" t="s">
        <v>121</v>
      </c>
      <c r="N79" t="s">
        <v>20</v>
      </c>
      <c r="O79" t="s">
        <v>21</v>
      </c>
      <c r="P79" t="s">
        <v>22</v>
      </c>
      <c r="Q79" t="s">
        <v>23</v>
      </c>
      <c r="R79" t="b">
        <f>OR(Таблица1[[#This Row],[Ежемесячный платеж]]&lt;$AC$5, Таблица1[[#This Row],[Ежемесячный платеж]]&gt;$AC$6)</f>
        <v>0</v>
      </c>
      <c r="S79" s="9">
        <f>(Таблица1[[#This Row],[Размер кредита]]-21824)/(789096-21824)</f>
        <v>0.1852563367358642</v>
      </c>
      <c r="T79" s="9">
        <f>(Таблица1[[#This Row],[Кредитный рейтинг]]-586)/(751-586)</f>
        <v>0.55757575757575761</v>
      </c>
      <c r="U79" s="9">
        <f>Таблица1[[#This Row],[Ежемесячный платеж]]/(Таблица1[[#This Row],[Годовой доход]]/12)</f>
        <v>0.21299762470308789</v>
      </c>
    </row>
    <row r="80" spans="1:21" x14ac:dyDescent="0.3">
      <c r="A80">
        <v>79</v>
      </c>
      <c r="B80">
        <v>0</v>
      </c>
      <c r="C80" s="9">
        <v>433312</v>
      </c>
      <c r="D80">
        <v>736</v>
      </c>
      <c r="E80" s="1">
        <v>1010401</v>
      </c>
      <c r="F80">
        <v>11</v>
      </c>
      <c r="G80">
        <v>22228.86</v>
      </c>
      <c r="H80">
        <v>16.100000000000001</v>
      </c>
      <c r="I80">
        <v>19</v>
      </c>
      <c r="J80">
        <v>201780</v>
      </c>
      <c r="K80">
        <v>613228</v>
      </c>
      <c r="L80" t="s">
        <v>52</v>
      </c>
      <c r="M80" t="s">
        <v>122</v>
      </c>
      <c r="N80" t="s">
        <v>26</v>
      </c>
      <c r="O80" t="s">
        <v>21</v>
      </c>
      <c r="P80" t="s">
        <v>22</v>
      </c>
      <c r="Q80" t="s">
        <v>23</v>
      </c>
      <c r="R80" t="b">
        <f>OR(Таблица1[[#This Row],[Ежемесячный платеж]]&lt;$AC$5, Таблица1[[#This Row],[Ежемесячный платеж]]&gt;$AC$6)</f>
        <v>0</v>
      </c>
      <c r="S80" s="9">
        <f>(Таблица1[[#This Row],[Размер кредита]]-21824)/(789096-21824)</f>
        <v>0.53630003440761553</v>
      </c>
      <c r="T80" s="9">
        <f>(Таблица1[[#This Row],[Кредитный рейтинг]]-586)/(751-586)</f>
        <v>0.90909090909090906</v>
      </c>
      <c r="U80" s="9">
        <f>Таблица1[[#This Row],[Ежемесячный платеж]]/(Таблица1[[#This Row],[Годовой доход]]/12)</f>
        <v>0.26400045130596667</v>
      </c>
    </row>
    <row r="81" spans="1:21" x14ac:dyDescent="0.3">
      <c r="A81">
        <v>80</v>
      </c>
      <c r="B81">
        <v>0</v>
      </c>
      <c r="D81">
        <v>737</v>
      </c>
      <c r="E81" s="1">
        <v>2015159</v>
      </c>
      <c r="F81">
        <v>54</v>
      </c>
      <c r="G81">
        <v>21494.89</v>
      </c>
      <c r="H81">
        <v>10.5</v>
      </c>
      <c r="I81">
        <v>16</v>
      </c>
      <c r="J81">
        <v>321214</v>
      </c>
      <c r="K81">
        <v>478060</v>
      </c>
      <c r="L81" t="s">
        <v>69</v>
      </c>
      <c r="M81" t="s">
        <v>123</v>
      </c>
      <c r="N81" t="s">
        <v>26</v>
      </c>
      <c r="O81" t="s">
        <v>21</v>
      </c>
      <c r="P81" t="s">
        <v>22</v>
      </c>
      <c r="Q81" t="s">
        <v>23</v>
      </c>
      <c r="R81" t="b">
        <f>OR(Таблица1[[#This Row],[Ежемесячный платеж]]&lt;$AC$5, Таблица1[[#This Row],[Ежемесячный платеж]]&gt;$AC$6)</f>
        <v>0</v>
      </c>
      <c r="T81" s="9">
        <f>(Таблица1[[#This Row],[Кредитный рейтинг]]-586)/(751-586)</f>
        <v>0.91515151515151516</v>
      </c>
      <c r="U81" s="9">
        <f>Таблица1[[#This Row],[Ежемесячный платеж]]/(Таблица1[[#This Row],[Годовой доход]]/12)</f>
        <v>0.12799917028879607</v>
      </c>
    </row>
    <row r="82" spans="1:21" x14ac:dyDescent="0.3">
      <c r="A82">
        <v>81</v>
      </c>
      <c r="B82">
        <v>0</v>
      </c>
      <c r="D82">
        <v>748</v>
      </c>
      <c r="E82" s="1">
        <v>1875680</v>
      </c>
      <c r="F82">
        <v>0</v>
      </c>
      <c r="G82">
        <v>9393.98</v>
      </c>
      <c r="H82">
        <v>13</v>
      </c>
      <c r="I82">
        <v>14</v>
      </c>
      <c r="J82">
        <v>232674</v>
      </c>
      <c r="K82">
        <v>1353858</v>
      </c>
      <c r="L82" t="s">
        <v>32</v>
      </c>
      <c r="M82" t="s">
        <v>124</v>
      </c>
      <c r="N82" t="s">
        <v>68</v>
      </c>
      <c r="O82" t="s">
        <v>34</v>
      </c>
      <c r="P82" t="s">
        <v>22</v>
      </c>
      <c r="Q82" t="s">
        <v>23</v>
      </c>
      <c r="R82" t="b">
        <f>OR(Таблица1[[#This Row],[Ежемесячный платеж]]&lt;$AC$5, Таблица1[[#This Row],[Ежемесячный платеж]]&gt;$AC$6)</f>
        <v>0</v>
      </c>
      <c r="T82" s="9">
        <f>(Таблица1[[#This Row],[Кредитный рейтинг]]-586)/(751-586)</f>
        <v>0.98181818181818181</v>
      </c>
      <c r="U82" s="9">
        <f>Таблица1[[#This Row],[Ежемесячный платеж]]/(Таблица1[[#This Row],[Годовой доход]]/12)</f>
        <v>6.0099675850891411E-2</v>
      </c>
    </row>
    <row r="83" spans="1:21" x14ac:dyDescent="0.3">
      <c r="A83">
        <v>82</v>
      </c>
      <c r="B83">
        <v>0</v>
      </c>
      <c r="C83" s="9">
        <v>89320</v>
      </c>
      <c r="D83">
        <v>748</v>
      </c>
      <c r="E83" s="1">
        <v>1832075</v>
      </c>
      <c r="F83">
        <v>0</v>
      </c>
      <c r="G83">
        <v>13312.92</v>
      </c>
      <c r="H83">
        <v>19</v>
      </c>
      <c r="I83">
        <v>6</v>
      </c>
      <c r="J83">
        <v>127946</v>
      </c>
      <c r="K83">
        <v>216260</v>
      </c>
      <c r="L83" t="s">
        <v>37</v>
      </c>
      <c r="M83" t="s">
        <v>125</v>
      </c>
      <c r="N83" t="s">
        <v>68</v>
      </c>
      <c r="O83" t="s">
        <v>21</v>
      </c>
      <c r="P83" t="s">
        <v>22</v>
      </c>
      <c r="Q83" t="s">
        <v>23</v>
      </c>
      <c r="R83" t="b">
        <f>OR(Таблица1[[#This Row],[Ежемесячный платеж]]&lt;$AC$5, Таблица1[[#This Row],[Ежемесячный платеж]]&gt;$AC$6)</f>
        <v>0</v>
      </c>
      <c r="S83" s="9">
        <f>(Таблица1[[#This Row],[Размер кредита]]-21824)/(789096-21824)</f>
        <v>8.7968803761899306E-2</v>
      </c>
      <c r="T83" s="9">
        <f>(Таблица1[[#This Row],[Кредитный рейтинг]]-586)/(751-586)</f>
        <v>0.98181818181818181</v>
      </c>
      <c r="U83" s="9">
        <f>Таблица1[[#This Row],[Ежемесячный платеж]]/(Таблица1[[#This Row],[Годовой доход]]/12)</f>
        <v>8.7198962924552773E-2</v>
      </c>
    </row>
    <row r="84" spans="1:21" x14ac:dyDescent="0.3">
      <c r="A84">
        <v>83</v>
      </c>
      <c r="B84">
        <v>0</v>
      </c>
      <c r="C84" s="9">
        <v>392282</v>
      </c>
      <c r="D84">
        <v>688</v>
      </c>
      <c r="E84" s="1">
        <v>974662</v>
      </c>
      <c r="F84">
        <v>10</v>
      </c>
      <c r="G84">
        <v>10396.42</v>
      </c>
      <c r="H84">
        <v>12</v>
      </c>
      <c r="I84">
        <v>11</v>
      </c>
      <c r="J84">
        <v>35663</v>
      </c>
      <c r="K84">
        <v>242946</v>
      </c>
      <c r="L84" t="s">
        <v>18</v>
      </c>
      <c r="M84" t="s">
        <v>126</v>
      </c>
      <c r="N84" t="s">
        <v>26</v>
      </c>
      <c r="O84" t="s">
        <v>21</v>
      </c>
      <c r="P84" t="s">
        <v>31</v>
      </c>
      <c r="Q84" t="s">
        <v>23</v>
      </c>
      <c r="R84" t="b">
        <f>OR(Таблица1[[#This Row],[Ежемесячный платеж]]&lt;$AC$5, Таблица1[[#This Row],[Ежемесячный платеж]]&gt;$AC$6)</f>
        <v>0</v>
      </c>
      <c r="S84" s="9">
        <f>(Таблица1[[#This Row],[Размер кредита]]-21824)/(789096-21824)</f>
        <v>0.4828248652368391</v>
      </c>
      <c r="T84" s="9">
        <f>(Таблица1[[#This Row],[Кредитный рейтинг]]-586)/(751-586)</f>
        <v>0.61818181818181817</v>
      </c>
      <c r="U84" s="9">
        <f>Таблица1[[#This Row],[Ежемесячный платеж]]/(Таблица1[[#This Row],[Годовой доход]]/12)</f>
        <v>0.12800031190299818</v>
      </c>
    </row>
    <row r="85" spans="1:21" x14ac:dyDescent="0.3">
      <c r="A85">
        <v>84</v>
      </c>
      <c r="B85">
        <v>0</v>
      </c>
      <c r="C85" s="9">
        <v>444620</v>
      </c>
      <c r="D85">
        <f>$Y$13</f>
        <v>723</v>
      </c>
      <c r="E85">
        <f>$AB$13</f>
        <v>1168044</v>
      </c>
      <c r="F85">
        <v>0</v>
      </c>
      <c r="G85">
        <v>15292.34</v>
      </c>
      <c r="H85">
        <v>11.8</v>
      </c>
      <c r="I85">
        <v>9</v>
      </c>
      <c r="J85">
        <v>373350</v>
      </c>
      <c r="K85">
        <v>522742</v>
      </c>
      <c r="L85" t="s">
        <v>41</v>
      </c>
      <c r="M85" t="s">
        <v>127</v>
      </c>
      <c r="N85" t="s">
        <v>20</v>
      </c>
      <c r="O85" t="s">
        <v>21</v>
      </c>
      <c r="P85" t="s">
        <v>22</v>
      </c>
      <c r="Q85" t="s">
        <v>23</v>
      </c>
      <c r="R85" t="b">
        <f>OR(Таблица1[[#This Row],[Ежемесячный платеж]]&lt;$AC$5, Таблица1[[#This Row],[Ежемесячный платеж]]&gt;$AC$6)</f>
        <v>0</v>
      </c>
      <c r="S85" s="9">
        <f>(Таблица1[[#This Row],[Размер кредита]]-21824)/(789096-21824)</f>
        <v>0.55103796306915931</v>
      </c>
      <c r="T85" s="9">
        <f>(Таблица1[[#This Row],[Кредитный рейтинг]]-586)/(751-586)</f>
        <v>0.83030303030303032</v>
      </c>
      <c r="U85" s="9">
        <f>Таблица1[[#This Row],[Ежемесячный платеж]]/(Таблица1[[#This Row],[Годовой доход]]/12)</f>
        <v>0.1571071637712278</v>
      </c>
    </row>
    <row r="86" spans="1:21" x14ac:dyDescent="0.3">
      <c r="A86">
        <v>85</v>
      </c>
      <c r="B86">
        <v>0</v>
      </c>
      <c r="C86" s="9">
        <v>262988</v>
      </c>
      <c r="D86">
        <v>743</v>
      </c>
      <c r="E86" s="1">
        <v>1340279</v>
      </c>
      <c r="F86">
        <v>35</v>
      </c>
      <c r="G86">
        <v>9348.3799999999992</v>
      </c>
      <c r="H86">
        <v>28.2</v>
      </c>
      <c r="I86">
        <v>9</v>
      </c>
      <c r="J86">
        <v>499548</v>
      </c>
      <c r="K86">
        <v>681296</v>
      </c>
      <c r="L86" t="s">
        <v>24</v>
      </c>
      <c r="M86" t="s">
        <v>128</v>
      </c>
      <c r="N86" t="s">
        <v>26</v>
      </c>
      <c r="O86" t="s">
        <v>34</v>
      </c>
      <c r="P86" t="s">
        <v>22</v>
      </c>
      <c r="Q86" t="s">
        <v>23</v>
      </c>
      <c r="R86" t="b">
        <f>OR(Таблица1[[#This Row],[Ежемесячный платеж]]&lt;$AC$5, Таблица1[[#This Row],[Ежемесячный платеж]]&gt;$AC$6)</f>
        <v>0</v>
      </c>
      <c r="S86" s="9">
        <f>(Таблица1[[#This Row],[Размер кредита]]-21824)/(789096-21824)</f>
        <v>0.31431356806973276</v>
      </c>
      <c r="T86" s="9">
        <f>(Таблица1[[#This Row],[Кредитный рейтинг]]-586)/(751-586)</f>
        <v>0.95151515151515154</v>
      </c>
      <c r="U86" s="9">
        <f>Таблица1[[#This Row],[Ежемесячный платеж]]/(Таблица1[[#This Row],[Годовой доход]]/12)</f>
        <v>8.3699408854425075E-2</v>
      </c>
    </row>
    <row r="87" spans="1:21" x14ac:dyDescent="0.3">
      <c r="A87">
        <v>86</v>
      </c>
      <c r="B87">
        <v>0</v>
      </c>
      <c r="C87" s="9">
        <v>498586</v>
      </c>
      <c r="D87">
        <v>666</v>
      </c>
      <c r="E87" s="1">
        <v>1351679</v>
      </c>
      <c r="F87">
        <v>0</v>
      </c>
      <c r="G87">
        <v>32214.880000000001</v>
      </c>
      <c r="H87">
        <v>12.2</v>
      </c>
      <c r="I87">
        <v>15</v>
      </c>
      <c r="J87">
        <v>205637</v>
      </c>
      <c r="K87">
        <v>433686</v>
      </c>
      <c r="L87" t="s">
        <v>29</v>
      </c>
      <c r="M87" t="s">
        <v>129</v>
      </c>
      <c r="N87" t="s">
        <v>68</v>
      </c>
      <c r="O87" t="s">
        <v>34</v>
      </c>
      <c r="P87" t="s">
        <v>31</v>
      </c>
      <c r="Q87" t="s">
        <v>23</v>
      </c>
      <c r="R87" t="b">
        <f>OR(Таблица1[[#This Row],[Ежемесячный платеж]]&lt;$AC$5, Таблица1[[#This Row],[Ежемесячный платеж]]&gt;$AC$6)</f>
        <v>0</v>
      </c>
      <c r="S87" s="9">
        <f>(Таблица1[[#This Row],[Размер кредита]]-21824)/(789096-21824)</f>
        <v>0.62137286386053447</v>
      </c>
      <c r="T87" s="9">
        <f>(Таблица1[[#This Row],[Кредитный рейтинг]]-586)/(751-586)</f>
        <v>0.48484848484848486</v>
      </c>
      <c r="U87" s="9">
        <f>Таблица1[[#This Row],[Ежемесячный платеж]]/(Таблица1[[#This Row],[Годовой доход]]/12)</f>
        <v>0.28599879113310184</v>
      </c>
    </row>
    <row r="88" spans="1:21" x14ac:dyDescent="0.3">
      <c r="A88">
        <v>87</v>
      </c>
      <c r="B88">
        <v>0</v>
      </c>
      <c r="C88" s="9">
        <v>378334</v>
      </c>
      <c r="D88">
        <v>714</v>
      </c>
      <c r="E88" s="1">
        <v>2120514</v>
      </c>
      <c r="F88">
        <v>24</v>
      </c>
      <c r="G88">
        <v>35695.300000000003</v>
      </c>
      <c r="H88">
        <v>17</v>
      </c>
      <c r="I88">
        <v>12</v>
      </c>
      <c r="J88">
        <v>75335</v>
      </c>
      <c r="K88">
        <v>413402</v>
      </c>
      <c r="L88" t="s">
        <v>41</v>
      </c>
      <c r="M88" t="s">
        <v>130</v>
      </c>
      <c r="N88" t="s">
        <v>26</v>
      </c>
      <c r="O88" t="s">
        <v>34</v>
      </c>
      <c r="P88" t="s">
        <v>22</v>
      </c>
      <c r="Q88" t="s">
        <v>23</v>
      </c>
      <c r="R88" t="b">
        <f>OR(Таблица1[[#This Row],[Ежемесячный платеж]]&lt;$AC$5, Таблица1[[#This Row],[Ежемесячный платеж]]&gt;$AC$6)</f>
        <v>0</v>
      </c>
      <c r="S88" s="9">
        <f>(Таблица1[[#This Row],[Размер кредита]]-21824)/(789096-21824)</f>
        <v>0.46464617502007111</v>
      </c>
      <c r="T88" s="9">
        <f>(Таблица1[[#This Row],[Кредитный рейтинг]]-586)/(751-586)</f>
        <v>0.77575757575757576</v>
      </c>
      <c r="U88" s="9">
        <f>Таблица1[[#This Row],[Ежемесячный платеж]]/(Таблица1[[#This Row],[Годовой доход]]/12)</f>
        <v>0.20199989247889899</v>
      </c>
    </row>
    <row r="89" spans="1:21" x14ac:dyDescent="0.3">
      <c r="A89">
        <v>88</v>
      </c>
      <c r="B89">
        <v>0</v>
      </c>
      <c r="D89">
        <v>734</v>
      </c>
      <c r="E89" s="1">
        <v>1355802</v>
      </c>
      <c r="F89">
        <v>31</v>
      </c>
      <c r="G89">
        <v>15365.68</v>
      </c>
      <c r="H89">
        <v>44.5</v>
      </c>
      <c r="I89">
        <v>8</v>
      </c>
      <c r="J89">
        <v>25441</v>
      </c>
      <c r="K89">
        <v>1841796</v>
      </c>
      <c r="L89" t="s">
        <v>29</v>
      </c>
      <c r="M89" t="s">
        <v>131</v>
      </c>
      <c r="N89" t="s">
        <v>26</v>
      </c>
      <c r="O89" t="s">
        <v>34</v>
      </c>
      <c r="P89" t="s">
        <v>22</v>
      </c>
      <c r="Q89" t="s">
        <v>23</v>
      </c>
      <c r="R89" t="b">
        <f>OR(Таблица1[[#This Row],[Ежемесячный платеж]]&lt;$AC$5, Таблица1[[#This Row],[Ежемесячный платеж]]&gt;$AC$6)</f>
        <v>0</v>
      </c>
      <c r="T89" s="9">
        <f>(Таблица1[[#This Row],[Кредитный рейтинг]]-586)/(751-586)</f>
        <v>0.89696969696969697</v>
      </c>
      <c r="U89" s="9">
        <f>Таблица1[[#This Row],[Ежемесячный платеж]]/(Таблица1[[#This Row],[Годовой доход]]/12)</f>
        <v>0.13599932733540737</v>
      </c>
    </row>
    <row r="90" spans="1:21" x14ac:dyDescent="0.3">
      <c r="A90">
        <v>89</v>
      </c>
      <c r="B90">
        <v>1</v>
      </c>
      <c r="C90" s="9">
        <v>194942</v>
      </c>
      <c r="D90">
        <v>742</v>
      </c>
      <c r="E90" s="1">
        <v>1212238</v>
      </c>
      <c r="F90">
        <v>19</v>
      </c>
      <c r="G90">
        <v>25254.99</v>
      </c>
      <c r="H90">
        <v>27.4</v>
      </c>
      <c r="I90">
        <v>13</v>
      </c>
      <c r="J90">
        <v>176396</v>
      </c>
      <c r="K90">
        <v>339834</v>
      </c>
      <c r="L90" t="s">
        <v>63</v>
      </c>
      <c r="M90" t="s">
        <v>132</v>
      </c>
      <c r="N90" t="s">
        <v>26</v>
      </c>
      <c r="O90" t="s">
        <v>34</v>
      </c>
      <c r="P90" t="s">
        <v>22</v>
      </c>
      <c r="Q90" t="s">
        <v>36</v>
      </c>
      <c r="R90" t="b">
        <f>OR(Таблица1[[#This Row],[Ежемесячный платеж]]&lt;$AC$5, Таблица1[[#This Row],[Ежемесячный платеж]]&gt;$AC$6)</f>
        <v>0</v>
      </c>
      <c r="S90" s="9">
        <f>(Таблица1[[#This Row],[Размер кредита]]-21824)/(789096-21824)</f>
        <v>0.22562793898382841</v>
      </c>
      <c r="T90" s="9">
        <f>(Таблица1[[#This Row],[Кредитный рейтинг]]-586)/(751-586)</f>
        <v>0.94545454545454544</v>
      </c>
      <c r="U90" s="9">
        <f>Таблица1[[#This Row],[Ежемесячный платеж]]/(Таблица1[[#This Row],[Годовой доход]]/12)</f>
        <v>0.25000031346979723</v>
      </c>
    </row>
    <row r="91" spans="1:21" x14ac:dyDescent="0.3">
      <c r="A91">
        <v>90</v>
      </c>
      <c r="B91">
        <v>0</v>
      </c>
      <c r="C91" s="9">
        <v>731566</v>
      </c>
      <c r="D91">
        <v>705</v>
      </c>
      <c r="E91" s="1">
        <v>1377443</v>
      </c>
      <c r="F91">
        <v>65</v>
      </c>
      <c r="G91">
        <v>13429.96</v>
      </c>
      <c r="H91">
        <v>20.399999999999999</v>
      </c>
      <c r="I91">
        <v>18</v>
      </c>
      <c r="J91">
        <v>563008</v>
      </c>
      <c r="K91">
        <v>1070432</v>
      </c>
      <c r="L91" t="s">
        <v>24</v>
      </c>
      <c r="M91" t="s">
        <v>133</v>
      </c>
      <c r="N91" t="s">
        <v>26</v>
      </c>
      <c r="O91" t="s">
        <v>21</v>
      </c>
      <c r="P91" t="s">
        <v>22</v>
      </c>
      <c r="Q91" t="s">
        <v>23</v>
      </c>
      <c r="R91" t="b">
        <f>OR(Таблица1[[#This Row],[Ежемесячный платеж]]&lt;$AC$5, Таблица1[[#This Row],[Ежемесячный платеж]]&gt;$AC$6)</f>
        <v>0</v>
      </c>
      <c r="S91" s="9">
        <f>(Таблица1[[#This Row],[Размер кредита]]-21824)/(789096-21824)</f>
        <v>0.92502007110907214</v>
      </c>
      <c r="T91" s="9">
        <f>(Таблица1[[#This Row],[Кредитный рейтинг]]-586)/(751-586)</f>
        <v>0.72121212121212119</v>
      </c>
      <c r="U91" s="9">
        <f>Таблица1[[#This Row],[Ежемесячный платеж]]/(Таблица1[[#This Row],[Годовой доход]]/12)</f>
        <v>0.11699904823647873</v>
      </c>
    </row>
    <row r="92" spans="1:21" x14ac:dyDescent="0.3">
      <c r="A92">
        <v>91</v>
      </c>
      <c r="B92">
        <v>0</v>
      </c>
      <c r="C92" s="9">
        <v>479358</v>
      </c>
      <c r="D92">
        <f>$Y$13</f>
        <v>723</v>
      </c>
      <c r="E92">
        <f>$AB$13</f>
        <v>1168044</v>
      </c>
      <c r="F92">
        <v>41</v>
      </c>
      <c r="G92">
        <v>22659.59</v>
      </c>
      <c r="H92">
        <v>22.4</v>
      </c>
      <c r="I92">
        <v>13</v>
      </c>
      <c r="J92">
        <v>807462</v>
      </c>
      <c r="K92">
        <v>1391302</v>
      </c>
      <c r="L92" t="s">
        <v>24</v>
      </c>
      <c r="M92" t="s">
        <v>134</v>
      </c>
      <c r="N92" t="s">
        <v>26</v>
      </c>
      <c r="O92" t="s">
        <v>34</v>
      </c>
      <c r="P92" t="s">
        <v>22</v>
      </c>
      <c r="Q92" t="s">
        <v>23</v>
      </c>
      <c r="R92" t="b">
        <f>OR(Таблица1[[#This Row],[Ежемесячный платеж]]&lt;$AC$5, Таблица1[[#This Row],[Ежемесячный платеж]]&gt;$AC$6)</f>
        <v>0</v>
      </c>
      <c r="S92" s="9">
        <f>(Таблица1[[#This Row],[Размер кредита]]-21824)/(789096-21824)</f>
        <v>0.59631265053331806</v>
      </c>
      <c r="T92" s="9">
        <f>(Таблица1[[#This Row],[Кредитный рейтинг]]-586)/(751-586)</f>
        <v>0.83030303030303032</v>
      </c>
      <c r="U92" s="9">
        <f>Таблица1[[#This Row],[Ежемесячный платеж]]/(Таблица1[[#This Row],[Годовой доход]]/12)</f>
        <v>0.2327952371657232</v>
      </c>
    </row>
    <row r="93" spans="1:21" x14ac:dyDescent="0.3">
      <c r="A93">
        <v>92</v>
      </c>
      <c r="B93">
        <v>0</v>
      </c>
      <c r="C93" s="9">
        <v>336908</v>
      </c>
      <c r="D93">
        <f>$Y$13</f>
        <v>723</v>
      </c>
      <c r="E93">
        <f>$AB$13</f>
        <v>1168044</v>
      </c>
      <c r="F93">
        <v>0</v>
      </c>
      <c r="G93">
        <v>6652.47</v>
      </c>
      <c r="H93">
        <v>29.1</v>
      </c>
      <c r="I93">
        <v>8</v>
      </c>
      <c r="J93">
        <v>277419</v>
      </c>
      <c r="K93">
        <v>1119250</v>
      </c>
      <c r="L93" t="s">
        <v>24</v>
      </c>
      <c r="M93" t="s">
        <v>135</v>
      </c>
      <c r="N93" t="s">
        <v>26</v>
      </c>
      <c r="O93" t="s">
        <v>34</v>
      </c>
      <c r="P93" t="s">
        <v>22</v>
      </c>
      <c r="Q93" t="s">
        <v>23</v>
      </c>
      <c r="R93" t="b">
        <f>OR(Таблица1[[#This Row],[Ежемесячный платеж]]&lt;$AC$5, Таблица1[[#This Row],[Ежемесячный платеж]]&gt;$AC$6)</f>
        <v>0</v>
      </c>
      <c r="S93" s="9">
        <f>(Таблица1[[#This Row],[Размер кредита]]-21824)/(789096-21824)</f>
        <v>0.41065489161601099</v>
      </c>
      <c r="T93" s="9">
        <f>(Таблица1[[#This Row],[Кредитный рейтинг]]-586)/(751-586)</f>
        <v>0.83030303030303032</v>
      </c>
      <c r="U93" s="9">
        <f>Таблица1[[#This Row],[Ежемесячный платеж]]/(Таблица1[[#This Row],[Годовой доход]]/12)</f>
        <v>6.8344719890689049E-2</v>
      </c>
    </row>
    <row r="94" spans="1:21" x14ac:dyDescent="0.3">
      <c r="A94">
        <v>93</v>
      </c>
      <c r="B94">
        <v>0</v>
      </c>
      <c r="C94" s="9">
        <v>270116</v>
      </c>
      <c r="D94">
        <f>$Y$13</f>
        <v>723</v>
      </c>
      <c r="E94">
        <f>$AB$13</f>
        <v>1168044</v>
      </c>
      <c r="F94">
        <v>0</v>
      </c>
      <c r="G94">
        <v>15649.92</v>
      </c>
      <c r="H94">
        <v>31.3</v>
      </c>
      <c r="I94">
        <v>22</v>
      </c>
      <c r="J94">
        <v>648850</v>
      </c>
      <c r="K94">
        <v>3996322</v>
      </c>
      <c r="L94" t="s">
        <v>41</v>
      </c>
      <c r="M94" t="s">
        <v>136</v>
      </c>
      <c r="N94" t="s">
        <v>26</v>
      </c>
      <c r="O94" t="s">
        <v>21</v>
      </c>
      <c r="P94" t="s">
        <v>22</v>
      </c>
      <c r="Q94" t="s">
        <v>23</v>
      </c>
      <c r="R94" t="b">
        <f>OR(Таблица1[[#This Row],[Ежемесячный платеж]]&lt;$AC$5, Таблица1[[#This Row],[Ежемесячный платеж]]&gt;$AC$6)</f>
        <v>0</v>
      </c>
      <c r="S94" s="9">
        <f>(Таблица1[[#This Row],[Размер кредита]]-21824)/(789096-21824)</f>
        <v>0.32360362426883815</v>
      </c>
      <c r="T94" s="9">
        <f>(Таблица1[[#This Row],[Кредитный рейтинг]]-586)/(751-586)</f>
        <v>0.83030303030303032</v>
      </c>
      <c r="U94" s="9">
        <f>Таблица1[[#This Row],[Ежемесячный платеж]]/(Таблица1[[#This Row],[Годовой доход]]/12)</f>
        <v>0.16078079250439195</v>
      </c>
    </row>
    <row r="95" spans="1:21" x14ac:dyDescent="0.3">
      <c r="A95">
        <v>94</v>
      </c>
      <c r="B95">
        <v>0</v>
      </c>
      <c r="C95" s="9">
        <v>156772</v>
      </c>
      <c r="D95">
        <v>748</v>
      </c>
      <c r="E95" s="1">
        <v>1411966</v>
      </c>
      <c r="F95">
        <v>73</v>
      </c>
      <c r="G95">
        <v>22591.38</v>
      </c>
      <c r="H95">
        <v>18</v>
      </c>
      <c r="I95">
        <v>10</v>
      </c>
      <c r="J95">
        <v>38456</v>
      </c>
      <c r="K95">
        <v>251548</v>
      </c>
      <c r="L95" t="s">
        <v>69</v>
      </c>
      <c r="M95" t="s">
        <v>137</v>
      </c>
      <c r="N95" t="s">
        <v>20</v>
      </c>
      <c r="O95" t="s">
        <v>21</v>
      </c>
      <c r="P95" t="s">
        <v>22</v>
      </c>
      <c r="Q95" t="s">
        <v>23</v>
      </c>
      <c r="R95" t="b">
        <f>OR(Таблица1[[#This Row],[Ежемесячный платеж]]&lt;$AC$5, Таблица1[[#This Row],[Ежемесячный платеж]]&gt;$AC$6)</f>
        <v>0</v>
      </c>
      <c r="S95" s="9">
        <f>(Таблица1[[#This Row],[Размер кредита]]-21824)/(789096-21824)</f>
        <v>0.17588026149787819</v>
      </c>
      <c r="T95" s="9">
        <f>(Таблица1[[#This Row],[Кредитный рейтинг]]-586)/(751-586)</f>
        <v>0.98181818181818181</v>
      </c>
      <c r="U95" s="9">
        <f>Таблица1[[#This Row],[Ежемесячный платеж]]/(Таблица1[[#This Row],[Годовой доход]]/12)</f>
        <v>0.19199935409209573</v>
      </c>
    </row>
    <row r="96" spans="1:21" x14ac:dyDescent="0.3">
      <c r="A96">
        <v>95</v>
      </c>
      <c r="B96">
        <v>0</v>
      </c>
      <c r="C96" s="9">
        <v>306548</v>
      </c>
      <c r="D96">
        <f>$Y$13</f>
        <v>723</v>
      </c>
      <c r="E96">
        <f>$AB$13</f>
        <v>1168044</v>
      </c>
      <c r="F96">
        <v>0</v>
      </c>
      <c r="G96">
        <v>11157.37</v>
      </c>
      <c r="H96">
        <v>17.5</v>
      </c>
      <c r="I96">
        <v>10</v>
      </c>
      <c r="J96">
        <v>200127</v>
      </c>
      <c r="K96">
        <v>387508</v>
      </c>
      <c r="L96" t="s">
        <v>69</v>
      </c>
      <c r="M96" t="s">
        <v>138</v>
      </c>
      <c r="N96" t="s">
        <v>26</v>
      </c>
      <c r="O96" t="s">
        <v>34</v>
      </c>
      <c r="P96" t="s">
        <v>22</v>
      </c>
      <c r="Q96" t="s">
        <v>23</v>
      </c>
      <c r="R96" t="b">
        <f>OR(Таблица1[[#This Row],[Ежемесячный платеж]]&lt;$AC$5, Таблица1[[#This Row],[Ежемесячный платеж]]&gt;$AC$6)</f>
        <v>0</v>
      </c>
      <c r="S96" s="9">
        <f>(Таблица1[[#This Row],[Размер кредита]]-21824)/(789096-21824)</f>
        <v>0.37108613373093247</v>
      </c>
      <c r="T96" s="9">
        <f>(Таблица1[[#This Row],[Кредитный рейтинг]]-586)/(751-586)</f>
        <v>0.83030303030303032</v>
      </c>
      <c r="U96" s="9">
        <f>Таблица1[[#This Row],[Ежемесячный платеж]]/(Таблица1[[#This Row],[Годовой доход]]/12)</f>
        <v>0.11462619558852236</v>
      </c>
    </row>
    <row r="97" spans="1:21" x14ac:dyDescent="0.3">
      <c r="A97">
        <v>96</v>
      </c>
      <c r="B97">
        <v>0</v>
      </c>
      <c r="C97" s="9">
        <v>432080</v>
      </c>
      <c r="D97">
        <f>$Y$13</f>
        <v>723</v>
      </c>
      <c r="E97">
        <f>$AB$13</f>
        <v>1168044</v>
      </c>
      <c r="F97">
        <v>24</v>
      </c>
      <c r="G97">
        <v>35360.14</v>
      </c>
      <c r="H97">
        <v>17.899999999999999</v>
      </c>
      <c r="I97">
        <v>22</v>
      </c>
      <c r="J97">
        <v>160550</v>
      </c>
      <c r="K97">
        <v>685982</v>
      </c>
      <c r="L97" t="s">
        <v>24</v>
      </c>
      <c r="M97" t="s">
        <v>139</v>
      </c>
      <c r="N97" t="s">
        <v>26</v>
      </c>
      <c r="O97" t="s">
        <v>34</v>
      </c>
      <c r="P97" t="s">
        <v>22</v>
      </c>
      <c r="Q97" t="s">
        <v>23</v>
      </c>
      <c r="R97" t="b">
        <f>OR(Таблица1[[#This Row],[Ежемесячный платеж]]&lt;$AC$5, Таблица1[[#This Row],[Ежемесячный платеж]]&gt;$AC$6)</f>
        <v>0</v>
      </c>
      <c r="S97" s="9">
        <f>(Таблица1[[#This Row],[Размер кредита]]-21824)/(789096-21824)</f>
        <v>0.53469434568184426</v>
      </c>
      <c r="T97" s="9">
        <f>(Таблица1[[#This Row],[Кредитный рейтинг]]-586)/(751-586)</f>
        <v>0.83030303030303032</v>
      </c>
      <c r="U97" s="9">
        <f>Таблица1[[#This Row],[Ежемесячный платеж]]/(Таблица1[[#This Row],[Годовой доход]]/12)</f>
        <v>0.36327542455592426</v>
      </c>
    </row>
    <row r="98" spans="1:21" x14ac:dyDescent="0.3">
      <c r="A98">
        <v>97</v>
      </c>
      <c r="B98">
        <v>2</v>
      </c>
      <c r="C98" s="9">
        <v>158818</v>
      </c>
      <c r="D98">
        <v>731</v>
      </c>
      <c r="E98" s="1">
        <v>315666</v>
      </c>
      <c r="F98">
        <v>60</v>
      </c>
      <c r="G98">
        <v>8522.83</v>
      </c>
      <c r="H98">
        <v>31.3</v>
      </c>
      <c r="I98">
        <v>13</v>
      </c>
      <c r="J98">
        <v>260072</v>
      </c>
      <c r="K98">
        <v>756646</v>
      </c>
      <c r="L98" t="s">
        <v>24</v>
      </c>
      <c r="M98" t="s">
        <v>140</v>
      </c>
      <c r="N98" t="s">
        <v>26</v>
      </c>
      <c r="O98" t="s">
        <v>28</v>
      </c>
      <c r="P98" t="s">
        <v>22</v>
      </c>
      <c r="Q98" t="s">
        <v>23</v>
      </c>
      <c r="R98" t="b">
        <f>OR(Таблица1[[#This Row],[Ежемесячный платеж]]&lt;$AC$5, Таблица1[[#This Row],[Ежемесячный платеж]]&gt;$AC$6)</f>
        <v>0</v>
      </c>
      <c r="S98" s="9">
        <f>(Таблица1[[#This Row],[Размер кредита]]-21824)/(789096-21824)</f>
        <v>0.17854685170317697</v>
      </c>
      <c r="T98" s="9">
        <f>(Таблица1[[#This Row],[Кредитный рейтинг]]-586)/(751-586)</f>
        <v>0.87878787878787878</v>
      </c>
      <c r="U98" s="9">
        <f>Таблица1[[#This Row],[Ежемесячный платеж]]/(Таблица1[[#This Row],[Годовой доход]]/12)</f>
        <v>0.32399422174070064</v>
      </c>
    </row>
    <row r="99" spans="1:21" x14ac:dyDescent="0.3">
      <c r="A99">
        <v>98</v>
      </c>
      <c r="B99">
        <v>0</v>
      </c>
      <c r="C99" s="9">
        <v>78738</v>
      </c>
      <c r="D99">
        <v>624</v>
      </c>
      <c r="E99" s="1">
        <v>536370</v>
      </c>
      <c r="F99">
        <v>15</v>
      </c>
      <c r="G99">
        <v>14034.92</v>
      </c>
      <c r="H99">
        <v>10.5</v>
      </c>
      <c r="I99">
        <v>14</v>
      </c>
      <c r="J99">
        <v>138586</v>
      </c>
      <c r="K99">
        <v>266112</v>
      </c>
      <c r="L99" t="s">
        <v>41</v>
      </c>
      <c r="M99" t="s">
        <v>141</v>
      </c>
      <c r="N99" t="s">
        <v>68</v>
      </c>
      <c r="O99" t="s">
        <v>34</v>
      </c>
      <c r="P99" t="s">
        <v>22</v>
      </c>
      <c r="Q99" t="s">
        <v>36</v>
      </c>
      <c r="R99" t="b">
        <f>OR(Таблица1[[#This Row],[Ежемесячный платеж]]&lt;$AC$5, Таблица1[[#This Row],[Ежемесячный платеж]]&gt;$AC$6)</f>
        <v>0</v>
      </c>
      <c r="S99" s="9">
        <f>(Таблица1[[#This Row],[Размер кредита]]-21824)/(789096-21824)</f>
        <v>7.4177084528042211E-2</v>
      </c>
      <c r="T99" s="9">
        <f>(Таблица1[[#This Row],[Кредитный рейтинг]]-586)/(751-586)</f>
        <v>0.23030303030303031</v>
      </c>
      <c r="U99" s="9">
        <f>Таблица1[[#This Row],[Ежемесячный платеж]]/(Таблица1[[#This Row],[Годовой доход]]/12)</f>
        <v>0.31399787460148776</v>
      </c>
    </row>
    <row r="100" spans="1:21" x14ac:dyDescent="0.3">
      <c r="A100">
        <v>99</v>
      </c>
      <c r="B100">
        <v>1</v>
      </c>
      <c r="C100" s="9">
        <v>453464</v>
      </c>
      <c r="D100">
        <v>712</v>
      </c>
      <c r="E100" s="1">
        <v>895147</v>
      </c>
      <c r="F100">
        <v>77</v>
      </c>
      <c r="G100">
        <v>17007.849999999999</v>
      </c>
      <c r="H100">
        <v>14.2</v>
      </c>
      <c r="I100">
        <v>12</v>
      </c>
      <c r="J100">
        <v>137845</v>
      </c>
      <c r="K100">
        <v>222926</v>
      </c>
      <c r="L100" t="s">
        <v>29</v>
      </c>
      <c r="M100" t="s">
        <v>142</v>
      </c>
      <c r="N100" t="s">
        <v>26</v>
      </c>
      <c r="O100" t="s">
        <v>34</v>
      </c>
      <c r="P100" t="s">
        <v>22</v>
      </c>
      <c r="Q100" t="s">
        <v>23</v>
      </c>
      <c r="R100" t="b">
        <f>OR(Таблица1[[#This Row],[Ежемесячный платеж]]&lt;$AC$5, Таблица1[[#This Row],[Ежемесячный платеж]]&gt;$AC$6)</f>
        <v>0</v>
      </c>
      <c r="S100" s="9">
        <f>(Таблица1[[#This Row],[Размер кредита]]-21824)/(789096-21824)</f>
        <v>0.56256451427916043</v>
      </c>
      <c r="T100" s="9">
        <f>(Таблица1[[#This Row],[Кредитный рейтинг]]-586)/(751-586)</f>
        <v>0.76363636363636367</v>
      </c>
      <c r="U100" s="9">
        <f>Таблица1[[#This Row],[Ежемесячный платеж]]/(Таблица1[[#This Row],[Годовой доход]]/12)</f>
        <v>0.22800076412030648</v>
      </c>
    </row>
    <row r="101" spans="1:21" x14ac:dyDescent="0.3">
      <c r="A101">
        <v>100</v>
      </c>
      <c r="B101">
        <v>0</v>
      </c>
      <c r="C101" s="9">
        <v>595672</v>
      </c>
      <c r="D101">
        <v>685</v>
      </c>
      <c r="E101" s="1">
        <v>1305927</v>
      </c>
      <c r="F101">
        <v>0</v>
      </c>
      <c r="G101">
        <v>13603.43</v>
      </c>
      <c r="H101">
        <v>25.9</v>
      </c>
      <c r="I101">
        <v>8</v>
      </c>
      <c r="J101">
        <v>108148</v>
      </c>
      <c r="K101">
        <v>129624</v>
      </c>
      <c r="L101" t="s">
        <v>24</v>
      </c>
      <c r="M101" t="s">
        <v>143</v>
      </c>
      <c r="N101" t="s">
        <v>26</v>
      </c>
      <c r="O101" t="s">
        <v>34</v>
      </c>
      <c r="P101" t="s">
        <v>22</v>
      </c>
      <c r="Q101" t="s">
        <v>23</v>
      </c>
      <c r="R101" t="b">
        <f>OR(Таблица1[[#This Row],[Ежемесячный платеж]]&lt;$AC$5, Таблица1[[#This Row],[Ежемесячный платеж]]&gt;$AC$6)</f>
        <v>0</v>
      </c>
      <c r="S101" s="9">
        <f>(Таблица1[[#This Row],[Размер кредита]]-21824)/(789096-21824)</f>
        <v>0.74790687005390522</v>
      </c>
      <c r="T101" s="9">
        <f>(Таблица1[[#This Row],[Кредитный рейтинг]]-586)/(751-586)</f>
        <v>0.6</v>
      </c>
      <c r="U101" s="9">
        <f>Таблица1[[#This Row],[Ежемесячный платеж]]/(Таблица1[[#This Row],[Годовой доход]]/12)</f>
        <v>0.12500021823578195</v>
      </c>
    </row>
    <row r="102" spans="1:21" x14ac:dyDescent="0.3">
      <c r="A102">
        <v>101</v>
      </c>
      <c r="B102">
        <v>0</v>
      </c>
      <c r="C102" s="9">
        <v>166672</v>
      </c>
      <c r="D102">
        <v>705</v>
      </c>
      <c r="E102" s="1">
        <v>1048667</v>
      </c>
      <c r="F102">
        <v>18</v>
      </c>
      <c r="G102">
        <v>16166.91</v>
      </c>
      <c r="H102">
        <v>16</v>
      </c>
      <c r="I102">
        <v>10</v>
      </c>
      <c r="J102">
        <v>167656</v>
      </c>
      <c r="K102">
        <v>267014</v>
      </c>
      <c r="L102" t="s">
        <v>24</v>
      </c>
      <c r="M102" t="s">
        <v>144</v>
      </c>
      <c r="N102" t="s">
        <v>26</v>
      </c>
      <c r="O102" t="s">
        <v>21</v>
      </c>
      <c r="P102" t="s">
        <v>22</v>
      </c>
      <c r="Q102" t="s">
        <v>23</v>
      </c>
      <c r="R102" t="b">
        <f>OR(Таблица1[[#This Row],[Ежемесячный платеж]]&lt;$AC$5, Таблица1[[#This Row],[Ежемесячный платеж]]&gt;$AC$6)</f>
        <v>0</v>
      </c>
      <c r="S102" s="9">
        <f>(Таблица1[[#This Row],[Размер кредита]]-21824)/(789096-21824)</f>
        <v>0.18878311732996902</v>
      </c>
      <c r="T102" s="9">
        <f>(Таблица1[[#This Row],[Кредитный рейтинг]]-586)/(751-586)</f>
        <v>0.72121212121212119</v>
      </c>
      <c r="U102" s="9">
        <f>Таблица1[[#This Row],[Ежемесячный платеж]]/(Таблица1[[#This Row],[Годовой доход]]/12)</f>
        <v>0.1849995470440092</v>
      </c>
    </row>
    <row r="103" spans="1:21" x14ac:dyDescent="0.3">
      <c r="A103">
        <v>102</v>
      </c>
      <c r="B103">
        <v>0</v>
      </c>
      <c r="C103" s="9">
        <v>132792</v>
      </c>
      <c r="D103">
        <v>751</v>
      </c>
      <c r="E103" s="1">
        <v>668990</v>
      </c>
      <c r="F103">
        <v>0</v>
      </c>
      <c r="G103">
        <v>6132.25</v>
      </c>
      <c r="H103">
        <v>14.7</v>
      </c>
      <c r="I103">
        <v>5</v>
      </c>
      <c r="J103">
        <v>61199</v>
      </c>
      <c r="K103">
        <v>214742</v>
      </c>
      <c r="L103" t="s">
        <v>47</v>
      </c>
      <c r="M103" t="s">
        <v>145</v>
      </c>
      <c r="N103" t="s">
        <v>68</v>
      </c>
      <c r="O103" t="s">
        <v>34</v>
      </c>
      <c r="P103" t="s">
        <v>22</v>
      </c>
      <c r="Q103" t="s">
        <v>23</v>
      </c>
      <c r="R103" t="b">
        <f>OR(Таблица1[[#This Row],[Ежемесячный платеж]]&lt;$AC$5, Таблица1[[#This Row],[Ежемесячный платеж]]&gt;$AC$6)</f>
        <v>0</v>
      </c>
      <c r="S103" s="9">
        <f>(Таблица1[[#This Row],[Размер кредита]]-21824)/(789096-21824)</f>
        <v>0.14462667737125817</v>
      </c>
      <c r="T103" s="9">
        <f>(Таблица1[[#This Row],[Кредитный рейтинг]]-586)/(751-586)</f>
        <v>1</v>
      </c>
      <c r="U103" s="9">
        <f>Таблица1[[#This Row],[Ежемесячный платеж]]/(Таблица1[[#This Row],[Годовой доход]]/12)</f>
        <v>0.10999715989775632</v>
      </c>
    </row>
    <row r="104" spans="1:21" x14ac:dyDescent="0.3">
      <c r="A104">
        <v>103</v>
      </c>
      <c r="B104">
        <v>0</v>
      </c>
      <c r="C104" s="9">
        <v>119504</v>
      </c>
      <c r="D104">
        <v>745</v>
      </c>
      <c r="E104" s="1">
        <v>938315</v>
      </c>
      <c r="F104">
        <v>9</v>
      </c>
      <c r="G104">
        <v>11807.17</v>
      </c>
      <c r="H104">
        <v>13</v>
      </c>
      <c r="I104">
        <v>11</v>
      </c>
      <c r="J104">
        <v>32300</v>
      </c>
      <c r="K104">
        <v>104170</v>
      </c>
      <c r="L104" t="s">
        <v>41</v>
      </c>
      <c r="M104" t="s">
        <v>146</v>
      </c>
      <c r="N104" t="s">
        <v>40</v>
      </c>
      <c r="O104" t="s">
        <v>21</v>
      </c>
      <c r="P104" t="s">
        <v>22</v>
      </c>
      <c r="Q104" t="s">
        <v>36</v>
      </c>
      <c r="R104" t="b">
        <f>OR(Таблица1[[#This Row],[Ежемесячный платеж]]&lt;$AC$5, Таблица1[[#This Row],[Ежемесячный платеж]]&gt;$AC$6)</f>
        <v>0</v>
      </c>
      <c r="S104" s="9">
        <f>(Таблица1[[#This Row],[Размер кредита]]-21824)/(789096-21824)</f>
        <v>0.12730817754329624</v>
      </c>
      <c r="T104" s="9">
        <f>(Таблица1[[#This Row],[Кредитный рейтинг]]-586)/(751-586)</f>
        <v>0.96363636363636362</v>
      </c>
      <c r="U104" s="9">
        <f>Таблица1[[#This Row],[Ежемесячный платеж]]/(Таблица1[[#This Row],[Годовой доход]]/12)</f>
        <v>0.15100050622658701</v>
      </c>
    </row>
    <row r="105" spans="1:21" x14ac:dyDescent="0.3">
      <c r="A105">
        <v>104</v>
      </c>
      <c r="B105">
        <v>0</v>
      </c>
      <c r="C105" s="9">
        <v>33022</v>
      </c>
      <c r="D105">
        <v>723</v>
      </c>
      <c r="E105" s="1">
        <v>1673007</v>
      </c>
      <c r="F105">
        <v>80</v>
      </c>
      <c r="G105">
        <v>25234.47</v>
      </c>
      <c r="H105">
        <v>23.3</v>
      </c>
      <c r="I105">
        <v>13</v>
      </c>
      <c r="J105">
        <v>125609</v>
      </c>
      <c r="K105">
        <v>323928</v>
      </c>
      <c r="L105" t="s">
        <v>52</v>
      </c>
      <c r="M105" t="s">
        <v>147</v>
      </c>
      <c r="N105" t="s">
        <v>26</v>
      </c>
      <c r="O105" t="s">
        <v>34</v>
      </c>
      <c r="P105" t="s">
        <v>22</v>
      </c>
      <c r="Q105" t="s">
        <v>23</v>
      </c>
      <c r="R105" t="b">
        <f>OR(Таблица1[[#This Row],[Ежемесячный платеж]]&lt;$AC$5, Таблица1[[#This Row],[Ежемесячный платеж]]&gt;$AC$6)</f>
        <v>0</v>
      </c>
      <c r="S105" s="9">
        <f>(Таблица1[[#This Row],[Размер кредита]]-21824)/(789096-21824)</f>
        <v>1.4594563596742745E-2</v>
      </c>
      <c r="T105" s="9">
        <f>(Таблица1[[#This Row],[Кредитный рейтинг]]-586)/(751-586)</f>
        <v>0.83030303030303032</v>
      </c>
      <c r="U105" s="9">
        <f>Таблица1[[#This Row],[Ежемесячный платеж]]/(Таблица1[[#This Row],[Годовой доход]]/12)</f>
        <v>0.18099962522571633</v>
      </c>
    </row>
    <row r="106" spans="1:21" x14ac:dyDescent="0.3">
      <c r="A106">
        <v>105</v>
      </c>
      <c r="B106">
        <v>0</v>
      </c>
      <c r="C106" s="9">
        <v>448976</v>
      </c>
      <c r="D106">
        <v>742</v>
      </c>
      <c r="E106" s="1">
        <v>4071396</v>
      </c>
      <c r="F106">
        <v>0</v>
      </c>
      <c r="G106">
        <v>10348.16</v>
      </c>
      <c r="H106">
        <v>19.7</v>
      </c>
      <c r="I106">
        <v>7</v>
      </c>
      <c r="J106">
        <v>486001</v>
      </c>
      <c r="K106">
        <v>1253340</v>
      </c>
      <c r="L106" t="s">
        <v>24</v>
      </c>
      <c r="M106" t="s">
        <v>148</v>
      </c>
      <c r="N106" t="s">
        <v>26</v>
      </c>
      <c r="O106" t="s">
        <v>21</v>
      </c>
      <c r="P106" t="s">
        <v>22</v>
      </c>
      <c r="Q106" t="s">
        <v>23</v>
      </c>
      <c r="R106" t="b">
        <f>OR(Таблица1[[#This Row],[Ежемесячный платеж]]&lt;$AC$5, Таблица1[[#This Row],[Ежемесячный платеж]]&gt;$AC$6)</f>
        <v>0</v>
      </c>
      <c r="S106" s="9">
        <f>(Таблица1[[#This Row],[Размер кредита]]-21824)/(789096-21824)</f>
        <v>0.55671521963527926</v>
      </c>
      <c r="T106" s="9">
        <f>(Таблица1[[#This Row],[Кредитный рейтинг]]-586)/(751-586)</f>
        <v>0.94545454545454544</v>
      </c>
      <c r="U106" s="9">
        <f>Таблица1[[#This Row],[Ежемесячный платеж]]/(Таблица1[[#This Row],[Годовой доход]]/12)</f>
        <v>3.0500084000672004E-2</v>
      </c>
    </row>
    <row r="107" spans="1:21" x14ac:dyDescent="0.3">
      <c r="A107">
        <v>106</v>
      </c>
      <c r="B107">
        <v>1</v>
      </c>
      <c r="C107" s="9">
        <v>280588</v>
      </c>
      <c r="D107">
        <v>717</v>
      </c>
      <c r="E107" s="1">
        <v>671080</v>
      </c>
      <c r="F107">
        <v>70</v>
      </c>
      <c r="G107">
        <v>17447.89</v>
      </c>
      <c r="H107">
        <v>10</v>
      </c>
      <c r="I107">
        <v>10</v>
      </c>
      <c r="J107">
        <v>168169</v>
      </c>
      <c r="K107">
        <v>470360</v>
      </c>
      <c r="L107" t="s">
        <v>29</v>
      </c>
      <c r="M107" t="s">
        <v>149</v>
      </c>
      <c r="N107" t="s">
        <v>26</v>
      </c>
      <c r="O107" t="s">
        <v>34</v>
      </c>
      <c r="P107" t="s">
        <v>22</v>
      </c>
      <c r="Q107" t="s">
        <v>23</v>
      </c>
      <c r="R107" t="b">
        <f>OR(Таблица1[[#This Row],[Ежемесячный платеж]]&lt;$AC$5, Таблица1[[#This Row],[Ежемесячный платеж]]&gt;$AC$6)</f>
        <v>0</v>
      </c>
      <c r="S107" s="9">
        <f>(Таблица1[[#This Row],[Размер кредита]]-21824)/(789096-21824)</f>
        <v>0.33725197843789423</v>
      </c>
      <c r="T107" s="9">
        <f>(Таблица1[[#This Row],[Кредитный рейтинг]]-586)/(751-586)</f>
        <v>0.79393939393939394</v>
      </c>
      <c r="U107" s="9">
        <f>Таблица1[[#This Row],[Ежемесячный платеж]]/(Таблица1[[#This Row],[Годовой доход]]/12)</f>
        <v>0.31199660249150618</v>
      </c>
    </row>
    <row r="108" spans="1:21" x14ac:dyDescent="0.3">
      <c r="A108">
        <v>107</v>
      </c>
      <c r="B108">
        <v>0</v>
      </c>
      <c r="C108" s="9">
        <v>556336</v>
      </c>
      <c r="D108">
        <v>714</v>
      </c>
      <c r="E108" s="1">
        <v>1402960</v>
      </c>
      <c r="F108">
        <v>38</v>
      </c>
      <c r="G108">
        <v>19524.400000000001</v>
      </c>
      <c r="H108">
        <v>19.5</v>
      </c>
      <c r="I108">
        <v>5</v>
      </c>
      <c r="J108">
        <v>317338</v>
      </c>
      <c r="K108">
        <v>389246</v>
      </c>
      <c r="L108" t="s">
        <v>24</v>
      </c>
      <c r="M108" s="2" t="s">
        <v>150</v>
      </c>
      <c r="N108" t="s">
        <v>26</v>
      </c>
      <c r="O108" t="s">
        <v>21</v>
      </c>
      <c r="P108" t="s">
        <v>31</v>
      </c>
      <c r="Q108" t="s">
        <v>36</v>
      </c>
      <c r="R108" t="b">
        <f>OR(Таблица1[[#This Row],[Ежемесячный платеж]]&lt;$AC$5, Таблица1[[#This Row],[Ежемесячный платеж]]&gt;$AC$6)</f>
        <v>0</v>
      </c>
      <c r="S108" s="9">
        <f>(Таблица1[[#This Row],[Размер кредита]]-21824)/(789096-21824)</f>
        <v>0.69663952288106434</v>
      </c>
      <c r="T108" s="9">
        <f>(Таблица1[[#This Row],[Кредитный рейтинг]]-586)/(751-586)</f>
        <v>0.77575757575757576</v>
      </c>
      <c r="U108" s="9">
        <f>Таблица1[[#This Row],[Ежемесячный платеж]]/(Таблица1[[#This Row],[Годовой доход]]/12)</f>
        <v>0.16699891657638138</v>
      </c>
    </row>
    <row r="109" spans="1:21" x14ac:dyDescent="0.3">
      <c r="A109">
        <v>108</v>
      </c>
      <c r="B109">
        <v>0</v>
      </c>
      <c r="C109" s="9">
        <v>541310</v>
      </c>
      <c r="D109">
        <v>722</v>
      </c>
      <c r="E109" s="1">
        <v>1682982</v>
      </c>
      <c r="F109">
        <v>35</v>
      </c>
      <c r="G109">
        <v>52733.36</v>
      </c>
      <c r="H109">
        <v>17.899999999999999</v>
      </c>
      <c r="I109">
        <v>13</v>
      </c>
      <c r="J109">
        <v>356288</v>
      </c>
      <c r="K109">
        <v>619432</v>
      </c>
      <c r="L109" t="s">
        <v>63</v>
      </c>
      <c r="M109" t="s">
        <v>151</v>
      </c>
      <c r="N109" t="s">
        <v>26</v>
      </c>
      <c r="O109" t="s">
        <v>21</v>
      </c>
      <c r="P109" t="s">
        <v>22</v>
      </c>
      <c r="Q109" t="s">
        <v>23</v>
      </c>
      <c r="R109" t="b">
        <f>OR(Таблица1[[#This Row],[Ежемесячный платеж]]&lt;$AC$5, Таблица1[[#This Row],[Ежемесячный платеж]]&gt;$AC$6)</f>
        <v>1</v>
      </c>
      <c r="S109" s="9">
        <f>(Таблица1[[#This Row],[Размер кредита]]-21824)/(789096-21824)</f>
        <v>0.67705585502924648</v>
      </c>
      <c r="T109" s="9">
        <f>(Таблица1[[#This Row],[Кредитный рейтинг]]-586)/(751-586)</f>
        <v>0.82424242424242422</v>
      </c>
      <c r="U109" s="9">
        <f>Таблица1[[#This Row],[Ежемесячный платеж]]/(Таблица1[[#This Row],[Годовой доход]]/12)</f>
        <v>0.37599945810472124</v>
      </c>
    </row>
    <row r="110" spans="1:21" x14ac:dyDescent="0.3">
      <c r="A110">
        <v>109</v>
      </c>
      <c r="B110">
        <v>0</v>
      </c>
      <c r="C110" s="9">
        <v>311872</v>
      </c>
      <c r="D110">
        <v>680</v>
      </c>
      <c r="E110" s="1">
        <v>1063810</v>
      </c>
      <c r="F110">
        <v>0</v>
      </c>
      <c r="G110">
        <v>28191.06</v>
      </c>
      <c r="H110">
        <v>12.2</v>
      </c>
      <c r="I110">
        <v>10</v>
      </c>
      <c r="J110">
        <v>391723</v>
      </c>
      <c r="K110">
        <v>591338</v>
      </c>
      <c r="L110" t="s">
        <v>69</v>
      </c>
      <c r="M110" t="s">
        <v>152</v>
      </c>
      <c r="N110" t="s">
        <v>26</v>
      </c>
      <c r="O110" t="s">
        <v>21</v>
      </c>
      <c r="P110" t="s">
        <v>31</v>
      </c>
      <c r="Q110" t="s">
        <v>23</v>
      </c>
      <c r="R110" t="b">
        <f>OR(Таблица1[[#This Row],[Ежемесячный платеж]]&lt;$AC$5, Таблица1[[#This Row],[Ежемесячный платеж]]&gt;$AC$6)</f>
        <v>0</v>
      </c>
      <c r="S110" s="9">
        <f>(Таблица1[[#This Row],[Размер кредита]]-21824)/(789096-21824)</f>
        <v>0.37802500286730129</v>
      </c>
      <c r="T110" s="9">
        <f>(Таблица1[[#This Row],[Кредитный рейтинг]]-586)/(751-586)</f>
        <v>0.5696969696969697</v>
      </c>
      <c r="U110" s="9">
        <f>Таблица1[[#This Row],[Ежемесячный платеж]]/(Таблица1[[#This Row],[Годовой доход]]/12)</f>
        <v>0.31800107161993219</v>
      </c>
    </row>
    <row r="111" spans="1:21" x14ac:dyDescent="0.3">
      <c r="A111">
        <v>110</v>
      </c>
      <c r="B111">
        <v>0</v>
      </c>
      <c r="C111" s="9">
        <v>340604</v>
      </c>
      <c r="D111">
        <v>618</v>
      </c>
      <c r="E111" s="1">
        <v>928701</v>
      </c>
      <c r="F111">
        <v>0</v>
      </c>
      <c r="G111">
        <v>21205.52</v>
      </c>
      <c r="H111">
        <v>14.4</v>
      </c>
      <c r="I111">
        <v>5</v>
      </c>
      <c r="J111">
        <v>291137</v>
      </c>
      <c r="K111">
        <v>368808</v>
      </c>
      <c r="L111" t="s">
        <v>24</v>
      </c>
      <c r="M111" t="s">
        <v>153</v>
      </c>
      <c r="N111" t="s">
        <v>26</v>
      </c>
      <c r="O111" t="s">
        <v>21</v>
      </c>
      <c r="P111" t="s">
        <v>31</v>
      </c>
      <c r="Q111" t="s">
        <v>23</v>
      </c>
      <c r="R111" t="b">
        <f>OR(Таблица1[[#This Row],[Ежемесячный платеж]]&lt;$AC$5, Таблица1[[#This Row],[Ежемесячный платеж]]&gt;$AC$6)</f>
        <v>0</v>
      </c>
      <c r="S111" s="9">
        <f>(Таблица1[[#This Row],[Размер кредита]]-21824)/(789096-21824)</f>
        <v>0.41547195779332491</v>
      </c>
      <c r="T111" s="9">
        <f>(Таблица1[[#This Row],[Кредитный рейтинг]]-586)/(751-586)</f>
        <v>0.19393939393939394</v>
      </c>
      <c r="U111" s="9">
        <f>Таблица1[[#This Row],[Ежемесячный платеж]]/(Таблица1[[#This Row],[Годовой доход]]/12)</f>
        <v>0.27400233228994048</v>
      </c>
    </row>
    <row r="112" spans="1:21" x14ac:dyDescent="0.3">
      <c r="A112">
        <v>111</v>
      </c>
      <c r="B112">
        <v>0</v>
      </c>
      <c r="C112" s="9">
        <v>765160</v>
      </c>
      <c r="D112">
        <v>719</v>
      </c>
      <c r="E112" s="1">
        <v>2643242</v>
      </c>
      <c r="F112">
        <v>47</v>
      </c>
      <c r="G112">
        <v>34582.47</v>
      </c>
      <c r="H112">
        <v>20.5</v>
      </c>
      <c r="I112">
        <v>19</v>
      </c>
      <c r="J112">
        <v>249755</v>
      </c>
      <c r="K112">
        <v>489302</v>
      </c>
      <c r="L112" t="s">
        <v>52</v>
      </c>
      <c r="M112" t="s">
        <v>154</v>
      </c>
      <c r="N112" t="s">
        <v>26</v>
      </c>
      <c r="O112" t="s">
        <v>21</v>
      </c>
      <c r="P112" t="s">
        <v>31</v>
      </c>
      <c r="Q112" t="s">
        <v>36</v>
      </c>
      <c r="R112" t="b">
        <f>OR(Таблица1[[#This Row],[Ежемесячный платеж]]&lt;$AC$5, Таблица1[[#This Row],[Ежемесячный платеж]]&gt;$AC$6)</f>
        <v>0</v>
      </c>
      <c r="S112" s="9">
        <f>(Таблица1[[#This Row],[Размер кредита]]-21824)/(789096-21824)</f>
        <v>0.9688037618993004</v>
      </c>
      <c r="T112" s="9">
        <f>(Таблица1[[#This Row],[Кредитный рейтинг]]-586)/(751-586)</f>
        <v>0.80606060606060603</v>
      </c>
      <c r="U112" s="9">
        <f>Таблица1[[#This Row],[Ежемесячный платеж]]/(Таблица1[[#This Row],[Годовой доход]]/12)</f>
        <v>0.15700024439684299</v>
      </c>
    </row>
    <row r="113" spans="1:21" x14ac:dyDescent="0.3">
      <c r="A113">
        <v>112</v>
      </c>
      <c r="B113">
        <v>0</v>
      </c>
      <c r="C113" s="9">
        <v>109802</v>
      </c>
      <c r="D113">
        <v>745</v>
      </c>
      <c r="E113" s="1">
        <v>474069</v>
      </c>
      <c r="F113">
        <v>0</v>
      </c>
      <c r="G113">
        <v>1497.39</v>
      </c>
      <c r="H113">
        <v>11</v>
      </c>
      <c r="I113">
        <v>2</v>
      </c>
      <c r="J113">
        <v>91048</v>
      </c>
      <c r="K113">
        <v>186604</v>
      </c>
      <c r="L113" t="s">
        <v>37</v>
      </c>
      <c r="M113" t="s">
        <v>155</v>
      </c>
      <c r="N113" t="s">
        <v>26</v>
      </c>
      <c r="O113" t="s">
        <v>34</v>
      </c>
      <c r="P113" t="s">
        <v>22</v>
      </c>
      <c r="Q113" t="s">
        <v>36</v>
      </c>
      <c r="R113" t="b">
        <f>OR(Таблица1[[#This Row],[Ежемесячный платеж]]&lt;$AC$5, Таблица1[[#This Row],[Ежемесячный платеж]]&gt;$AC$6)</f>
        <v>0</v>
      </c>
      <c r="S113" s="9">
        <f>(Таблица1[[#This Row],[Размер кредита]]-21824)/(789096-21824)</f>
        <v>0.11466337882784723</v>
      </c>
      <c r="T113" s="9">
        <f>(Таблица1[[#This Row],[Кредитный рейтинг]]-586)/(751-586)</f>
        <v>0.96363636363636362</v>
      </c>
      <c r="U113" s="9">
        <f>Таблица1[[#This Row],[Ежемесячный платеж]]/(Таблица1[[#This Row],[Годовой доход]]/12)</f>
        <v>3.7903090056510762E-2</v>
      </c>
    </row>
    <row r="114" spans="1:21" x14ac:dyDescent="0.3">
      <c r="A114">
        <v>113</v>
      </c>
      <c r="B114">
        <v>0</v>
      </c>
      <c r="C114" s="9">
        <v>349756</v>
      </c>
      <c r="D114">
        <v>737</v>
      </c>
      <c r="E114" s="1">
        <v>2491945</v>
      </c>
      <c r="F114">
        <v>0</v>
      </c>
      <c r="G114">
        <v>23258.28</v>
      </c>
      <c r="H114">
        <v>21.5</v>
      </c>
      <c r="I114">
        <v>7</v>
      </c>
      <c r="J114">
        <v>270332</v>
      </c>
      <c r="K114">
        <v>660396</v>
      </c>
      <c r="L114" t="s">
        <v>29</v>
      </c>
      <c r="M114" t="s">
        <v>156</v>
      </c>
      <c r="N114" t="s">
        <v>26</v>
      </c>
      <c r="O114" t="s">
        <v>34</v>
      </c>
      <c r="P114" t="s">
        <v>31</v>
      </c>
      <c r="Q114" t="s">
        <v>36</v>
      </c>
      <c r="R114" t="b">
        <f>OR(Таблица1[[#This Row],[Ежемесячный платеж]]&lt;$AC$5, Таблица1[[#This Row],[Ежемесячный платеж]]&gt;$AC$6)</f>
        <v>0</v>
      </c>
      <c r="S114" s="9">
        <f>(Таблица1[[#This Row],[Размер кредита]]-21824)/(789096-21824)</f>
        <v>0.42739993118476888</v>
      </c>
      <c r="T114" s="9">
        <f>(Таблица1[[#This Row],[Кредитный рейтинг]]-586)/(751-586)</f>
        <v>0.91515151515151516</v>
      </c>
      <c r="U114" s="9">
        <f>Таблица1[[#This Row],[Ежемесячный платеж]]/(Таблица1[[#This Row],[Годовой доход]]/12)</f>
        <v>0.11200060996530821</v>
      </c>
    </row>
    <row r="115" spans="1:21" x14ac:dyDescent="0.3">
      <c r="A115">
        <v>114</v>
      </c>
      <c r="B115">
        <v>0</v>
      </c>
      <c r="C115" s="9">
        <v>545886</v>
      </c>
      <c r="D115">
        <v>718</v>
      </c>
      <c r="E115" s="1">
        <v>1565182</v>
      </c>
      <c r="F115">
        <v>6</v>
      </c>
      <c r="G115">
        <v>41477</v>
      </c>
      <c r="H115">
        <v>15</v>
      </c>
      <c r="I115">
        <v>16</v>
      </c>
      <c r="J115">
        <v>80465</v>
      </c>
      <c r="K115">
        <v>296714</v>
      </c>
      <c r="L115" t="s">
        <v>52</v>
      </c>
      <c r="M115" t="s">
        <v>157</v>
      </c>
      <c r="N115" t="s">
        <v>26</v>
      </c>
      <c r="O115" t="s">
        <v>34</v>
      </c>
      <c r="P115" t="s">
        <v>22</v>
      </c>
      <c r="Q115" t="s">
        <v>23</v>
      </c>
      <c r="R115" t="b">
        <f>OR(Таблица1[[#This Row],[Ежемесячный платеж]]&lt;$AC$5, Таблица1[[#This Row],[Ежемесячный платеж]]&gt;$AC$6)</f>
        <v>0</v>
      </c>
      <c r="S115" s="9">
        <f>(Таблица1[[#This Row],[Размер кредита]]-21824)/(789096-21824)</f>
        <v>0.68301984172496844</v>
      </c>
      <c r="T115" s="9">
        <f>(Таблица1[[#This Row],[Кредитный рейтинг]]-586)/(751-586)</f>
        <v>0.8</v>
      </c>
      <c r="U115" s="9">
        <f>Таблица1[[#This Row],[Ежемесячный платеж]]/(Таблица1[[#This Row],[Годовой доход]]/12)</f>
        <v>0.31799752361067274</v>
      </c>
    </row>
    <row r="116" spans="1:21" x14ac:dyDescent="0.3">
      <c r="A116">
        <v>115</v>
      </c>
      <c r="B116">
        <v>0</v>
      </c>
      <c r="D116">
        <v>750</v>
      </c>
      <c r="E116" s="1">
        <v>2435667</v>
      </c>
      <c r="F116">
        <v>0</v>
      </c>
      <c r="G116">
        <v>31257.66</v>
      </c>
      <c r="H116">
        <v>12.3</v>
      </c>
      <c r="I116">
        <v>10</v>
      </c>
      <c r="J116">
        <v>72276</v>
      </c>
      <c r="K116">
        <v>1073028</v>
      </c>
      <c r="L116" t="s">
        <v>52</v>
      </c>
      <c r="M116" t="s">
        <v>158</v>
      </c>
      <c r="N116" t="s">
        <v>26</v>
      </c>
      <c r="O116" t="s">
        <v>34</v>
      </c>
      <c r="P116" t="s">
        <v>22</v>
      </c>
      <c r="Q116" t="s">
        <v>23</v>
      </c>
      <c r="R116" t="b">
        <f>OR(Таблица1[[#This Row],[Ежемесячный платеж]]&lt;$AC$5, Таблица1[[#This Row],[Ежемесячный платеж]]&gt;$AC$6)</f>
        <v>0</v>
      </c>
      <c r="T116" s="9">
        <f>(Таблица1[[#This Row],[Кредитный рейтинг]]-586)/(751-586)</f>
        <v>0.9939393939393939</v>
      </c>
      <c r="U116" s="9">
        <f>Таблица1[[#This Row],[Ежемесячный платеж]]/(Таблица1[[#This Row],[Годовой доход]]/12)</f>
        <v>0.15399967236900611</v>
      </c>
    </row>
    <row r="117" spans="1:21" x14ac:dyDescent="0.3">
      <c r="A117">
        <v>116</v>
      </c>
      <c r="B117">
        <v>0</v>
      </c>
      <c r="C117" s="9">
        <v>354046</v>
      </c>
      <c r="D117">
        <v>676</v>
      </c>
      <c r="E117" s="1">
        <v>1815469</v>
      </c>
      <c r="F117">
        <v>6</v>
      </c>
      <c r="G117">
        <v>5522.16</v>
      </c>
      <c r="H117">
        <v>13</v>
      </c>
      <c r="I117">
        <v>6</v>
      </c>
      <c r="J117">
        <v>20976</v>
      </c>
      <c r="K117">
        <v>70840</v>
      </c>
      <c r="L117" t="s">
        <v>24</v>
      </c>
      <c r="M117" t="s">
        <v>159</v>
      </c>
      <c r="N117" t="s">
        <v>20</v>
      </c>
      <c r="O117" t="s">
        <v>21</v>
      </c>
      <c r="P117" t="s">
        <v>31</v>
      </c>
      <c r="Q117" t="s">
        <v>23</v>
      </c>
      <c r="R117" t="b">
        <f>OR(Таблица1[[#This Row],[Ежемесячный платеж]]&lt;$AC$5, Таблица1[[#This Row],[Ежемесячный платеж]]&gt;$AC$6)</f>
        <v>0</v>
      </c>
      <c r="S117" s="9">
        <f>(Таблица1[[#This Row],[Размер кредита]]-21824)/(789096-21824)</f>
        <v>0.43299116871200827</v>
      </c>
      <c r="T117" s="9">
        <f>(Таблица1[[#This Row],[Кредитный рейтинг]]-586)/(751-586)</f>
        <v>0.54545454545454541</v>
      </c>
      <c r="U117" s="9">
        <f>Таблица1[[#This Row],[Ежемесячный платеж]]/(Таблица1[[#This Row],[Годовой доход]]/12)</f>
        <v>3.6500716894642647E-2</v>
      </c>
    </row>
    <row r="118" spans="1:21" x14ac:dyDescent="0.3">
      <c r="A118">
        <v>117</v>
      </c>
      <c r="B118">
        <v>0</v>
      </c>
      <c r="C118" s="9">
        <v>472098</v>
      </c>
      <c r="D118">
        <v>692</v>
      </c>
      <c r="E118" s="1">
        <v>2316575</v>
      </c>
      <c r="F118">
        <v>0</v>
      </c>
      <c r="G118">
        <v>24517.22</v>
      </c>
      <c r="H118">
        <v>28.2</v>
      </c>
      <c r="I118">
        <v>9</v>
      </c>
      <c r="J118">
        <v>454176</v>
      </c>
      <c r="K118">
        <v>968506</v>
      </c>
      <c r="L118" t="s">
        <v>24</v>
      </c>
      <c r="M118" t="s">
        <v>160</v>
      </c>
      <c r="N118" t="s">
        <v>26</v>
      </c>
      <c r="O118" t="s">
        <v>34</v>
      </c>
      <c r="P118" t="s">
        <v>31</v>
      </c>
      <c r="Q118" t="s">
        <v>23</v>
      </c>
      <c r="R118" t="b">
        <f>OR(Таблица1[[#This Row],[Ежемесячный платеж]]&lt;$AC$5, Таблица1[[#This Row],[Ежемесячный платеж]]&gt;$AC$6)</f>
        <v>0</v>
      </c>
      <c r="S118" s="9">
        <f>(Таблица1[[#This Row],[Размер кредита]]-21824)/(789096-21824)</f>
        <v>0.58685055625645144</v>
      </c>
      <c r="T118" s="9">
        <f>(Таблица1[[#This Row],[Кредитный рейтинг]]-586)/(751-586)</f>
        <v>0.64242424242424245</v>
      </c>
      <c r="U118" s="9">
        <f>Таблица1[[#This Row],[Ежемесячный платеж]]/(Таблица1[[#This Row],[Годовой доход]]/12)</f>
        <v>0.12700069714988724</v>
      </c>
    </row>
    <row r="119" spans="1:21" x14ac:dyDescent="0.3">
      <c r="A119">
        <v>118</v>
      </c>
      <c r="B119">
        <v>0</v>
      </c>
      <c r="C119" s="9">
        <v>86174</v>
      </c>
      <c r="D119">
        <v>721</v>
      </c>
      <c r="E119" s="1">
        <v>837311</v>
      </c>
      <c r="F119">
        <v>82</v>
      </c>
      <c r="G119">
        <v>10884.91</v>
      </c>
      <c r="H119">
        <v>13.6</v>
      </c>
      <c r="I119">
        <v>15</v>
      </c>
      <c r="J119">
        <v>360867</v>
      </c>
      <c r="K119">
        <v>671770</v>
      </c>
      <c r="L119" t="s">
        <v>63</v>
      </c>
      <c r="M119" t="s">
        <v>161</v>
      </c>
      <c r="N119" t="s">
        <v>26</v>
      </c>
      <c r="O119" t="s">
        <v>21</v>
      </c>
      <c r="P119" t="s">
        <v>22</v>
      </c>
      <c r="Q119" t="s">
        <v>36</v>
      </c>
      <c r="R119" t="b">
        <f>OR(Таблица1[[#This Row],[Ежемесячный платеж]]&lt;$AC$5, Таблица1[[#This Row],[Ежемесячный платеж]]&gt;$AC$6)</f>
        <v>0</v>
      </c>
      <c r="S119" s="9">
        <f>(Таблица1[[#This Row],[Размер кредита]]-21824)/(789096-21824)</f>
        <v>8.3868562908590433E-2</v>
      </c>
      <c r="T119" s="9">
        <f>(Таблица1[[#This Row],[Кредитный рейтинг]]-586)/(751-586)</f>
        <v>0.81818181818181823</v>
      </c>
      <c r="U119" s="9">
        <f>Таблица1[[#This Row],[Ежемесячный платеж]]/(Таблица1[[#This Row],[Годовой доход]]/12)</f>
        <v>0.15599809389820507</v>
      </c>
    </row>
    <row r="120" spans="1:21" x14ac:dyDescent="0.3">
      <c r="A120">
        <v>119</v>
      </c>
      <c r="B120">
        <v>1</v>
      </c>
      <c r="C120" s="9">
        <v>509586</v>
      </c>
      <c r="D120">
        <v>678</v>
      </c>
      <c r="E120" s="1">
        <v>1816001</v>
      </c>
      <c r="F120">
        <v>74</v>
      </c>
      <c r="G120">
        <v>26180.67</v>
      </c>
      <c r="H120">
        <v>13.9</v>
      </c>
      <c r="I120">
        <v>32</v>
      </c>
      <c r="J120">
        <v>115672</v>
      </c>
      <c r="K120">
        <v>319638</v>
      </c>
      <c r="L120" t="s">
        <v>41</v>
      </c>
      <c r="M120" t="s">
        <v>162</v>
      </c>
      <c r="N120" t="s">
        <v>26</v>
      </c>
      <c r="O120" t="s">
        <v>34</v>
      </c>
      <c r="P120" t="s">
        <v>31</v>
      </c>
      <c r="Q120" t="s">
        <v>36</v>
      </c>
      <c r="R120" t="b">
        <f>OR(Таблица1[[#This Row],[Ежемесячный платеж]]&lt;$AC$5, Таблица1[[#This Row],[Ежемесячный платеж]]&gt;$AC$6)</f>
        <v>0</v>
      </c>
      <c r="S120" s="9">
        <f>(Таблица1[[#This Row],[Размер кредита]]-21824)/(789096-21824)</f>
        <v>0.63570937034063535</v>
      </c>
      <c r="T120" s="9">
        <f>(Таблица1[[#This Row],[Кредитный рейтинг]]-586)/(751-586)</f>
        <v>0.55757575757575761</v>
      </c>
      <c r="U120" s="9">
        <f>Таблица1[[#This Row],[Ежемесячный платеж]]/(Таблица1[[#This Row],[Годовой доход]]/12)</f>
        <v>0.17299992676215487</v>
      </c>
    </row>
    <row r="121" spans="1:21" x14ac:dyDescent="0.3">
      <c r="A121">
        <v>120</v>
      </c>
      <c r="B121">
        <v>0</v>
      </c>
      <c r="D121">
        <v>709</v>
      </c>
      <c r="E121" s="1">
        <v>1806083</v>
      </c>
      <c r="F121">
        <v>25</v>
      </c>
      <c r="G121">
        <v>29348.92</v>
      </c>
      <c r="H121">
        <v>16.100000000000001</v>
      </c>
      <c r="I121">
        <v>22</v>
      </c>
      <c r="J121">
        <v>492556</v>
      </c>
      <c r="K121">
        <v>724680</v>
      </c>
      <c r="L121" t="s">
        <v>24</v>
      </c>
      <c r="M121" t="s">
        <v>163</v>
      </c>
      <c r="N121" t="s">
        <v>26</v>
      </c>
      <c r="O121" t="s">
        <v>21</v>
      </c>
      <c r="P121" t="s">
        <v>22</v>
      </c>
      <c r="Q121" t="s">
        <v>23</v>
      </c>
      <c r="R121" t="b">
        <f>OR(Таблица1[[#This Row],[Ежемесячный платеж]]&lt;$AC$5, Таблица1[[#This Row],[Ежемесячный платеж]]&gt;$AC$6)</f>
        <v>0</v>
      </c>
      <c r="T121" s="9">
        <f>(Таблица1[[#This Row],[Кредитный рейтинг]]-586)/(751-586)</f>
        <v>0.74545454545454548</v>
      </c>
      <c r="U121" s="9">
        <f>Таблица1[[#This Row],[Ежемесячный платеж]]/(Таблица1[[#This Row],[Годовой доход]]/12)</f>
        <v>0.19500047340017043</v>
      </c>
    </row>
    <row r="122" spans="1:21" x14ac:dyDescent="0.3">
      <c r="A122">
        <v>121</v>
      </c>
      <c r="B122">
        <v>0</v>
      </c>
      <c r="C122" s="9">
        <v>218988</v>
      </c>
      <c r="D122">
        <v>740</v>
      </c>
      <c r="E122" s="1">
        <v>775409</v>
      </c>
      <c r="F122">
        <v>9</v>
      </c>
      <c r="G122">
        <v>8141.88</v>
      </c>
      <c r="H122">
        <v>14.9</v>
      </c>
      <c r="I122">
        <v>5</v>
      </c>
      <c r="J122">
        <v>100206</v>
      </c>
      <c r="K122">
        <v>186230</v>
      </c>
      <c r="L122" t="s">
        <v>47</v>
      </c>
      <c r="M122" t="s">
        <v>164</v>
      </c>
      <c r="N122" t="s">
        <v>26</v>
      </c>
      <c r="O122" t="s">
        <v>21</v>
      </c>
      <c r="P122" t="s">
        <v>22</v>
      </c>
      <c r="Q122" t="s">
        <v>23</v>
      </c>
      <c r="R122" t="b">
        <f>OR(Таблица1[[#This Row],[Ежемесячный платеж]]&lt;$AC$5, Таблица1[[#This Row],[Ежемесячный платеж]]&gt;$AC$6)</f>
        <v>0</v>
      </c>
      <c r="S122" s="9">
        <f>(Таблица1[[#This Row],[Размер кредита]]-21824)/(789096-21824)</f>
        <v>0.25696754214932904</v>
      </c>
      <c r="T122" s="9">
        <f>(Таблица1[[#This Row],[Кредитный рейтинг]]-586)/(751-586)</f>
        <v>0.93333333333333335</v>
      </c>
      <c r="U122" s="9">
        <f>Таблица1[[#This Row],[Ежемесячный платеж]]/(Таблица1[[#This Row],[Годовой доход]]/12)</f>
        <v>0.12600132317267404</v>
      </c>
    </row>
    <row r="123" spans="1:21" x14ac:dyDescent="0.3">
      <c r="A123">
        <v>122</v>
      </c>
      <c r="B123">
        <v>0</v>
      </c>
      <c r="C123" s="9">
        <v>176462</v>
      </c>
      <c r="D123">
        <f>$Y$13</f>
        <v>723</v>
      </c>
      <c r="E123">
        <f>$AB$13</f>
        <v>1168044</v>
      </c>
      <c r="F123">
        <v>0</v>
      </c>
      <c r="G123">
        <v>14223.59</v>
      </c>
      <c r="H123">
        <v>26.5</v>
      </c>
      <c r="I123">
        <v>7</v>
      </c>
      <c r="J123">
        <v>171703</v>
      </c>
      <c r="K123">
        <v>1080552</v>
      </c>
      <c r="L123" t="s">
        <v>24</v>
      </c>
      <c r="M123" t="s">
        <v>165</v>
      </c>
      <c r="N123" t="s">
        <v>20</v>
      </c>
      <c r="O123" t="s">
        <v>21</v>
      </c>
      <c r="P123" t="s">
        <v>22</v>
      </c>
      <c r="Q123" t="s">
        <v>23</v>
      </c>
      <c r="R123" t="b">
        <f>OR(Таблица1[[#This Row],[Ежемесячный платеж]]&lt;$AC$5, Таблица1[[#This Row],[Ежемесячный платеж]]&gt;$AC$6)</f>
        <v>0</v>
      </c>
      <c r="S123" s="9">
        <f>(Таблица1[[#This Row],[Размер кредита]]-21824)/(789096-21824)</f>
        <v>0.20154260809725885</v>
      </c>
      <c r="T123" s="9">
        <f>(Таблица1[[#This Row],[Кредитный рейтинг]]-586)/(751-586)</f>
        <v>0.83030303030303032</v>
      </c>
      <c r="U123" s="9">
        <f>Таблица1[[#This Row],[Ежемесячный платеж]]/(Таблица1[[#This Row],[Годовой доход]]/12)</f>
        <v>0.14612726917821589</v>
      </c>
    </row>
    <row r="124" spans="1:21" x14ac:dyDescent="0.3">
      <c r="A124">
        <v>123</v>
      </c>
      <c r="B124">
        <v>0</v>
      </c>
      <c r="C124" s="9">
        <v>328262</v>
      </c>
      <c r="D124">
        <v>746</v>
      </c>
      <c r="E124" s="1">
        <v>1133958</v>
      </c>
      <c r="F124">
        <v>0</v>
      </c>
      <c r="G124">
        <v>20411.32</v>
      </c>
      <c r="H124">
        <v>10.199999999999999</v>
      </c>
      <c r="I124">
        <v>10</v>
      </c>
      <c r="J124">
        <v>229463</v>
      </c>
      <c r="K124">
        <v>472758</v>
      </c>
      <c r="L124" t="s">
        <v>63</v>
      </c>
      <c r="M124" t="s">
        <v>166</v>
      </c>
      <c r="N124" t="s">
        <v>26</v>
      </c>
      <c r="O124" t="s">
        <v>34</v>
      </c>
      <c r="P124" t="s">
        <v>22</v>
      </c>
      <c r="Q124" t="s">
        <v>23</v>
      </c>
      <c r="R124" t="b">
        <f>OR(Таблица1[[#This Row],[Ежемесячный платеж]]&lt;$AC$5, Таблица1[[#This Row],[Ежемесячный платеж]]&gt;$AC$6)</f>
        <v>0</v>
      </c>
      <c r="S124" s="9">
        <f>(Таблица1[[#This Row],[Размер кредита]]-21824)/(789096-21824)</f>
        <v>0.3993863975226517</v>
      </c>
      <c r="T124" s="9">
        <f>(Таблица1[[#This Row],[Кредитный рейтинг]]-586)/(751-586)</f>
        <v>0.96969696969696972</v>
      </c>
      <c r="U124" s="9">
        <f>Таблица1[[#This Row],[Ежемесячный платеж]]/(Таблица1[[#This Row],[Годовой доход]]/12)</f>
        <v>0.21600080426259174</v>
      </c>
    </row>
    <row r="125" spans="1:21" x14ac:dyDescent="0.3">
      <c r="A125">
        <v>124</v>
      </c>
      <c r="B125">
        <v>0</v>
      </c>
      <c r="C125" s="9">
        <v>663168</v>
      </c>
      <c r="D125">
        <v>732</v>
      </c>
      <c r="E125" s="1">
        <v>1527296</v>
      </c>
      <c r="F125">
        <v>32</v>
      </c>
      <c r="G125">
        <v>22145.83</v>
      </c>
      <c r="H125">
        <v>17</v>
      </c>
      <c r="I125">
        <v>8</v>
      </c>
      <c r="J125">
        <v>331075</v>
      </c>
      <c r="K125">
        <v>543774</v>
      </c>
      <c r="L125" t="s">
        <v>41</v>
      </c>
      <c r="M125" t="s">
        <v>167</v>
      </c>
      <c r="N125" t="s">
        <v>26</v>
      </c>
      <c r="O125" t="s">
        <v>21</v>
      </c>
      <c r="P125" t="s">
        <v>31</v>
      </c>
      <c r="Q125" t="s">
        <v>36</v>
      </c>
      <c r="R125" t="b">
        <f>OR(Таблица1[[#This Row],[Ежемесячный платеж]]&lt;$AC$5, Таблица1[[#This Row],[Ежемесячный платеж]]&gt;$AC$6)</f>
        <v>0</v>
      </c>
      <c r="S125" s="9">
        <f>(Таблица1[[#This Row],[Размер кредита]]-21824)/(789096-21824)</f>
        <v>0.83587567381580452</v>
      </c>
      <c r="T125" s="9">
        <f>(Таблица1[[#This Row],[Кредитный рейтинг]]-586)/(751-586)</f>
        <v>0.88484848484848488</v>
      </c>
      <c r="U125" s="9">
        <f>Таблица1[[#This Row],[Ежемесячный платеж]]/(Таблица1[[#This Row],[Годовой доход]]/12)</f>
        <v>0.17400029856687899</v>
      </c>
    </row>
    <row r="126" spans="1:21" x14ac:dyDescent="0.3">
      <c r="A126">
        <v>125</v>
      </c>
      <c r="B126">
        <v>0</v>
      </c>
      <c r="C126" s="9">
        <v>338030</v>
      </c>
      <c r="D126">
        <f>$Y$13</f>
        <v>723</v>
      </c>
      <c r="E126">
        <f>$AB$13</f>
        <v>1168044</v>
      </c>
      <c r="F126">
        <v>0</v>
      </c>
      <c r="G126">
        <v>12144.04</v>
      </c>
      <c r="H126">
        <v>16.899999999999999</v>
      </c>
      <c r="I126">
        <v>9</v>
      </c>
      <c r="J126">
        <v>321157</v>
      </c>
      <c r="K126">
        <v>419232</v>
      </c>
      <c r="L126" t="s">
        <v>18</v>
      </c>
      <c r="M126" t="s">
        <v>168</v>
      </c>
      <c r="N126" t="s">
        <v>26</v>
      </c>
      <c r="O126" t="s">
        <v>34</v>
      </c>
      <c r="P126" t="s">
        <v>22</v>
      </c>
      <c r="Q126" t="s">
        <v>23</v>
      </c>
      <c r="R126" t="b">
        <f>OR(Таблица1[[#This Row],[Ежемесячный платеж]]&lt;$AC$5, Таблица1[[#This Row],[Ежемесячный платеж]]&gt;$AC$6)</f>
        <v>0</v>
      </c>
      <c r="S126" s="9">
        <f>(Таблица1[[#This Row],[Размер кредита]]-21824)/(789096-21824)</f>
        <v>0.41211721527698131</v>
      </c>
      <c r="T126" s="9">
        <f>(Таблица1[[#This Row],[Кредитный рейтинг]]-586)/(751-586)</f>
        <v>0.83030303030303032</v>
      </c>
      <c r="U126" s="9">
        <f>Таблица1[[#This Row],[Ежемесячный платеж]]/(Таблица1[[#This Row],[Годовой доход]]/12)</f>
        <v>0.12476283427679095</v>
      </c>
    </row>
    <row r="127" spans="1:21" x14ac:dyDescent="0.3">
      <c r="A127">
        <v>126</v>
      </c>
      <c r="B127">
        <v>0</v>
      </c>
      <c r="C127" s="9">
        <v>446094</v>
      </c>
      <c r="D127">
        <f>$Y$13</f>
        <v>723</v>
      </c>
      <c r="E127">
        <f>$AB$13</f>
        <v>1168044</v>
      </c>
      <c r="F127">
        <v>0</v>
      </c>
      <c r="G127">
        <v>30975.51</v>
      </c>
      <c r="H127">
        <v>7</v>
      </c>
      <c r="I127">
        <v>9</v>
      </c>
      <c r="J127">
        <v>76</v>
      </c>
      <c r="K127">
        <v>85998</v>
      </c>
      <c r="L127" t="s">
        <v>29</v>
      </c>
      <c r="M127" t="s">
        <v>169</v>
      </c>
      <c r="N127" t="s">
        <v>26</v>
      </c>
      <c r="O127" t="s">
        <v>21</v>
      </c>
      <c r="P127" t="s">
        <v>22</v>
      </c>
      <c r="Q127" t="s">
        <v>36</v>
      </c>
      <c r="R127" t="b">
        <f>OR(Таблица1[[#This Row],[Ежемесячный платеж]]&lt;$AC$5, Таблица1[[#This Row],[Ежемесячный платеж]]&gt;$AC$6)</f>
        <v>0</v>
      </c>
      <c r="S127" s="9">
        <f>(Таблица1[[#This Row],[Размер кредита]]-21824)/(789096-21824)</f>
        <v>0.55295905493749287</v>
      </c>
      <c r="T127" s="9">
        <f>(Таблица1[[#This Row],[Кредитный рейтинг]]-586)/(751-586)</f>
        <v>0.83030303030303032</v>
      </c>
      <c r="U127" s="9">
        <f>Таблица1[[#This Row],[Ежемесячный платеж]]/(Таблица1[[#This Row],[Годовой доход]]/12)</f>
        <v>0.31822955299629124</v>
      </c>
    </row>
    <row r="128" spans="1:21" x14ac:dyDescent="0.3">
      <c r="A128">
        <v>127</v>
      </c>
      <c r="B128">
        <v>0</v>
      </c>
      <c r="C128" s="9">
        <v>133078</v>
      </c>
      <c r="D128">
        <v>709</v>
      </c>
      <c r="E128" s="1">
        <v>804460</v>
      </c>
      <c r="F128">
        <v>0</v>
      </c>
      <c r="G128">
        <v>9117.34</v>
      </c>
      <c r="H128">
        <v>12.5</v>
      </c>
      <c r="I128">
        <v>10</v>
      </c>
      <c r="J128">
        <v>111568</v>
      </c>
      <c r="K128">
        <v>243760</v>
      </c>
      <c r="L128" t="s">
        <v>37</v>
      </c>
      <c r="M128" t="s">
        <v>170</v>
      </c>
      <c r="N128" t="s">
        <v>26</v>
      </c>
      <c r="O128" t="s">
        <v>34</v>
      </c>
      <c r="P128" t="s">
        <v>22</v>
      </c>
      <c r="Q128" t="s">
        <v>23</v>
      </c>
      <c r="R128" t="b">
        <f>OR(Таблица1[[#This Row],[Ежемесячный платеж]]&lt;$AC$5, Таблица1[[#This Row],[Ежемесячный платеж]]&gt;$AC$6)</f>
        <v>0</v>
      </c>
      <c r="S128" s="9">
        <f>(Таблица1[[#This Row],[Размер кредита]]-21824)/(789096-21824)</f>
        <v>0.14499942653974079</v>
      </c>
      <c r="T128" s="9">
        <f>(Таблица1[[#This Row],[Кредитный рейтинг]]-586)/(751-586)</f>
        <v>0.74545454545454548</v>
      </c>
      <c r="U128" s="9">
        <f>Таблица1[[#This Row],[Ежемесячный платеж]]/(Таблица1[[#This Row],[Годовой доход]]/12)</f>
        <v>0.13600188946622579</v>
      </c>
    </row>
    <row r="129" spans="1:21" x14ac:dyDescent="0.3">
      <c r="A129">
        <v>128</v>
      </c>
      <c r="B129">
        <v>0</v>
      </c>
      <c r="C129" s="9">
        <v>278058</v>
      </c>
      <c r="D129">
        <f>$Y$13</f>
        <v>723</v>
      </c>
      <c r="E129">
        <f>$AB$13</f>
        <v>1168044</v>
      </c>
      <c r="F129">
        <v>0</v>
      </c>
      <c r="G129">
        <v>18706.64</v>
      </c>
      <c r="H129">
        <v>15.9</v>
      </c>
      <c r="I129">
        <v>10</v>
      </c>
      <c r="J129">
        <v>207423</v>
      </c>
      <c r="K129">
        <v>1171566</v>
      </c>
      <c r="L129" t="s">
        <v>52</v>
      </c>
      <c r="M129" t="s">
        <v>171</v>
      </c>
      <c r="N129" t="s">
        <v>26</v>
      </c>
      <c r="O129" t="s">
        <v>21</v>
      </c>
      <c r="P129" t="s">
        <v>22</v>
      </c>
      <c r="Q129" t="s">
        <v>23</v>
      </c>
      <c r="R129" t="b">
        <f>OR(Таблица1[[#This Row],[Ежемесячный платеж]]&lt;$AC$5, Таблица1[[#This Row],[Ежемесячный платеж]]&gt;$AC$6)</f>
        <v>0</v>
      </c>
      <c r="S129" s="9">
        <f>(Таблица1[[#This Row],[Размер кредита]]-21824)/(789096-21824)</f>
        <v>0.33395458194747102</v>
      </c>
      <c r="T129" s="9">
        <f>(Таблица1[[#This Row],[Кредитный рейтинг]]-586)/(751-586)</f>
        <v>0.83030303030303032</v>
      </c>
      <c r="U129" s="9">
        <f>Таблица1[[#This Row],[Ежемесячный платеж]]/(Таблица1[[#This Row],[Годовой доход]]/12)</f>
        <v>0.1921842670310365</v>
      </c>
    </row>
    <row r="130" spans="1:21" x14ac:dyDescent="0.3">
      <c r="A130">
        <v>129</v>
      </c>
      <c r="B130">
        <v>0</v>
      </c>
      <c r="D130">
        <v>742</v>
      </c>
      <c r="E130" s="1">
        <v>1359792</v>
      </c>
      <c r="F130">
        <v>0</v>
      </c>
      <c r="G130">
        <v>17224.07</v>
      </c>
      <c r="H130">
        <v>10.7</v>
      </c>
      <c r="I130">
        <v>8</v>
      </c>
      <c r="J130">
        <v>57000</v>
      </c>
      <c r="K130">
        <v>150678</v>
      </c>
      <c r="L130" t="s">
        <v>37</v>
      </c>
      <c r="M130" t="s">
        <v>172</v>
      </c>
      <c r="N130" t="s">
        <v>26</v>
      </c>
      <c r="O130" t="s">
        <v>34</v>
      </c>
      <c r="P130" t="s">
        <v>22</v>
      </c>
      <c r="Q130" t="s">
        <v>23</v>
      </c>
      <c r="R130" t="b">
        <f>OR(Таблица1[[#This Row],[Ежемесячный платеж]]&lt;$AC$5, Таблица1[[#This Row],[Ежемесячный платеж]]&gt;$AC$6)</f>
        <v>0</v>
      </c>
      <c r="T130" s="9">
        <f>(Таблица1[[#This Row],[Кредитный рейтинг]]-586)/(751-586)</f>
        <v>0.94545454545454544</v>
      </c>
      <c r="U130" s="9">
        <f>Таблица1[[#This Row],[Ежемесячный платеж]]/(Таблица1[[#This Row],[Годовой доход]]/12)</f>
        <v>0.15200033534540577</v>
      </c>
    </row>
    <row r="131" spans="1:21" x14ac:dyDescent="0.3">
      <c r="A131">
        <v>130</v>
      </c>
      <c r="B131">
        <v>0</v>
      </c>
      <c r="C131" s="9">
        <v>752290</v>
      </c>
      <c r="D131">
        <v>649</v>
      </c>
      <c r="E131" s="1">
        <v>2320375</v>
      </c>
      <c r="F131">
        <v>16</v>
      </c>
      <c r="G131">
        <v>39252.86</v>
      </c>
      <c r="H131">
        <v>13.4</v>
      </c>
      <c r="I131">
        <v>13</v>
      </c>
      <c r="J131">
        <v>431053</v>
      </c>
      <c r="K131">
        <v>513502</v>
      </c>
      <c r="L131" t="s">
        <v>29</v>
      </c>
      <c r="M131" t="s">
        <v>173</v>
      </c>
      <c r="N131" t="s">
        <v>26</v>
      </c>
      <c r="O131" t="s">
        <v>34</v>
      </c>
      <c r="P131" t="s">
        <v>31</v>
      </c>
      <c r="Q131" t="s">
        <v>23</v>
      </c>
      <c r="R131" t="b">
        <f>OR(Таблица1[[#This Row],[Ежемесячный платеж]]&lt;$AC$5, Таблица1[[#This Row],[Ежемесячный платеж]]&gt;$AC$6)</f>
        <v>0</v>
      </c>
      <c r="S131" s="9">
        <f>(Таблица1[[#This Row],[Размер кредита]]-21824)/(789096-21824)</f>
        <v>0.95203004931758228</v>
      </c>
      <c r="T131" s="9">
        <f>(Таблица1[[#This Row],[Кредитный рейтинг]]-586)/(751-586)</f>
        <v>0.38181818181818183</v>
      </c>
      <c r="U131" s="9">
        <f>Таблица1[[#This Row],[Ежемесячный платеж]]/(Таблица1[[#This Row],[Годовой доход]]/12)</f>
        <v>0.20299922210849539</v>
      </c>
    </row>
    <row r="132" spans="1:21" x14ac:dyDescent="0.3">
      <c r="A132">
        <v>131</v>
      </c>
      <c r="B132">
        <v>0</v>
      </c>
      <c r="D132">
        <v>734</v>
      </c>
      <c r="E132" s="1">
        <v>622991</v>
      </c>
      <c r="F132">
        <v>75</v>
      </c>
      <c r="G132">
        <v>8046.88</v>
      </c>
      <c r="H132">
        <v>10.7</v>
      </c>
      <c r="I132">
        <v>15</v>
      </c>
      <c r="J132">
        <v>69179</v>
      </c>
      <c r="K132">
        <v>238370</v>
      </c>
      <c r="L132" t="s">
        <v>69</v>
      </c>
      <c r="M132" t="s">
        <v>174</v>
      </c>
      <c r="N132" t="s">
        <v>26</v>
      </c>
      <c r="O132" t="s">
        <v>28</v>
      </c>
      <c r="P132" t="s">
        <v>22</v>
      </c>
      <c r="Q132" t="s">
        <v>23</v>
      </c>
      <c r="R132" t="b">
        <f>OR(Таблица1[[#This Row],[Ежемесячный платеж]]&lt;$AC$5, Таблица1[[#This Row],[Ежемесячный платеж]]&gt;$AC$6)</f>
        <v>0</v>
      </c>
      <c r="T132" s="9">
        <f>(Таблица1[[#This Row],[Кредитный рейтинг]]-586)/(751-586)</f>
        <v>0.89696969696969697</v>
      </c>
      <c r="U132" s="9">
        <f>Таблица1[[#This Row],[Ежемесячный платеж]]/(Таблица1[[#This Row],[Годовой доход]]/12)</f>
        <v>0.15499832260819177</v>
      </c>
    </row>
    <row r="133" spans="1:21" x14ac:dyDescent="0.3">
      <c r="A133">
        <v>132</v>
      </c>
      <c r="B133">
        <v>0</v>
      </c>
      <c r="C133" s="9">
        <v>105556</v>
      </c>
      <c r="D133">
        <f>$Y$13</f>
        <v>723</v>
      </c>
      <c r="E133">
        <f>$AB$13</f>
        <v>1168044</v>
      </c>
      <c r="F133">
        <v>7</v>
      </c>
      <c r="G133">
        <v>18234.11</v>
      </c>
      <c r="H133">
        <v>20.7</v>
      </c>
      <c r="I133">
        <v>13</v>
      </c>
      <c r="J133">
        <v>220894</v>
      </c>
      <c r="K133">
        <v>846890</v>
      </c>
      <c r="L133" t="s">
        <v>24</v>
      </c>
      <c r="M133" t="s">
        <v>175</v>
      </c>
      <c r="N133" t="s">
        <v>26</v>
      </c>
      <c r="O133" t="s">
        <v>21</v>
      </c>
      <c r="P133" t="s">
        <v>22</v>
      </c>
      <c r="Q133" t="s">
        <v>23</v>
      </c>
      <c r="R133" t="b">
        <f>OR(Таблица1[[#This Row],[Ежемесячный платеж]]&lt;$AC$5, Таблица1[[#This Row],[Ежемесячный платеж]]&gt;$AC$6)</f>
        <v>0</v>
      </c>
      <c r="S133" s="9">
        <f>(Таблица1[[#This Row],[Размер кредита]]-21824)/(789096-21824)</f>
        <v>0.10912948732652827</v>
      </c>
      <c r="T133" s="9">
        <f>(Таблица1[[#This Row],[Кредитный рейтинг]]-586)/(751-586)</f>
        <v>0.83030303030303032</v>
      </c>
      <c r="U133" s="9">
        <f>Таблица1[[#This Row],[Ежемесячный платеж]]/(Таблица1[[#This Row],[Годовой доход]]/12)</f>
        <v>0.18732968963497951</v>
      </c>
    </row>
    <row r="134" spans="1:21" x14ac:dyDescent="0.3">
      <c r="A134">
        <v>133</v>
      </c>
      <c r="B134">
        <v>0</v>
      </c>
      <c r="C134" s="9">
        <v>262724</v>
      </c>
      <c r="D134">
        <v>695</v>
      </c>
      <c r="E134" s="1">
        <v>1229072</v>
      </c>
      <c r="F134">
        <v>0</v>
      </c>
      <c r="G134">
        <v>21508.76</v>
      </c>
      <c r="H134">
        <v>21.8</v>
      </c>
      <c r="I134">
        <v>5</v>
      </c>
      <c r="J134">
        <v>337725</v>
      </c>
      <c r="K134">
        <v>394218</v>
      </c>
      <c r="L134" t="s">
        <v>47</v>
      </c>
      <c r="M134" t="s">
        <v>176</v>
      </c>
      <c r="N134" t="s">
        <v>26</v>
      </c>
      <c r="O134" t="s">
        <v>34</v>
      </c>
      <c r="P134" t="s">
        <v>31</v>
      </c>
      <c r="Q134" t="s">
        <v>23</v>
      </c>
      <c r="R134" t="b">
        <f>OR(Таблица1[[#This Row],[Ежемесячный платеж]]&lt;$AC$5, Таблица1[[#This Row],[Ежемесячный платеж]]&gt;$AC$6)</f>
        <v>0</v>
      </c>
      <c r="S134" s="9">
        <f>(Таблица1[[#This Row],[Размер кредита]]-21824)/(789096-21824)</f>
        <v>0.31396949191421036</v>
      </c>
      <c r="T134" s="9">
        <f>(Таблица1[[#This Row],[Кредитный рейтинг]]-586)/(751-586)</f>
        <v>0.66060606060606064</v>
      </c>
      <c r="U134" s="9">
        <f>Таблица1[[#This Row],[Ежемесячный платеж]]/(Таблица1[[#This Row],[Годовой доход]]/12)</f>
        <v>0.20999999999999996</v>
      </c>
    </row>
    <row r="135" spans="1:21" x14ac:dyDescent="0.3">
      <c r="A135">
        <v>134</v>
      </c>
      <c r="B135">
        <v>0</v>
      </c>
      <c r="C135" s="9">
        <v>54076</v>
      </c>
      <c r="D135">
        <v>744</v>
      </c>
      <c r="E135" s="1">
        <v>485697</v>
      </c>
      <c r="F135">
        <v>0</v>
      </c>
      <c r="G135">
        <v>2655.06</v>
      </c>
      <c r="H135">
        <v>9</v>
      </c>
      <c r="I135">
        <v>6</v>
      </c>
      <c r="J135">
        <v>19988</v>
      </c>
      <c r="K135">
        <v>282260</v>
      </c>
      <c r="L135" t="s">
        <v>63</v>
      </c>
      <c r="M135" t="s">
        <v>177</v>
      </c>
      <c r="N135" t="s">
        <v>26</v>
      </c>
      <c r="O135" t="s">
        <v>34</v>
      </c>
      <c r="P135" t="s">
        <v>22</v>
      </c>
      <c r="Q135" t="s">
        <v>23</v>
      </c>
      <c r="R135" t="b">
        <f>OR(Таблица1[[#This Row],[Ежемесячный платеж]]&lt;$AC$5, Таблица1[[#This Row],[Ежемесячный платеж]]&gt;$AC$6)</f>
        <v>0</v>
      </c>
      <c r="S135" s="9">
        <f>(Таблица1[[#This Row],[Размер кредита]]-21824)/(789096-21824)</f>
        <v>4.2034636999655921E-2</v>
      </c>
      <c r="T135" s="9">
        <f>(Таблица1[[#This Row],[Кредитный рейтинг]]-586)/(751-586)</f>
        <v>0.95757575757575752</v>
      </c>
      <c r="U135" s="9">
        <f>Таблица1[[#This Row],[Ежемесячный платеж]]/(Таблица1[[#This Row],[Годовой доход]]/12)</f>
        <v>6.5597934514728312E-2</v>
      </c>
    </row>
    <row r="136" spans="1:21" x14ac:dyDescent="0.3">
      <c r="A136">
        <v>135</v>
      </c>
      <c r="B136">
        <v>0</v>
      </c>
      <c r="C136" s="9">
        <v>552882</v>
      </c>
      <c r="D136">
        <v>686</v>
      </c>
      <c r="E136" s="1">
        <v>1262151</v>
      </c>
      <c r="F136">
        <v>48</v>
      </c>
      <c r="G136">
        <v>23770.71</v>
      </c>
      <c r="H136">
        <v>23.4</v>
      </c>
      <c r="I136">
        <v>13</v>
      </c>
      <c r="J136">
        <v>299706</v>
      </c>
      <c r="K136">
        <v>694056</v>
      </c>
      <c r="L136" t="s">
        <v>24</v>
      </c>
      <c r="M136" t="s">
        <v>178</v>
      </c>
      <c r="N136" t="s">
        <v>26</v>
      </c>
      <c r="O136" t="s">
        <v>34</v>
      </c>
      <c r="P136" t="s">
        <v>31</v>
      </c>
      <c r="Q136" t="s">
        <v>36</v>
      </c>
      <c r="R136" t="b">
        <f>OR(Таблица1[[#This Row],[Ежемесячный платеж]]&lt;$AC$5, Таблица1[[#This Row],[Ежемесячный платеж]]&gt;$AC$6)</f>
        <v>0</v>
      </c>
      <c r="S136" s="9">
        <f>(Таблица1[[#This Row],[Размер кредита]]-21824)/(789096-21824)</f>
        <v>0.6921378598463126</v>
      </c>
      <c r="T136" s="9">
        <f>(Таблица1[[#This Row],[Кредитный рейтинг]]-586)/(751-586)</f>
        <v>0.60606060606060608</v>
      </c>
      <c r="U136" s="9">
        <f>Таблица1[[#This Row],[Ежемесячный платеж]]/(Таблица1[[#This Row],[Годовой доход]]/12)</f>
        <v>0.22600189676195637</v>
      </c>
    </row>
    <row r="137" spans="1:21" x14ac:dyDescent="0.3">
      <c r="A137">
        <v>136</v>
      </c>
      <c r="B137">
        <v>0</v>
      </c>
      <c r="C137" s="9">
        <v>257400</v>
      </c>
      <c r="D137">
        <f>$Y$13</f>
        <v>723</v>
      </c>
      <c r="E137">
        <f>$AB$13</f>
        <v>1168044</v>
      </c>
      <c r="F137">
        <v>0</v>
      </c>
      <c r="G137">
        <v>13740.99</v>
      </c>
      <c r="H137">
        <v>15.7</v>
      </c>
      <c r="I137">
        <v>11</v>
      </c>
      <c r="J137">
        <v>191159</v>
      </c>
      <c r="K137">
        <v>274626</v>
      </c>
      <c r="L137" t="s">
        <v>52</v>
      </c>
      <c r="M137" s="2" t="s">
        <v>179</v>
      </c>
      <c r="N137" t="s">
        <v>26</v>
      </c>
      <c r="O137" t="s">
        <v>21</v>
      </c>
      <c r="P137" t="s">
        <v>22</v>
      </c>
      <c r="Q137" t="s">
        <v>23</v>
      </c>
      <c r="R137" t="b">
        <f>OR(Таблица1[[#This Row],[Ежемесячный платеж]]&lt;$AC$5, Таблица1[[#This Row],[Ежемесячный платеж]]&gt;$AC$6)</f>
        <v>0</v>
      </c>
      <c r="S137" s="9">
        <f>(Таблица1[[#This Row],[Размер кредита]]-21824)/(789096-21824)</f>
        <v>0.30703062277784149</v>
      </c>
      <c r="T137" s="9">
        <f>(Таблица1[[#This Row],[Кредитный рейтинг]]-586)/(751-586)</f>
        <v>0.83030303030303032</v>
      </c>
      <c r="U137" s="9">
        <f>Таблица1[[#This Row],[Ежемесячный платеж]]/(Таблица1[[#This Row],[Годовой доход]]/12)</f>
        <v>0.14116923677532695</v>
      </c>
    </row>
    <row r="138" spans="1:21" x14ac:dyDescent="0.3">
      <c r="A138">
        <v>137</v>
      </c>
      <c r="B138">
        <v>0</v>
      </c>
      <c r="C138" s="9">
        <v>462088</v>
      </c>
      <c r="D138">
        <f>$Y$13</f>
        <v>723</v>
      </c>
      <c r="E138">
        <f>$AB$13</f>
        <v>1168044</v>
      </c>
      <c r="F138">
        <v>0</v>
      </c>
      <c r="G138">
        <v>17759.3</v>
      </c>
      <c r="H138">
        <v>14.8</v>
      </c>
      <c r="I138">
        <v>13</v>
      </c>
      <c r="J138">
        <v>627418</v>
      </c>
      <c r="K138">
        <v>1603712</v>
      </c>
      <c r="L138" t="s">
        <v>52</v>
      </c>
      <c r="M138" t="s">
        <v>180</v>
      </c>
      <c r="N138" t="s">
        <v>26</v>
      </c>
      <c r="O138" t="s">
        <v>21</v>
      </c>
      <c r="P138" t="s">
        <v>22</v>
      </c>
      <c r="Q138" t="s">
        <v>23</v>
      </c>
      <c r="R138" t="b">
        <f>OR(Таблица1[[#This Row],[Ежемесячный платеж]]&lt;$AC$5, Таблица1[[#This Row],[Ежемесячный платеж]]&gt;$AC$6)</f>
        <v>0</v>
      </c>
      <c r="S138" s="9">
        <f>(Таблица1[[#This Row],[Размер кредита]]-21824)/(789096-21824)</f>
        <v>0.57380433535955955</v>
      </c>
      <c r="T138" s="9">
        <f>(Таблица1[[#This Row],[Кредитный рейтинг]]-586)/(751-586)</f>
        <v>0.83030303030303032</v>
      </c>
      <c r="U138" s="9">
        <f>Таблица1[[#This Row],[Ежемесячный платеж]]/(Таблица1[[#This Row],[Годовой доход]]/12)</f>
        <v>0.18245168846379073</v>
      </c>
    </row>
    <row r="139" spans="1:21" x14ac:dyDescent="0.3">
      <c r="A139">
        <v>138</v>
      </c>
      <c r="B139">
        <v>0</v>
      </c>
      <c r="C139" s="9">
        <v>460152</v>
      </c>
      <c r="D139">
        <f>$Y$13</f>
        <v>723</v>
      </c>
      <c r="E139">
        <f>$AB$13</f>
        <v>1168044</v>
      </c>
      <c r="F139">
        <v>6</v>
      </c>
      <c r="G139">
        <v>21330.92</v>
      </c>
      <c r="H139">
        <v>20.5</v>
      </c>
      <c r="I139">
        <v>13</v>
      </c>
      <c r="J139">
        <v>1220978</v>
      </c>
      <c r="K139">
        <v>5396072</v>
      </c>
      <c r="L139" t="s">
        <v>24</v>
      </c>
      <c r="M139" t="s">
        <v>181</v>
      </c>
      <c r="N139" t="s">
        <v>26</v>
      </c>
      <c r="O139" t="s">
        <v>28</v>
      </c>
      <c r="P139" t="s">
        <v>22</v>
      </c>
      <c r="Q139" t="s">
        <v>23</v>
      </c>
      <c r="R139" t="b">
        <f>OR(Таблица1[[#This Row],[Ежемесячный платеж]]&lt;$AC$5, Таблица1[[#This Row],[Ежемесячный платеж]]&gt;$AC$6)</f>
        <v>0</v>
      </c>
      <c r="S139" s="9">
        <f>(Таблица1[[#This Row],[Размер кредита]]-21824)/(789096-21824)</f>
        <v>0.57128111021906181</v>
      </c>
      <c r="T139" s="9">
        <f>(Таблица1[[#This Row],[Кредитный рейтинг]]-586)/(751-586)</f>
        <v>0.83030303030303032</v>
      </c>
      <c r="U139" s="9">
        <f>Таблица1[[#This Row],[Ежемесячный платеж]]/(Таблица1[[#This Row],[Годовой доход]]/12)</f>
        <v>0.2191450322076908</v>
      </c>
    </row>
    <row r="140" spans="1:21" x14ac:dyDescent="0.3">
      <c r="A140">
        <v>139</v>
      </c>
      <c r="B140">
        <v>0</v>
      </c>
      <c r="C140" s="9">
        <v>402534</v>
      </c>
      <c r="D140">
        <v>741</v>
      </c>
      <c r="E140" s="1">
        <v>3090160</v>
      </c>
      <c r="F140">
        <v>6</v>
      </c>
      <c r="G140">
        <v>23639.8</v>
      </c>
      <c r="H140">
        <v>19.600000000000001</v>
      </c>
      <c r="I140">
        <v>15</v>
      </c>
      <c r="J140">
        <v>691467</v>
      </c>
      <c r="K140">
        <v>1332188</v>
      </c>
      <c r="L140" t="s">
        <v>50</v>
      </c>
      <c r="M140" t="s">
        <v>182</v>
      </c>
      <c r="N140" t="s">
        <v>26</v>
      </c>
      <c r="O140" t="s">
        <v>34</v>
      </c>
      <c r="P140" t="s">
        <v>22</v>
      </c>
      <c r="Q140" t="s">
        <v>36</v>
      </c>
      <c r="R140" t="b">
        <f>OR(Таблица1[[#This Row],[Ежемесячный платеж]]&lt;$AC$5, Таблица1[[#This Row],[Ежемесячный платеж]]&gt;$AC$6)</f>
        <v>0</v>
      </c>
      <c r="S140" s="9">
        <f>(Таблица1[[#This Row],[Размер кредита]]-21824)/(789096-21824)</f>
        <v>0.49618648927629316</v>
      </c>
      <c r="T140" s="9">
        <f>(Таблица1[[#This Row],[Кредитный рейтинг]]-586)/(751-586)</f>
        <v>0.93939393939393945</v>
      </c>
      <c r="U140" s="9">
        <f>Таблица1[[#This Row],[Ежемесячный платеж]]/(Таблица1[[#This Row],[Годовой доход]]/12)</f>
        <v>9.1800295130349235E-2</v>
      </c>
    </row>
    <row r="141" spans="1:21" x14ac:dyDescent="0.3">
      <c r="A141">
        <v>140</v>
      </c>
      <c r="B141">
        <v>0</v>
      </c>
      <c r="C141" s="9">
        <v>129844</v>
      </c>
      <c r="D141">
        <f>$Y$13</f>
        <v>723</v>
      </c>
      <c r="E141">
        <f>$AB$13</f>
        <v>1168044</v>
      </c>
      <c r="F141">
        <v>0</v>
      </c>
      <c r="G141">
        <v>16120.17</v>
      </c>
      <c r="H141">
        <v>14.2</v>
      </c>
      <c r="I141">
        <v>10</v>
      </c>
      <c r="J141">
        <v>110618</v>
      </c>
      <c r="K141">
        <v>212058</v>
      </c>
      <c r="L141" t="s">
        <v>37</v>
      </c>
      <c r="M141" t="s">
        <v>183</v>
      </c>
      <c r="N141" t="s">
        <v>26</v>
      </c>
      <c r="O141" t="s">
        <v>34</v>
      </c>
      <c r="P141" t="s">
        <v>22</v>
      </c>
      <c r="Q141" t="s">
        <v>23</v>
      </c>
      <c r="R141" t="b">
        <f>OR(Таблица1[[#This Row],[Ежемесячный платеж]]&lt;$AC$5, Таблица1[[#This Row],[Ежемесячный платеж]]&gt;$AC$6)</f>
        <v>0</v>
      </c>
      <c r="S141" s="9">
        <f>(Таблица1[[#This Row],[Размер кредита]]-21824)/(789096-21824)</f>
        <v>0.14078449363459111</v>
      </c>
      <c r="T141" s="9">
        <f>(Таблица1[[#This Row],[Кредитный рейтинг]]-586)/(751-586)</f>
        <v>0.83030303030303032</v>
      </c>
      <c r="U141" s="9">
        <f>Таблица1[[#This Row],[Ежемесячный платеж]]/(Таблица1[[#This Row],[Годовой доход]]/12)</f>
        <v>0.16561194612531721</v>
      </c>
    </row>
    <row r="142" spans="1:21" x14ac:dyDescent="0.3">
      <c r="A142">
        <v>141</v>
      </c>
      <c r="B142">
        <v>0</v>
      </c>
      <c r="C142" s="9">
        <v>232716</v>
      </c>
      <c r="D142">
        <v>637</v>
      </c>
      <c r="E142" s="1">
        <v>1049427</v>
      </c>
      <c r="F142">
        <v>61</v>
      </c>
      <c r="G142">
        <v>12942.99</v>
      </c>
      <c r="H142">
        <v>9.5</v>
      </c>
      <c r="I142">
        <v>20</v>
      </c>
      <c r="J142">
        <v>226442</v>
      </c>
      <c r="K142">
        <v>389026</v>
      </c>
      <c r="L142" t="s">
        <v>32</v>
      </c>
      <c r="M142" s="2" t="s">
        <v>184</v>
      </c>
      <c r="N142" t="s">
        <v>20</v>
      </c>
      <c r="O142" t="s">
        <v>34</v>
      </c>
      <c r="P142" t="s">
        <v>22</v>
      </c>
      <c r="Q142" t="s">
        <v>36</v>
      </c>
      <c r="R142" t="b">
        <f>OR(Таблица1[[#This Row],[Ежемесячный платеж]]&lt;$AC$5, Таблица1[[#This Row],[Ежемесячный платеж]]&gt;$AC$6)</f>
        <v>0</v>
      </c>
      <c r="S142" s="9">
        <f>(Таблица1[[#This Row],[Размер кредита]]-21824)/(789096-21824)</f>
        <v>0.27485950223649502</v>
      </c>
      <c r="T142" s="9">
        <f>(Таблица1[[#This Row],[Кредитный рейтинг]]-586)/(751-586)</f>
        <v>0.30909090909090908</v>
      </c>
      <c r="U142" s="9">
        <f>Таблица1[[#This Row],[Ежемесячный платеж]]/(Таблица1[[#This Row],[Годовой доход]]/12)</f>
        <v>0.14800065178425942</v>
      </c>
    </row>
    <row r="143" spans="1:21" x14ac:dyDescent="0.3">
      <c r="A143">
        <v>142</v>
      </c>
      <c r="B143">
        <v>0</v>
      </c>
      <c r="C143" s="9">
        <v>286462</v>
      </c>
      <c r="D143">
        <v>719</v>
      </c>
      <c r="E143" s="1">
        <v>1380426</v>
      </c>
      <c r="F143">
        <v>75</v>
      </c>
      <c r="G143">
        <v>27378.62</v>
      </c>
      <c r="H143">
        <v>15.7</v>
      </c>
      <c r="I143">
        <v>10</v>
      </c>
      <c r="J143">
        <v>177916</v>
      </c>
      <c r="K143">
        <v>335522</v>
      </c>
      <c r="L143" t="s">
        <v>24</v>
      </c>
      <c r="M143" t="s">
        <v>185</v>
      </c>
      <c r="N143" t="s">
        <v>26</v>
      </c>
      <c r="O143" t="s">
        <v>21</v>
      </c>
      <c r="P143" t="s">
        <v>31</v>
      </c>
      <c r="Q143" t="s">
        <v>23</v>
      </c>
      <c r="R143" t="b">
        <f>OR(Таблица1[[#This Row],[Ежемесячный платеж]]&lt;$AC$5, Таблица1[[#This Row],[Ежемесячный платеж]]&gt;$AC$6)</f>
        <v>0</v>
      </c>
      <c r="S143" s="9">
        <f>(Таблица1[[#This Row],[Размер кредита]]-21824)/(789096-21824)</f>
        <v>0.34490767289826813</v>
      </c>
      <c r="T143" s="9">
        <f>(Таблица1[[#This Row],[Кредитный рейтинг]]-586)/(751-586)</f>
        <v>0.80606060606060603</v>
      </c>
      <c r="U143" s="9">
        <f>Таблица1[[#This Row],[Ежемесячный платеж]]/(Таблица1[[#This Row],[Годовой доход]]/12)</f>
        <v>0.23800148649764638</v>
      </c>
    </row>
    <row r="144" spans="1:21" x14ac:dyDescent="0.3">
      <c r="A144">
        <v>143</v>
      </c>
      <c r="B144">
        <v>0</v>
      </c>
      <c r="C144" s="9">
        <v>223256</v>
      </c>
      <c r="D144">
        <v>740</v>
      </c>
      <c r="E144" s="1">
        <v>804916</v>
      </c>
      <c r="F144">
        <v>7</v>
      </c>
      <c r="G144">
        <v>6774.64</v>
      </c>
      <c r="H144">
        <v>34.4</v>
      </c>
      <c r="I144">
        <v>13</v>
      </c>
      <c r="J144">
        <v>308142</v>
      </c>
      <c r="K144">
        <v>587818</v>
      </c>
      <c r="L144" t="s">
        <v>52</v>
      </c>
      <c r="M144" t="s">
        <v>186</v>
      </c>
      <c r="N144" t="s">
        <v>26</v>
      </c>
      <c r="O144" t="s">
        <v>21</v>
      </c>
      <c r="P144" t="s">
        <v>22</v>
      </c>
      <c r="Q144" t="s">
        <v>23</v>
      </c>
      <c r="R144" t="b">
        <f>OR(Таблица1[[#This Row],[Ежемесячный платеж]]&lt;$AC$5, Таблица1[[#This Row],[Ежемесячный платеж]]&gt;$AC$6)</f>
        <v>0</v>
      </c>
      <c r="S144" s="9">
        <f>(Таблица1[[#This Row],[Размер кредита]]-21824)/(789096-21824)</f>
        <v>0.26253010666360821</v>
      </c>
      <c r="T144" s="9">
        <f>(Таблица1[[#This Row],[Кредитный рейтинг]]-586)/(751-586)</f>
        <v>0.93333333333333335</v>
      </c>
      <c r="U144" s="9">
        <f>Таблица1[[#This Row],[Ежемесячный платеж]]/(Таблица1[[#This Row],[Годовой доход]]/12)</f>
        <v>0.10099896138230574</v>
      </c>
    </row>
    <row r="145" spans="1:21" x14ac:dyDescent="0.3">
      <c r="A145">
        <v>144</v>
      </c>
      <c r="B145">
        <v>0</v>
      </c>
      <c r="C145" s="9">
        <v>348832</v>
      </c>
      <c r="D145">
        <v>704</v>
      </c>
      <c r="E145" s="1">
        <v>497306</v>
      </c>
      <c r="F145">
        <v>0</v>
      </c>
      <c r="G145">
        <v>3257.36</v>
      </c>
      <c r="H145">
        <v>13</v>
      </c>
      <c r="I145">
        <v>4</v>
      </c>
      <c r="J145">
        <v>90022</v>
      </c>
      <c r="K145">
        <v>167860</v>
      </c>
      <c r="L145" t="s">
        <v>37</v>
      </c>
      <c r="M145" s="2" t="s">
        <v>187</v>
      </c>
      <c r="N145" t="s">
        <v>26</v>
      </c>
      <c r="O145" t="s">
        <v>34</v>
      </c>
      <c r="P145" t="s">
        <v>31</v>
      </c>
      <c r="Q145" t="s">
        <v>23</v>
      </c>
      <c r="R145" t="b">
        <f>OR(Таблица1[[#This Row],[Ежемесячный платеж]]&lt;$AC$5, Таблица1[[#This Row],[Ежемесячный платеж]]&gt;$AC$6)</f>
        <v>0</v>
      </c>
      <c r="S145" s="9">
        <f>(Таблица1[[#This Row],[Размер кредита]]-21824)/(789096-21824)</f>
        <v>0.4261956646404404</v>
      </c>
      <c r="T145" s="9">
        <f>(Таблица1[[#This Row],[Кредитный рейтинг]]-586)/(751-586)</f>
        <v>0.7151515151515152</v>
      </c>
      <c r="U145" s="9">
        <f>Таблица1[[#This Row],[Ежемесячный платеж]]/(Таблица1[[#This Row],[Годовой доход]]/12)</f>
        <v>7.8600137541071299E-2</v>
      </c>
    </row>
    <row r="146" spans="1:21" x14ac:dyDescent="0.3">
      <c r="A146">
        <v>145</v>
      </c>
      <c r="B146">
        <v>0</v>
      </c>
      <c r="C146" s="9">
        <v>537878</v>
      </c>
      <c r="D146">
        <v>743</v>
      </c>
      <c r="E146" s="1">
        <v>1296807</v>
      </c>
      <c r="F146">
        <v>70</v>
      </c>
      <c r="G146">
        <v>24963.53</v>
      </c>
      <c r="H146">
        <v>18.399999999999999</v>
      </c>
      <c r="I146">
        <v>12</v>
      </c>
      <c r="J146">
        <v>249223</v>
      </c>
      <c r="K146">
        <v>515306</v>
      </c>
      <c r="L146" t="s">
        <v>63</v>
      </c>
      <c r="M146" t="s">
        <v>188</v>
      </c>
      <c r="N146" t="s">
        <v>26</v>
      </c>
      <c r="O146" t="s">
        <v>21</v>
      </c>
      <c r="P146" t="s">
        <v>22</v>
      </c>
      <c r="Q146" t="s">
        <v>23</v>
      </c>
      <c r="R146" t="b">
        <f>OR(Таблица1[[#This Row],[Ежемесячный платеж]]&lt;$AC$5, Таблица1[[#This Row],[Ежемесячный платеж]]&gt;$AC$6)</f>
        <v>0</v>
      </c>
      <c r="S146" s="9">
        <f>(Таблица1[[#This Row],[Размер кредита]]-21824)/(789096-21824)</f>
        <v>0.67258286500745501</v>
      </c>
      <c r="T146" s="9">
        <f>(Таблица1[[#This Row],[Кредитный рейтинг]]-586)/(751-586)</f>
        <v>0.95151515151515154</v>
      </c>
      <c r="U146" s="9">
        <f>Таблица1[[#This Row],[Ежемесячный платеж]]/(Таблица1[[#This Row],[Годовой доход]]/12)</f>
        <v>0.23099995604588808</v>
      </c>
    </row>
    <row r="147" spans="1:21" x14ac:dyDescent="0.3">
      <c r="A147">
        <v>146</v>
      </c>
      <c r="B147">
        <v>0</v>
      </c>
      <c r="C147" s="9">
        <v>196460</v>
      </c>
      <c r="D147">
        <v>746</v>
      </c>
      <c r="E147" s="1">
        <v>942590</v>
      </c>
      <c r="F147">
        <v>0</v>
      </c>
      <c r="G147">
        <v>15160.1</v>
      </c>
      <c r="H147">
        <v>23.5</v>
      </c>
      <c r="I147">
        <v>8</v>
      </c>
      <c r="J147">
        <v>138700</v>
      </c>
      <c r="K147">
        <v>410718</v>
      </c>
      <c r="L147" t="s">
        <v>41</v>
      </c>
      <c r="M147" t="s">
        <v>189</v>
      </c>
      <c r="N147" t="s">
        <v>26</v>
      </c>
      <c r="O147" t="s">
        <v>21</v>
      </c>
      <c r="P147" t="s">
        <v>22</v>
      </c>
      <c r="Q147" t="s">
        <v>23</v>
      </c>
      <c r="R147" t="b">
        <f>OR(Таблица1[[#This Row],[Ежемесячный платеж]]&lt;$AC$5, Таблица1[[#This Row],[Ежемесячный платеж]]&gt;$AC$6)</f>
        <v>0</v>
      </c>
      <c r="S147" s="9">
        <f>(Таблица1[[#This Row],[Размер кредита]]-21824)/(789096-21824)</f>
        <v>0.22760637687808236</v>
      </c>
      <c r="T147" s="9">
        <f>(Таблица1[[#This Row],[Кредитный рейтинг]]-586)/(751-586)</f>
        <v>0.96969696969696972</v>
      </c>
      <c r="U147" s="9">
        <f>Таблица1[[#This Row],[Ежемесячный платеж]]/(Таблица1[[#This Row],[Годовой доход]]/12)</f>
        <v>0.19300141100584559</v>
      </c>
    </row>
    <row r="148" spans="1:21" x14ac:dyDescent="0.3">
      <c r="A148">
        <v>147</v>
      </c>
      <c r="B148">
        <v>0</v>
      </c>
      <c r="C148" s="9">
        <v>214786</v>
      </c>
      <c r="D148">
        <v>723</v>
      </c>
      <c r="E148" s="1">
        <v>883329</v>
      </c>
      <c r="F148">
        <v>79</v>
      </c>
      <c r="G148">
        <v>11924.97</v>
      </c>
      <c r="H148">
        <v>14.3</v>
      </c>
      <c r="I148">
        <v>5</v>
      </c>
      <c r="J148">
        <v>154755</v>
      </c>
      <c r="K148">
        <v>193314</v>
      </c>
      <c r="L148" t="s">
        <v>50</v>
      </c>
      <c r="M148" t="s">
        <v>190</v>
      </c>
      <c r="N148" t="s">
        <v>26</v>
      </c>
      <c r="O148" t="s">
        <v>21</v>
      </c>
      <c r="P148" t="s">
        <v>22</v>
      </c>
      <c r="Q148" t="s">
        <v>23</v>
      </c>
      <c r="R148" t="b">
        <f>OR(Таблица1[[#This Row],[Ежемесячный платеж]]&lt;$AC$5, Таблица1[[#This Row],[Ежемесячный платеж]]&gt;$AC$6)</f>
        <v>0</v>
      </c>
      <c r="S148" s="9">
        <f>(Таблица1[[#This Row],[Размер кредита]]-21824)/(789096-21824)</f>
        <v>0.25149099667393049</v>
      </c>
      <c r="T148" s="9">
        <f>(Таблица1[[#This Row],[Кредитный рейтинг]]-586)/(751-586)</f>
        <v>0.83030303030303032</v>
      </c>
      <c r="U148" s="9">
        <f>Таблица1[[#This Row],[Ежемесячный платеж]]/(Таблица1[[#This Row],[Годовой доход]]/12)</f>
        <v>0.16200038717171064</v>
      </c>
    </row>
    <row r="149" spans="1:21" x14ac:dyDescent="0.3">
      <c r="A149">
        <v>148</v>
      </c>
      <c r="B149">
        <v>0</v>
      </c>
      <c r="C149" s="9">
        <v>109538</v>
      </c>
      <c r="D149">
        <v>697</v>
      </c>
      <c r="E149" s="1">
        <v>567606</v>
      </c>
      <c r="F149">
        <v>62</v>
      </c>
      <c r="G149">
        <v>5770.68</v>
      </c>
      <c r="H149">
        <v>14.3</v>
      </c>
      <c r="I149">
        <v>10</v>
      </c>
      <c r="J149">
        <v>86716</v>
      </c>
      <c r="K149">
        <v>151206</v>
      </c>
      <c r="L149" t="s">
        <v>52</v>
      </c>
      <c r="M149" t="s">
        <v>191</v>
      </c>
      <c r="N149" t="s">
        <v>26</v>
      </c>
      <c r="O149" t="s">
        <v>21</v>
      </c>
      <c r="P149" t="s">
        <v>22</v>
      </c>
      <c r="Q149" t="s">
        <v>23</v>
      </c>
      <c r="R149" t="b">
        <f>OR(Таблица1[[#This Row],[Ежемесячный платеж]]&lt;$AC$5, Таблица1[[#This Row],[Ежемесячный платеж]]&gt;$AC$6)</f>
        <v>0</v>
      </c>
      <c r="S149" s="9">
        <f>(Таблица1[[#This Row],[Размер кредита]]-21824)/(789096-21824)</f>
        <v>0.1143193026723248</v>
      </c>
      <c r="T149" s="9">
        <f>(Таблица1[[#This Row],[Кредитный рейтинг]]-586)/(751-586)</f>
        <v>0.67272727272727273</v>
      </c>
      <c r="U149" s="9">
        <f>Таблица1[[#This Row],[Ежемесячный платеж]]/(Таблица1[[#This Row],[Годовой доход]]/12)</f>
        <v>0.12200040168708577</v>
      </c>
    </row>
    <row r="150" spans="1:21" x14ac:dyDescent="0.3">
      <c r="A150">
        <v>149</v>
      </c>
      <c r="B150">
        <v>0</v>
      </c>
      <c r="C150" s="9">
        <v>259116</v>
      </c>
      <c r="D150">
        <f>$Y$13</f>
        <v>723</v>
      </c>
      <c r="E150">
        <f>$AB$13</f>
        <v>1168044</v>
      </c>
      <c r="F150">
        <v>0</v>
      </c>
      <c r="G150">
        <v>21678.81</v>
      </c>
      <c r="H150">
        <v>31.4</v>
      </c>
      <c r="I150">
        <v>9</v>
      </c>
      <c r="J150">
        <v>254030</v>
      </c>
      <c r="K150">
        <v>720918</v>
      </c>
      <c r="L150" t="s">
        <v>69</v>
      </c>
      <c r="M150" t="s">
        <v>192</v>
      </c>
      <c r="N150" t="s">
        <v>68</v>
      </c>
      <c r="O150" t="s">
        <v>21</v>
      </c>
      <c r="P150" t="s">
        <v>22</v>
      </c>
      <c r="Q150" t="s">
        <v>23</v>
      </c>
      <c r="R150" t="b">
        <f>OR(Таблица1[[#This Row],[Ежемесячный платеж]]&lt;$AC$5, Таблица1[[#This Row],[Ежемесячный платеж]]&gt;$AC$6)</f>
        <v>0</v>
      </c>
      <c r="S150" s="9">
        <f>(Таблица1[[#This Row],[Размер кредита]]-21824)/(789096-21824)</f>
        <v>0.30926711778873722</v>
      </c>
      <c r="T150" s="9">
        <f>(Таблица1[[#This Row],[Кредитный рейтинг]]-586)/(751-586)</f>
        <v>0.83030303030303032</v>
      </c>
      <c r="U150" s="9">
        <f>Таблица1[[#This Row],[Ежемесячный платеж]]/(Таблица1[[#This Row],[Годовой доход]]/12)</f>
        <v>0.222719109896545</v>
      </c>
    </row>
    <row r="151" spans="1:21" x14ac:dyDescent="0.3">
      <c r="A151">
        <v>150</v>
      </c>
      <c r="B151">
        <v>0</v>
      </c>
      <c r="C151" s="9">
        <v>117986</v>
      </c>
      <c r="D151">
        <v>694</v>
      </c>
      <c r="E151" s="1">
        <v>1886890</v>
      </c>
      <c r="F151">
        <v>19</v>
      </c>
      <c r="G151">
        <v>3207.77</v>
      </c>
      <c r="H151">
        <v>12</v>
      </c>
      <c r="I151">
        <v>7</v>
      </c>
      <c r="J151">
        <v>80408</v>
      </c>
      <c r="K151">
        <v>351296</v>
      </c>
      <c r="L151" t="s">
        <v>32</v>
      </c>
      <c r="M151" t="s">
        <v>193</v>
      </c>
      <c r="N151" t="s">
        <v>26</v>
      </c>
      <c r="O151" t="s">
        <v>34</v>
      </c>
      <c r="P151" t="s">
        <v>22</v>
      </c>
      <c r="Q151" t="s">
        <v>23</v>
      </c>
      <c r="R151" t="b">
        <f>OR(Таблица1[[#This Row],[Ежемесячный платеж]]&lt;$AC$5, Таблица1[[#This Row],[Ежемесячный платеж]]&gt;$AC$6)</f>
        <v>0</v>
      </c>
      <c r="S151" s="9">
        <f>(Таблица1[[#This Row],[Размер кредита]]-21824)/(789096-21824)</f>
        <v>0.12532973964904232</v>
      </c>
      <c r="T151" s="9">
        <f>(Таблица1[[#This Row],[Кредитный рейтинг]]-586)/(751-586)</f>
        <v>0.65454545454545454</v>
      </c>
      <c r="U151" s="9">
        <f>Таблица1[[#This Row],[Ежемесячный платеж]]/(Таблица1[[#This Row],[Годовой доход]]/12)</f>
        <v>2.0400362501258682E-2</v>
      </c>
    </row>
    <row r="152" spans="1:21" x14ac:dyDescent="0.3">
      <c r="A152">
        <v>151</v>
      </c>
      <c r="B152">
        <v>0</v>
      </c>
      <c r="C152" s="9">
        <v>133804</v>
      </c>
      <c r="D152">
        <v>725</v>
      </c>
      <c r="E152" s="1">
        <v>1386734</v>
      </c>
      <c r="F152">
        <v>0</v>
      </c>
      <c r="G152">
        <v>16756.48</v>
      </c>
      <c r="H152">
        <v>13.6</v>
      </c>
      <c r="I152">
        <v>11</v>
      </c>
      <c r="J152">
        <v>105450</v>
      </c>
      <c r="K152">
        <v>260898</v>
      </c>
      <c r="L152" t="s">
        <v>47</v>
      </c>
      <c r="M152" t="s">
        <v>194</v>
      </c>
      <c r="N152" t="s">
        <v>71</v>
      </c>
      <c r="O152" t="s">
        <v>21</v>
      </c>
      <c r="P152" t="s">
        <v>22</v>
      </c>
      <c r="Q152" t="s">
        <v>23</v>
      </c>
      <c r="R152" t="b">
        <f>OR(Таблица1[[#This Row],[Ежемесячный платеж]]&lt;$AC$5, Таблица1[[#This Row],[Ежемесячный платеж]]&gt;$AC$6)</f>
        <v>0</v>
      </c>
      <c r="S152" s="9">
        <f>(Таблица1[[#This Row],[Размер кредита]]-21824)/(789096-21824)</f>
        <v>0.14594563596742746</v>
      </c>
      <c r="T152" s="9">
        <f>(Таблица1[[#This Row],[Кредитный рейтинг]]-586)/(751-586)</f>
        <v>0.84242424242424241</v>
      </c>
      <c r="U152" s="9">
        <f>Таблица1[[#This Row],[Ежемесячный платеж]]/(Таблица1[[#This Row],[Годовой доход]]/12)</f>
        <v>0.14500095908804428</v>
      </c>
    </row>
    <row r="153" spans="1:21" x14ac:dyDescent="0.3">
      <c r="A153">
        <v>152</v>
      </c>
      <c r="B153">
        <v>0</v>
      </c>
      <c r="C153" s="9">
        <v>87846</v>
      </c>
      <c r="D153">
        <v>736</v>
      </c>
      <c r="E153" s="1">
        <v>625879</v>
      </c>
      <c r="F153">
        <v>56</v>
      </c>
      <c r="G153">
        <v>6988.96</v>
      </c>
      <c r="H153">
        <v>50.1</v>
      </c>
      <c r="I153">
        <v>16</v>
      </c>
      <c r="J153">
        <v>96330</v>
      </c>
      <c r="K153">
        <v>714978</v>
      </c>
      <c r="L153" t="s">
        <v>47</v>
      </c>
      <c r="M153" t="s">
        <v>195</v>
      </c>
      <c r="N153" t="s">
        <v>26</v>
      </c>
      <c r="O153" t="s">
        <v>28</v>
      </c>
      <c r="P153" t="s">
        <v>22</v>
      </c>
      <c r="Q153" t="s">
        <v>23</v>
      </c>
      <c r="R153" t="b">
        <f>OR(Таблица1[[#This Row],[Ежемесячный платеж]]&lt;$AC$5, Таблица1[[#This Row],[Ежемесячный платеж]]&gt;$AC$6)</f>
        <v>0</v>
      </c>
      <c r="S153" s="9">
        <f>(Таблица1[[#This Row],[Размер кредита]]-21824)/(789096-21824)</f>
        <v>8.6047711893565776E-2</v>
      </c>
      <c r="T153" s="9">
        <f>(Таблица1[[#This Row],[Кредитный рейтинг]]-586)/(751-586)</f>
        <v>0.90909090909090906</v>
      </c>
      <c r="U153" s="9">
        <f>Таблица1[[#This Row],[Ежемесячный платеж]]/(Таблица1[[#This Row],[Годовой доход]]/12)</f>
        <v>0.13399957499772319</v>
      </c>
    </row>
    <row r="154" spans="1:21" x14ac:dyDescent="0.3">
      <c r="A154">
        <v>153</v>
      </c>
      <c r="B154">
        <v>0</v>
      </c>
      <c r="C154" s="9">
        <v>332684</v>
      </c>
      <c r="D154">
        <v>722</v>
      </c>
      <c r="E154" s="1">
        <v>881087</v>
      </c>
      <c r="F154">
        <v>0</v>
      </c>
      <c r="G154">
        <v>12702.26</v>
      </c>
      <c r="H154">
        <v>14.5</v>
      </c>
      <c r="I154">
        <v>9</v>
      </c>
      <c r="J154">
        <v>472226</v>
      </c>
      <c r="K154">
        <v>640266</v>
      </c>
      <c r="L154" t="s">
        <v>24</v>
      </c>
      <c r="M154" t="s">
        <v>196</v>
      </c>
      <c r="N154" t="s">
        <v>26</v>
      </c>
      <c r="O154" t="s">
        <v>21</v>
      </c>
      <c r="P154" t="s">
        <v>31</v>
      </c>
      <c r="Q154" t="s">
        <v>36</v>
      </c>
      <c r="R154" t="b">
        <f>OR(Таблица1[[#This Row],[Ежемесячный платеж]]&lt;$AC$5, Таблица1[[#This Row],[Ежемесячный платеж]]&gt;$AC$6)</f>
        <v>0</v>
      </c>
      <c r="S154" s="9">
        <f>(Таблица1[[#This Row],[Размер кредита]]-21824)/(789096-21824)</f>
        <v>0.40514967312765227</v>
      </c>
      <c r="T154" s="9">
        <f>(Таблица1[[#This Row],[Кредитный рейтинг]]-586)/(751-586)</f>
        <v>0.82424242424242422</v>
      </c>
      <c r="U154" s="9">
        <f>Таблица1[[#This Row],[Ежемесячный платеж]]/(Таблица1[[#This Row],[Годовой доход]]/12)</f>
        <v>0.17299894335065663</v>
      </c>
    </row>
    <row r="155" spans="1:21" x14ac:dyDescent="0.3">
      <c r="A155">
        <v>154</v>
      </c>
      <c r="B155">
        <v>0</v>
      </c>
      <c r="C155" s="9">
        <v>190498</v>
      </c>
      <c r="D155">
        <v>706</v>
      </c>
      <c r="E155" s="1">
        <v>892164</v>
      </c>
      <c r="F155">
        <v>64</v>
      </c>
      <c r="G155">
        <v>8996.1200000000008</v>
      </c>
      <c r="H155">
        <v>13.2</v>
      </c>
      <c r="I155">
        <v>6</v>
      </c>
      <c r="J155">
        <v>88160</v>
      </c>
      <c r="K155">
        <v>117744</v>
      </c>
      <c r="L155" t="s">
        <v>63</v>
      </c>
      <c r="M155" t="s">
        <v>197</v>
      </c>
      <c r="N155" t="s">
        <v>26</v>
      </c>
      <c r="O155" t="s">
        <v>34</v>
      </c>
      <c r="P155" t="s">
        <v>22</v>
      </c>
      <c r="Q155" t="s">
        <v>23</v>
      </c>
      <c r="R155" t="b">
        <f>OR(Таблица1[[#This Row],[Ежемесячный платеж]]&lt;$AC$5, Таблица1[[#This Row],[Ежемесячный платеж]]&gt;$AC$6)</f>
        <v>0</v>
      </c>
      <c r="S155" s="9">
        <f>(Таблица1[[#This Row],[Размер кредита]]-21824)/(789096-21824)</f>
        <v>0.21983599036586765</v>
      </c>
      <c r="T155" s="9">
        <f>(Таблица1[[#This Row],[Кредитный рейтинг]]-586)/(751-586)</f>
        <v>0.72727272727272729</v>
      </c>
      <c r="U155" s="9">
        <f>Таблица1[[#This Row],[Ежемесячный платеж]]/(Таблица1[[#This Row],[Годовой доход]]/12)</f>
        <v>0.12100178890876566</v>
      </c>
    </row>
    <row r="156" spans="1:21" x14ac:dyDescent="0.3">
      <c r="A156">
        <v>155</v>
      </c>
      <c r="B156">
        <v>0</v>
      </c>
      <c r="C156" s="9">
        <v>448822</v>
      </c>
      <c r="D156">
        <v>741</v>
      </c>
      <c r="E156" s="1">
        <v>1027444</v>
      </c>
      <c r="F156">
        <v>0</v>
      </c>
      <c r="G156">
        <v>21576.400000000001</v>
      </c>
      <c r="H156">
        <v>33.1</v>
      </c>
      <c r="I156">
        <v>8</v>
      </c>
      <c r="J156">
        <v>669028</v>
      </c>
      <c r="K156">
        <v>981838</v>
      </c>
      <c r="L156" t="s">
        <v>63</v>
      </c>
      <c r="M156" t="s">
        <v>198</v>
      </c>
      <c r="N156" t="s">
        <v>26</v>
      </c>
      <c r="O156" t="s">
        <v>21</v>
      </c>
      <c r="P156" t="s">
        <v>22</v>
      </c>
      <c r="Q156" t="s">
        <v>23</v>
      </c>
      <c r="R156" t="b">
        <f>OR(Таблица1[[#This Row],[Ежемесячный платеж]]&lt;$AC$5, Таблица1[[#This Row],[Ежемесячный платеж]]&gt;$AC$6)</f>
        <v>0</v>
      </c>
      <c r="S156" s="9">
        <f>(Таблица1[[#This Row],[Размер кредита]]-21824)/(789096-21824)</f>
        <v>0.55651450854455786</v>
      </c>
      <c r="T156" s="9">
        <f>(Таблица1[[#This Row],[Кредитный рейтинг]]-586)/(751-586)</f>
        <v>0.93939393939393945</v>
      </c>
      <c r="U156" s="9">
        <f>Таблица1[[#This Row],[Ежемесячный платеж]]/(Таблица1[[#This Row],[Годовой доход]]/12)</f>
        <v>0.25200088763961837</v>
      </c>
    </row>
    <row r="157" spans="1:21" x14ac:dyDescent="0.3">
      <c r="A157">
        <v>156</v>
      </c>
      <c r="B157">
        <v>1</v>
      </c>
      <c r="C157" s="9">
        <v>229086</v>
      </c>
      <c r="D157">
        <v>715</v>
      </c>
      <c r="E157" s="1">
        <v>787626</v>
      </c>
      <c r="F157">
        <v>36</v>
      </c>
      <c r="G157">
        <v>6543.79</v>
      </c>
      <c r="H157">
        <v>23.9</v>
      </c>
      <c r="I157">
        <v>7</v>
      </c>
      <c r="J157">
        <v>71231</v>
      </c>
      <c r="K157">
        <v>152460</v>
      </c>
      <c r="L157" t="s">
        <v>18</v>
      </c>
      <c r="M157" t="s">
        <v>199</v>
      </c>
      <c r="N157" t="s">
        <v>26</v>
      </c>
      <c r="O157" t="s">
        <v>34</v>
      </c>
      <c r="P157" t="s">
        <v>22</v>
      </c>
      <c r="Q157" t="s">
        <v>23</v>
      </c>
      <c r="R157" t="b">
        <f>OR(Таблица1[[#This Row],[Ежемесячный платеж]]&lt;$AC$5, Таблица1[[#This Row],[Ежемесячный платеж]]&gt;$AC$6)</f>
        <v>0</v>
      </c>
      <c r="S157" s="9">
        <f>(Таблица1[[#This Row],[Размер кредита]]-21824)/(789096-21824)</f>
        <v>0.27012845509806171</v>
      </c>
      <c r="T157" s="9">
        <f>(Таблица1[[#This Row],[Кредитный рейтинг]]-586)/(751-586)</f>
        <v>0.78181818181818186</v>
      </c>
      <c r="U157" s="9">
        <f>Таблица1[[#This Row],[Ежемесячный платеж]]/(Таблица1[[#This Row],[Годовой доход]]/12)</f>
        <v>9.969894340715009E-2</v>
      </c>
    </row>
    <row r="158" spans="1:21" x14ac:dyDescent="0.3">
      <c r="A158">
        <v>157</v>
      </c>
      <c r="B158">
        <v>0</v>
      </c>
      <c r="C158" s="9">
        <v>393558</v>
      </c>
      <c r="D158">
        <v>678</v>
      </c>
      <c r="E158" s="1">
        <v>2317392</v>
      </c>
      <c r="F158">
        <v>27</v>
      </c>
      <c r="G158">
        <v>22015.3</v>
      </c>
      <c r="H158">
        <v>14.7</v>
      </c>
      <c r="I158">
        <v>8</v>
      </c>
      <c r="J158">
        <v>124184</v>
      </c>
      <c r="K158">
        <v>145552</v>
      </c>
      <c r="L158" t="s">
        <v>41</v>
      </c>
      <c r="M158" t="s">
        <v>200</v>
      </c>
      <c r="N158" t="s">
        <v>26</v>
      </c>
      <c r="O158" t="s">
        <v>28</v>
      </c>
      <c r="P158" t="s">
        <v>31</v>
      </c>
      <c r="Q158" t="s">
        <v>36</v>
      </c>
      <c r="R158" t="b">
        <f>OR(Таблица1[[#This Row],[Ежемесячный платеж]]&lt;$AC$5, Таблица1[[#This Row],[Ежемесячный платеж]]&gt;$AC$6)</f>
        <v>0</v>
      </c>
      <c r="S158" s="9">
        <f>(Таблица1[[#This Row],[Размер кредита]]-21824)/(789096-21824)</f>
        <v>0.48448789998853081</v>
      </c>
      <c r="T158" s="9">
        <f>(Таблица1[[#This Row],[Кредитный рейтинг]]-586)/(751-586)</f>
        <v>0.55757575757575761</v>
      </c>
      <c r="U158" s="9">
        <f>Таблица1[[#This Row],[Ежемесячный платеж]]/(Таблица1[[#This Row],[Годовой доход]]/12)</f>
        <v>0.11400039354584809</v>
      </c>
    </row>
    <row r="159" spans="1:21" x14ac:dyDescent="0.3">
      <c r="A159">
        <v>158</v>
      </c>
      <c r="B159">
        <v>1</v>
      </c>
      <c r="C159" s="9">
        <v>151954</v>
      </c>
      <c r="D159">
        <v>707</v>
      </c>
      <c r="E159" s="1">
        <v>562419</v>
      </c>
      <c r="F159">
        <v>0</v>
      </c>
      <c r="G159">
        <v>14341.77</v>
      </c>
      <c r="H159">
        <v>12.5</v>
      </c>
      <c r="I159">
        <v>9</v>
      </c>
      <c r="J159">
        <v>107692</v>
      </c>
      <c r="K159">
        <v>219142</v>
      </c>
      <c r="L159" t="s">
        <v>52</v>
      </c>
      <c r="M159" t="s">
        <v>201</v>
      </c>
      <c r="N159" t="s">
        <v>26</v>
      </c>
      <c r="O159" t="s">
        <v>34</v>
      </c>
      <c r="P159" t="s">
        <v>22</v>
      </c>
      <c r="Q159" t="s">
        <v>23</v>
      </c>
      <c r="R159" t="b">
        <f>OR(Таблица1[[#This Row],[Ежемесячный платеж]]&lt;$AC$5, Таблица1[[#This Row],[Ежемесячный платеж]]&gt;$AC$6)</f>
        <v>0</v>
      </c>
      <c r="S159" s="9">
        <f>(Таблица1[[#This Row],[Размер кредита]]-21824)/(789096-21824)</f>
        <v>0.16960087165959398</v>
      </c>
      <c r="T159" s="9">
        <f>(Таблица1[[#This Row],[Кредитный рейтинг]]-586)/(751-586)</f>
        <v>0.73333333333333328</v>
      </c>
      <c r="U159" s="9">
        <f>Таблица1[[#This Row],[Ежемесячный платеж]]/(Таблица1[[#This Row],[Годовой доход]]/12)</f>
        <v>0.30600182426269384</v>
      </c>
    </row>
    <row r="160" spans="1:21" x14ac:dyDescent="0.3">
      <c r="A160">
        <v>159</v>
      </c>
      <c r="B160">
        <v>0</v>
      </c>
      <c r="D160">
        <v>726</v>
      </c>
      <c r="E160" s="1">
        <v>1153851</v>
      </c>
      <c r="F160">
        <v>39</v>
      </c>
      <c r="G160">
        <v>7125</v>
      </c>
      <c r="H160">
        <v>13.5</v>
      </c>
      <c r="I160">
        <v>7</v>
      </c>
      <c r="J160">
        <v>165984</v>
      </c>
      <c r="K160">
        <v>286440</v>
      </c>
      <c r="L160" t="s">
        <v>37</v>
      </c>
      <c r="M160" t="s">
        <v>202</v>
      </c>
      <c r="N160" t="s">
        <v>26</v>
      </c>
      <c r="O160" t="s">
        <v>34</v>
      </c>
      <c r="P160" t="s">
        <v>22</v>
      </c>
      <c r="Q160" t="s">
        <v>23</v>
      </c>
      <c r="R160" t="b">
        <f>OR(Таблица1[[#This Row],[Ежемесячный платеж]]&lt;$AC$5, Таблица1[[#This Row],[Ежемесячный платеж]]&gt;$AC$6)</f>
        <v>0</v>
      </c>
      <c r="T160" s="9">
        <f>(Таблица1[[#This Row],[Кредитный рейтинг]]-586)/(751-586)</f>
        <v>0.84848484848484851</v>
      </c>
      <c r="U160" s="9">
        <f>Таблица1[[#This Row],[Ежемесячный платеж]]/(Таблица1[[#This Row],[Годовой доход]]/12)</f>
        <v>7.4099688781307113E-2</v>
      </c>
    </row>
    <row r="161" spans="1:21" x14ac:dyDescent="0.3">
      <c r="A161">
        <v>160</v>
      </c>
      <c r="B161">
        <v>0</v>
      </c>
      <c r="C161" s="9">
        <v>254562</v>
      </c>
      <c r="D161">
        <v>738</v>
      </c>
      <c r="E161" s="1">
        <v>669123</v>
      </c>
      <c r="F161">
        <v>0</v>
      </c>
      <c r="G161">
        <v>13549.66</v>
      </c>
      <c r="H161">
        <v>17.5</v>
      </c>
      <c r="I161">
        <v>13</v>
      </c>
      <c r="J161">
        <v>261383</v>
      </c>
      <c r="K161">
        <v>743600</v>
      </c>
      <c r="L161" t="s">
        <v>69</v>
      </c>
      <c r="M161" t="s">
        <v>203</v>
      </c>
      <c r="N161" t="s">
        <v>26</v>
      </c>
      <c r="O161" t="s">
        <v>34</v>
      </c>
      <c r="P161" t="s">
        <v>22</v>
      </c>
      <c r="Q161" t="s">
        <v>23</v>
      </c>
      <c r="R161" t="b">
        <f>OR(Таблица1[[#This Row],[Ежемесячный платеж]]&lt;$AC$5, Таблица1[[#This Row],[Ежемесячный платеж]]&gt;$AC$6)</f>
        <v>0</v>
      </c>
      <c r="S161" s="9">
        <f>(Таблица1[[#This Row],[Размер кредита]]-21824)/(789096-21824)</f>
        <v>0.30333180410597543</v>
      </c>
      <c r="T161" s="9">
        <f>(Таблица1[[#This Row],[Кредитный рейтинг]]-586)/(751-586)</f>
        <v>0.92121212121212126</v>
      </c>
      <c r="U161" s="9">
        <f>Таблица1[[#This Row],[Ежемесячный платеж]]/(Таблица1[[#This Row],[Годовой доход]]/12)</f>
        <v>0.24299855183576113</v>
      </c>
    </row>
    <row r="162" spans="1:21" x14ac:dyDescent="0.3">
      <c r="A162">
        <v>161</v>
      </c>
      <c r="B162">
        <v>0</v>
      </c>
      <c r="C162" s="9">
        <v>87912</v>
      </c>
      <c r="D162">
        <v>750</v>
      </c>
      <c r="E162" s="1">
        <v>960184</v>
      </c>
      <c r="F162">
        <v>42</v>
      </c>
      <c r="G162">
        <v>3432.73</v>
      </c>
      <c r="H162">
        <v>43.3</v>
      </c>
      <c r="I162">
        <v>9</v>
      </c>
      <c r="J162">
        <v>86051</v>
      </c>
      <c r="K162">
        <v>301026</v>
      </c>
      <c r="L162" t="s">
        <v>24</v>
      </c>
      <c r="M162" t="s">
        <v>204</v>
      </c>
      <c r="N162" t="s">
        <v>26</v>
      </c>
      <c r="O162" t="s">
        <v>34</v>
      </c>
      <c r="P162" t="s">
        <v>22</v>
      </c>
      <c r="Q162" t="s">
        <v>36</v>
      </c>
      <c r="R162" t="b">
        <f>OR(Таблица1[[#This Row],[Ежемесячный платеж]]&lt;$AC$5, Таблица1[[#This Row],[Ежемесячный платеж]]&gt;$AC$6)</f>
        <v>0</v>
      </c>
      <c r="S162" s="9">
        <f>(Таблица1[[#This Row],[Размер кредита]]-21824)/(789096-21824)</f>
        <v>8.6133730932446376E-2</v>
      </c>
      <c r="T162" s="9">
        <f>(Таблица1[[#This Row],[Кредитный рейтинг]]-586)/(751-586)</f>
        <v>0.9939393939393939</v>
      </c>
      <c r="U162" s="9">
        <f>Таблица1[[#This Row],[Ежемесячный платеж]]/(Таблица1[[#This Row],[Годовой доход]]/12)</f>
        <v>4.2900902327053986E-2</v>
      </c>
    </row>
    <row r="163" spans="1:21" x14ac:dyDescent="0.3">
      <c r="A163">
        <v>162</v>
      </c>
      <c r="B163">
        <v>5</v>
      </c>
      <c r="C163" s="9">
        <v>156178</v>
      </c>
      <c r="D163">
        <v>716</v>
      </c>
      <c r="E163" s="1">
        <v>1124040</v>
      </c>
      <c r="F163">
        <v>33</v>
      </c>
      <c r="G163">
        <v>8617.64</v>
      </c>
      <c r="H163">
        <v>12</v>
      </c>
      <c r="I163">
        <v>9</v>
      </c>
      <c r="J163">
        <v>6194</v>
      </c>
      <c r="K163">
        <v>108790</v>
      </c>
      <c r="L163" t="s">
        <v>29</v>
      </c>
      <c r="M163" t="s">
        <v>205</v>
      </c>
      <c r="N163" t="s">
        <v>68</v>
      </c>
      <c r="O163" t="s">
        <v>34</v>
      </c>
      <c r="P163" t="s">
        <v>22</v>
      </c>
      <c r="Q163" t="s">
        <v>36</v>
      </c>
      <c r="R163" t="b">
        <f>OR(Таблица1[[#This Row],[Ежемесячный платеж]]&lt;$AC$5, Таблица1[[#This Row],[Ежемесячный платеж]]&gt;$AC$6)</f>
        <v>0</v>
      </c>
      <c r="S163" s="9">
        <f>(Таблица1[[#This Row],[Размер кредита]]-21824)/(789096-21824)</f>
        <v>0.17510609014795275</v>
      </c>
      <c r="T163" s="9">
        <f>(Таблица1[[#This Row],[Кредитный рейтинг]]-586)/(751-586)</f>
        <v>0.78787878787878785</v>
      </c>
      <c r="U163" s="9">
        <f>Таблица1[[#This Row],[Ежемесячный платеж]]/(Таблица1[[#This Row],[Годовой доход]]/12)</f>
        <v>9.1999999999999998E-2</v>
      </c>
    </row>
    <row r="164" spans="1:21" x14ac:dyDescent="0.3">
      <c r="A164">
        <v>163</v>
      </c>
      <c r="B164">
        <v>0</v>
      </c>
      <c r="C164" s="9">
        <v>645018</v>
      </c>
      <c r="D164">
        <v>737</v>
      </c>
      <c r="E164" s="1">
        <v>2692471</v>
      </c>
      <c r="F164">
        <v>0</v>
      </c>
      <c r="G164">
        <v>40386.97</v>
      </c>
      <c r="H164">
        <v>24</v>
      </c>
      <c r="I164">
        <v>21</v>
      </c>
      <c r="J164">
        <v>640376</v>
      </c>
      <c r="K164">
        <v>1468302</v>
      </c>
      <c r="L164" t="s">
        <v>24</v>
      </c>
      <c r="M164" t="s">
        <v>206</v>
      </c>
      <c r="N164" t="s">
        <v>26</v>
      </c>
      <c r="O164" t="s">
        <v>21</v>
      </c>
      <c r="P164" t="s">
        <v>31</v>
      </c>
      <c r="Q164" t="s">
        <v>23</v>
      </c>
      <c r="R164" t="b">
        <f>OR(Таблица1[[#This Row],[Ежемесячный платеж]]&lt;$AC$5, Таблица1[[#This Row],[Ежемесячный платеж]]&gt;$AC$6)</f>
        <v>0</v>
      </c>
      <c r="S164" s="9">
        <f>(Таблица1[[#This Row],[Размер кредита]]-21824)/(789096-21824)</f>
        <v>0.81222043812363798</v>
      </c>
      <c r="T164" s="9">
        <f>(Таблица1[[#This Row],[Кредитный рейтинг]]-586)/(751-586)</f>
        <v>0.91515151515151516</v>
      </c>
      <c r="U164" s="9">
        <f>Таблица1[[#This Row],[Ежемесячный платеж]]/(Таблица1[[#This Row],[Годовой доход]]/12)</f>
        <v>0.17999957659711097</v>
      </c>
    </row>
    <row r="165" spans="1:21" x14ac:dyDescent="0.3">
      <c r="A165">
        <v>164</v>
      </c>
      <c r="B165">
        <v>0</v>
      </c>
      <c r="C165" s="9">
        <v>605726</v>
      </c>
      <c r="D165">
        <v>748</v>
      </c>
      <c r="E165" s="1">
        <v>3609145</v>
      </c>
      <c r="F165">
        <v>59</v>
      </c>
      <c r="G165">
        <v>43610.7</v>
      </c>
      <c r="H165">
        <v>23</v>
      </c>
      <c r="I165">
        <v>10</v>
      </c>
      <c r="J165">
        <v>378423</v>
      </c>
      <c r="K165">
        <v>475772</v>
      </c>
      <c r="L165" t="s">
        <v>24</v>
      </c>
      <c r="M165" t="s">
        <v>207</v>
      </c>
      <c r="N165" t="s">
        <v>26</v>
      </c>
      <c r="O165" t="s">
        <v>21</v>
      </c>
      <c r="P165" t="s">
        <v>22</v>
      </c>
      <c r="Q165" t="s">
        <v>23</v>
      </c>
      <c r="R165" t="b">
        <f>OR(Таблица1[[#This Row],[Ежемесячный платеж]]&lt;$AC$5, Таблица1[[#This Row],[Ежемесячный платеж]]&gt;$AC$6)</f>
        <v>0</v>
      </c>
      <c r="S165" s="9">
        <f>(Таблица1[[#This Row],[Размер кредита]]-21824)/(789096-21824)</f>
        <v>0.76101043697671755</v>
      </c>
      <c r="T165" s="9">
        <f>(Таблица1[[#This Row],[Кредитный рейтинг]]-586)/(751-586)</f>
        <v>0.98181818181818181</v>
      </c>
      <c r="U165" s="9">
        <f>Таблица1[[#This Row],[Ежемесячный платеж]]/(Таблица1[[#This Row],[Годовой доход]]/12)</f>
        <v>0.14500065805059092</v>
      </c>
    </row>
    <row r="166" spans="1:21" x14ac:dyDescent="0.3">
      <c r="A166">
        <v>165</v>
      </c>
      <c r="B166">
        <v>0</v>
      </c>
      <c r="D166">
        <v>741</v>
      </c>
      <c r="E166" s="1">
        <v>1288523</v>
      </c>
      <c r="F166">
        <v>0</v>
      </c>
      <c r="G166">
        <v>9041.34</v>
      </c>
      <c r="H166">
        <v>16.2</v>
      </c>
      <c r="I166">
        <v>4</v>
      </c>
      <c r="J166">
        <v>95855</v>
      </c>
      <c r="K166">
        <v>116468</v>
      </c>
      <c r="L166" t="s">
        <v>41</v>
      </c>
      <c r="M166" t="s">
        <v>208</v>
      </c>
      <c r="N166" t="s">
        <v>26</v>
      </c>
      <c r="O166" t="s">
        <v>21</v>
      </c>
      <c r="P166" t="s">
        <v>22</v>
      </c>
      <c r="Q166" t="s">
        <v>23</v>
      </c>
      <c r="R166" t="b">
        <f>OR(Таблица1[[#This Row],[Ежемесячный платеж]]&lt;$AC$5, Таблица1[[#This Row],[Ежемесячный платеж]]&gt;$AC$6)</f>
        <v>0</v>
      </c>
      <c r="T166" s="9">
        <f>(Таблица1[[#This Row],[Кредитный рейтинг]]-586)/(751-586)</f>
        <v>0.93939393939393945</v>
      </c>
      <c r="U166" s="9">
        <f>Таблица1[[#This Row],[Ежемесячный платеж]]/(Таблица1[[#This Row],[Годовой доход]]/12)</f>
        <v>8.4201896279693877E-2</v>
      </c>
    </row>
    <row r="167" spans="1:21" x14ac:dyDescent="0.3">
      <c r="A167">
        <v>166</v>
      </c>
      <c r="B167">
        <v>0</v>
      </c>
      <c r="C167" s="9">
        <v>168300</v>
      </c>
      <c r="D167">
        <v>702</v>
      </c>
      <c r="E167" s="1">
        <v>688522</v>
      </c>
      <c r="F167">
        <v>30</v>
      </c>
      <c r="G167">
        <v>11762.14</v>
      </c>
      <c r="H167">
        <v>17</v>
      </c>
      <c r="I167">
        <v>9</v>
      </c>
      <c r="J167">
        <v>128041</v>
      </c>
      <c r="K167">
        <v>273042</v>
      </c>
      <c r="L167" t="s">
        <v>41</v>
      </c>
      <c r="M167" t="s">
        <v>209</v>
      </c>
      <c r="N167" t="s">
        <v>68</v>
      </c>
      <c r="O167" t="s">
        <v>34</v>
      </c>
      <c r="P167" t="s">
        <v>31</v>
      </c>
      <c r="Q167" t="s">
        <v>36</v>
      </c>
      <c r="R167" t="b">
        <f>OR(Таблица1[[#This Row],[Ежемесячный платеж]]&lt;$AC$5, Таблица1[[#This Row],[Ежемесячный платеж]]&gt;$AC$6)</f>
        <v>0</v>
      </c>
      <c r="S167" s="9">
        <f>(Таблица1[[#This Row],[Размер кредита]]-21824)/(789096-21824)</f>
        <v>0.19090492028902398</v>
      </c>
      <c r="T167" s="9">
        <f>(Таблица1[[#This Row],[Кредитный рейтинг]]-586)/(751-586)</f>
        <v>0.70303030303030301</v>
      </c>
      <c r="U167" s="9">
        <f>Таблица1[[#This Row],[Ежемесячный платеж]]/(Таблица1[[#This Row],[Годовой доход]]/12)</f>
        <v>0.20499806832606654</v>
      </c>
    </row>
    <row r="168" spans="1:21" x14ac:dyDescent="0.3">
      <c r="A168">
        <v>167</v>
      </c>
      <c r="B168">
        <v>0</v>
      </c>
      <c r="C168" s="9">
        <v>174460</v>
      </c>
      <c r="D168">
        <v>723</v>
      </c>
      <c r="E168" s="1">
        <v>1318429</v>
      </c>
      <c r="F168">
        <v>55</v>
      </c>
      <c r="G168">
        <v>10547.47</v>
      </c>
      <c r="H168">
        <v>15</v>
      </c>
      <c r="I168">
        <v>14</v>
      </c>
      <c r="J168">
        <v>55176</v>
      </c>
      <c r="K168">
        <v>443586</v>
      </c>
      <c r="L168" t="s">
        <v>29</v>
      </c>
      <c r="M168" t="s">
        <v>210</v>
      </c>
      <c r="N168" t="s">
        <v>68</v>
      </c>
      <c r="O168" t="s">
        <v>28</v>
      </c>
      <c r="P168" t="s">
        <v>22</v>
      </c>
      <c r="Q168" t="s">
        <v>23</v>
      </c>
      <c r="R168" t="b">
        <f>OR(Таблица1[[#This Row],[Ежемесячный платеж]]&lt;$AC$5, Таблица1[[#This Row],[Ежемесячный платеж]]&gt;$AC$6)</f>
        <v>0</v>
      </c>
      <c r="S168" s="9">
        <f>(Таблица1[[#This Row],[Размер кредита]]-21824)/(789096-21824)</f>
        <v>0.1989333639178805</v>
      </c>
      <c r="T168" s="9">
        <f>(Таблица1[[#This Row],[Кредитный рейтинг]]-586)/(751-586)</f>
        <v>0.83030303030303032</v>
      </c>
      <c r="U168" s="9">
        <f>Таблица1[[#This Row],[Ежемесячный платеж]]/(Таблица1[[#This Row],[Годовой доход]]/12)</f>
        <v>9.6000345866178616E-2</v>
      </c>
    </row>
    <row r="169" spans="1:21" x14ac:dyDescent="0.3">
      <c r="A169">
        <v>168</v>
      </c>
      <c r="B169">
        <v>0</v>
      </c>
      <c r="C169" s="9">
        <v>768394</v>
      </c>
      <c r="D169">
        <v>651</v>
      </c>
      <c r="E169" s="1">
        <v>1651252</v>
      </c>
      <c r="F169">
        <v>30</v>
      </c>
      <c r="G169">
        <v>19264.669999999998</v>
      </c>
      <c r="H169">
        <v>29.2</v>
      </c>
      <c r="I169">
        <v>6</v>
      </c>
      <c r="J169">
        <v>421420</v>
      </c>
      <c r="K169">
        <v>559592</v>
      </c>
      <c r="L169" t="s">
        <v>41</v>
      </c>
      <c r="M169" t="s">
        <v>211</v>
      </c>
      <c r="N169" t="s">
        <v>26</v>
      </c>
      <c r="O169" t="s">
        <v>21</v>
      </c>
      <c r="P169" t="s">
        <v>31</v>
      </c>
      <c r="Q169" t="s">
        <v>23</v>
      </c>
      <c r="R169" t="b">
        <f>OR(Таблица1[[#This Row],[Ежемесячный платеж]]&lt;$AC$5, Таблица1[[#This Row],[Ежемесячный платеж]]&gt;$AC$6)</f>
        <v>0</v>
      </c>
      <c r="S169" s="9">
        <f>(Таблица1[[#This Row],[Размер кредита]]-21824)/(789096-21824)</f>
        <v>0.97301869480445002</v>
      </c>
      <c r="T169" s="9">
        <f>(Таблица1[[#This Row],[Кредитный рейтинг]]-586)/(751-586)</f>
        <v>0.39393939393939392</v>
      </c>
      <c r="U169" s="9">
        <f>Таблица1[[#This Row],[Ежемесячный платеж]]/(Таблица1[[#This Row],[Годовой доход]]/12)</f>
        <v>0.14000046025682328</v>
      </c>
    </row>
    <row r="170" spans="1:21" x14ac:dyDescent="0.3">
      <c r="A170">
        <v>169</v>
      </c>
      <c r="B170">
        <v>0</v>
      </c>
      <c r="C170" s="9">
        <v>314226</v>
      </c>
      <c r="D170">
        <v>723</v>
      </c>
      <c r="E170" s="1">
        <v>2638454</v>
      </c>
      <c r="F170">
        <v>54</v>
      </c>
      <c r="G170">
        <v>34959.43</v>
      </c>
      <c r="H170">
        <v>18.2</v>
      </c>
      <c r="I170">
        <v>10</v>
      </c>
      <c r="J170">
        <v>662815</v>
      </c>
      <c r="K170">
        <v>969034</v>
      </c>
      <c r="L170" t="s">
        <v>63</v>
      </c>
      <c r="M170" t="s">
        <v>212</v>
      </c>
      <c r="N170" t="s">
        <v>68</v>
      </c>
      <c r="O170" t="s">
        <v>21</v>
      </c>
      <c r="P170" t="s">
        <v>31</v>
      </c>
      <c r="Q170" t="s">
        <v>23</v>
      </c>
      <c r="R170" t="b">
        <f>OR(Таблица1[[#This Row],[Ежемесячный платеж]]&lt;$AC$5, Таблица1[[#This Row],[Ежемесячный платеж]]&gt;$AC$6)</f>
        <v>0</v>
      </c>
      <c r="S170" s="9">
        <f>(Таблица1[[#This Row],[Размер кредита]]-21824)/(789096-21824)</f>
        <v>0.38109301525404288</v>
      </c>
      <c r="T170" s="9">
        <f>(Таблица1[[#This Row],[Кредитный рейтинг]]-586)/(751-586)</f>
        <v>0.83030303030303032</v>
      </c>
      <c r="U170" s="9">
        <f>Таблица1[[#This Row],[Ежемесячный платеж]]/(Таблица1[[#This Row],[Годовой доход]]/12)</f>
        <v>0.15899961113591521</v>
      </c>
    </row>
    <row r="171" spans="1:21" x14ac:dyDescent="0.3">
      <c r="A171">
        <v>170</v>
      </c>
      <c r="B171">
        <v>0</v>
      </c>
      <c r="C171" s="9">
        <v>64966</v>
      </c>
      <c r="D171">
        <v>723</v>
      </c>
      <c r="E171" s="1">
        <v>1224968</v>
      </c>
      <c r="F171">
        <v>48</v>
      </c>
      <c r="G171">
        <v>23172.21</v>
      </c>
      <c r="H171">
        <v>44</v>
      </c>
      <c r="I171">
        <v>16</v>
      </c>
      <c r="J171">
        <v>858154</v>
      </c>
      <c r="K171">
        <v>1344574</v>
      </c>
      <c r="L171" t="s">
        <v>24</v>
      </c>
      <c r="M171" t="s">
        <v>213</v>
      </c>
      <c r="N171" t="s">
        <v>68</v>
      </c>
      <c r="O171" t="s">
        <v>21</v>
      </c>
      <c r="P171" t="s">
        <v>22</v>
      </c>
      <c r="Q171" t="s">
        <v>23</v>
      </c>
      <c r="R171" t="b">
        <f>OR(Таблица1[[#This Row],[Ежемесячный платеж]]&lt;$AC$5, Таблица1[[#This Row],[Ежемесячный платеж]]&gt;$AC$6)</f>
        <v>0</v>
      </c>
      <c r="S171" s="9">
        <f>(Таблица1[[#This Row],[Размер кредита]]-21824)/(789096-21824)</f>
        <v>5.6227778414955847E-2</v>
      </c>
      <c r="T171" s="9">
        <f>(Таблица1[[#This Row],[Кредитный рейтинг]]-586)/(751-586)</f>
        <v>0.83030303030303032</v>
      </c>
      <c r="U171" s="9">
        <f>Таблица1[[#This Row],[Ежемесячный платеж]]/(Таблица1[[#This Row],[Годовой доход]]/12)</f>
        <v>0.22699900732100756</v>
      </c>
    </row>
    <row r="172" spans="1:21" x14ac:dyDescent="0.3">
      <c r="A172">
        <v>171</v>
      </c>
      <c r="B172">
        <v>0</v>
      </c>
      <c r="C172" s="9">
        <v>300366</v>
      </c>
      <c r="D172">
        <v>730</v>
      </c>
      <c r="E172" s="1">
        <v>833188</v>
      </c>
      <c r="F172">
        <v>37</v>
      </c>
      <c r="G172">
        <v>13400.32</v>
      </c>
      <c r="H172">
        <v>17.899999999999999</v>
      </c>
      <c r="I172">
        <v>7</v>
      </c>
      <c r="J172">
        <v>179721</v>
      </c>
      <c r="K172">
        <v>338932</v>
      </c>
      <c r="L172" t="s">
        <v>24</v>
      </c>
      <c r="M172" t="s">
        <v>214</v>
      </c>
      <c r="N172" t="s">
        <v>26</v>
      </c>
      <c r="O172" t="s">
        <v>21</v>
      </c>
      <c r="P172" t="s">
        <v>22</v>
      </c>
      <c r="Q172" t="s">
        <v>23</v>
      </c>
      <c r="R172" t="b">
        <f>OR(Таблица1[[#This Row],[Ежемесячный платеж]]&lt;$AC$5, Таблица1[[#This Row],[Ежемесячный платеж]]&gt;$AC$6)</f>
        <v>0</v>
      </c>
      <c r="S172" s="9">
        <f>(Таблица1[[#This Row],[Размер кредита]]-21824)/(789096-21824)</f>
        <v>0.36302901708911572</v>
      </c>
      <c r="T172" s="9">
        <f>(Таблица1[[#This Row],[Кредитный рейтинг]]-586)/(751-586)</f>
        <v>0.87272727272727268</v>
      </c>
      <c r="U172" s="9">
        <f>Таблица1[[#This Row],[Ежемесячный платеж]]/(Таблица1[[#This Row],[Годовой доход]]/12)</f>
        <v>0.19299826689774699</v>
      </c>
    </row>
    <row r="173" spans="1:21" x14ac:dyDescent="0.3">
      <c r="A173">
        <v>172</v>
      </c>
      <c r="B173">
        <v>1</v>
      </c>
      <c r="C173" s="9">
        <v>263648</v>
      </c>
      <c r="D173">
        <v>736</v>
      </c>
      <c r="E173" s="1">
        <v>1138518</v>
      </c>
      <c r="F173">
        <v>0</v>
      </c>
      <c r="G173">
        <v>12808.28</v>
      </c>
      <c r="H173">
        <v>15</v>
      </c>
      <c r="I173">
        <v>6</v>
      </c>
      <c r="J173">
        <v>61788</v>
      </c>
      <c r="K173">
        <v>202092</v>
      </c>
      <c r="L173" t="s">
        <v>50</v>
      </c>
      <c r="M173" t="s">
        <v>215</v>
      </c>
      <c r="N173" t="s">
        <v>26</v>
      </c>
      <c r="O173" t="s">
        <v>34</v>
      </c>
      <c r="P173" t="s">
        <v>22</v>
      </c>
      <c r="Q173" t="s">
        <v>23</v>
      </c>
      <c r="R173" t="b">
        <f>OR(Таблица1[[#This Row],[Ежемесячный платеж]]&lt;$AC$5, Таблица1[[#This Row],[Ежемесячный платеж]]&gt;$AC$6)</f>
        <v>0</v>
      </c>
      <c r="S173" s="9">
        <f>(Таблица1[[#This Row],[Размер кредита]]-21824)/(789096-21824)</f>
        <v>0.31517375845853884</v>
      </c>
      <c r="T173" s="9">
        <f>(Таблица1[[#This Row],[Кредитный рейтинг]]-586)/(751-586)</f>
        <v>0.90909090909090906</v>
      </c>
      <c r="U173" s="9">
        <f>Таблица1[[#This Row],[Ежемесячный платеж]]/(Таблица1[[#This Row],[Годовой доход]]/12)</f>
        <v>0.1349994993491539</v>
      </c>
    </row>
    <row r="174" spans="1:21" x14ac:dyDescent="0.3">
      <c r="A174">
        <v>173</v>
      </c>
      <c r="B174">
        <v>1</v>
      </c>
      <c r="D174">
        <v>725</v>
      </c>
      <c r="E174" s="1">
        <v>1048363</v>
      </c>
      <c r="F174">
        <v>0</v>
      </c>
      <c r="G174">
        <v>14152.91</v>
      </c>
      <c r="H174">
        <v>21</v>
      </c>
      <c r="I174">
        <v>11</v>
      </c>
      <c r="J174">
        <v>210045</v>
      </c>
      <c r="K174">
        <v>299156</v>
      </c>
      <c r="L174" t="s">
        <v>24</v>
      </c>
      <c r="M174" t="s">
        <v>216</v>
      </c>
      <c r="N174" t="s">
        <v>26</v>
      </c>
      <c r="O174" t="s">
        <v>34</v>
      </c>
      <c r="P174" t="s">
        <v>22</v>
      </c>
      <c r="Q174" t="s">
        <v>23</v>
      </c>
      <c r="R174" t="b">
        <f>OR(Таблица1[[#This Row],[Ежемесячный платеж]]&lt;$AC$5, Таблица1[[#This Row],[Ежемесячный платеж]]&gt;$AC$6)</f>
        <v>0</v>
      </c>
      <c r="T174" s="9">
        <f>(Таблица1[[#This Row],[Кредитный рейтинг]]-586)/(751-586)</f>
        <v>0.84242424242424241</v>
      </c>
      <c r="U174" s="9">
        <f>Таблица1[[#This Row],[Ежемесячный платеж]]/(Таблица1[[#This Row],[Годовой доход]]/12)</f>
        <v>0.16200010874096091</v>
      </c>
    </row>
    <row r="175" spans="1:21" x14ac:dyDescent="0.3">
      <c r="A175">
        <v>174</v>
      </c>
      <c r="B175">
        <v>0</v>
      </c>
      <c r="C175" s="9">
        <v>716958</v>
      </c>
      <c r="D175">
        <v>718</v>
      </c>
      <c r="E175" s="1">
        <v>1934960</v>
      </c>
      <c r="F175">
        <v>24</v>
      </c>
      <c r="G175">
        <v>31765.72</v>
      </c>
      <c r="H175">
        <v>10</v>
      </c>
      <c r="I175">
        <v>9</v>
      </c>
      <c r="J175">
        <v>168815</v>
      </c>
      <c r="K175">
        <v>228624</v>
      </c>
      <c r="L175" t="s">
        <v>50</v>
      </c>
      <c r="M175" t="s">
        <v>217</v>
      </c>
      <c r="N175" t="s">
        <v>20</v>
      </c>
      <c r="O175" t="s">
        <v>21</v>
      </c>
      <c r="P175" t="s">
        <v>22</v>
      </c>
      <c r="Q175" t="s">
        <v>23</v>
      </c>
      <c r="R175" t="b">
        <f>OR(Таблица1[[#This Row],[Ежемесячный платеж]]&lt;$AC$5, Таблица1[[#This Row],[Ежемесячный платеж]]&gt;$AC$6)</f>
        <v>0</v>
      </c>
      <c r="S175" s="9">
        <f>(Таблица1[[#This Row],[Размер кредита]]-21824)/(789096-21824)</f>
        <v>0.90598119050349812</v>
      </c>
      <c r="T175" s="9">
        <f>(Таблица1[[#This Row],[Кредитный рейтинг]]-586)/(751-586)</f>
        <v>0.8</v>
      </c>
      <c r="U175" s="9">
        <f>Таблица1[[#This Row],[Ежемесячный платеж]]/(Таблица1[[#This Row],[Годовой доход]]/12)</f>
        <v>0.19700078554595446</v>
      </c>
    </row>
    <row r="176" spans="1:21" x14ac:dyDescent="0.3">
      <c r="A176">
        <v>175</v>
      </c>
      <c r="B176">
        <v>0</v>
      </c>
      <c r="C176" s="9">
        <v>459602</v>
      </c>
      <c r="D176">
        <v>712</v>
      </c>
      <c r="E176" s="1">
        <v>982870</v>
      </c>
      <c r="F176">
        <v>0</v>
      </c>
      <c r="G176">
        <v>12859.01</v>
      </c>
      <c r="H176">
        <v>15.6</v>
      </c>
      <c r="I176">
        <v>6</v>
      </c>
      <c r="J176">
        <v>390621</v>
      </c>
      <c r="K176">
        <v>468204</v>
      </c>
      <c r="L176" t="s">
        <v>69</v>
      </c>
      <c r="M176" t="s">
        <v>218</v>
      </c>
      <c r="N176" t="s">
        <v>26</v>
      </c>
      <c r="O176" t="s">
        <v>21</v>
      </c>
      <c r="P176" t="s">
        <v>31</v>
      </c>
      <c r="Q176" t="s">
        <v>36</v>
      </c>
      <c r="R176" t="b">
        <f>OR(Таблица1[[#This Row],[Ежемесячный платеж]]&lt;$AC$5, Таблица1[[#This Row],[Ежемесячный платеж]]&gt;$AC$6)</f>
        <v>0</v>
      </c>
      <c r="S176" s="9">
        <f>(Таблица1[[#This Row],[Размер кредита]]-21824)/(789096-21824)</f>
        <v>0.57056428489505673</v>
      </c>
      <c r="T176" s="9">
        <f>(Таблица1[[#This Row],[Кредитный рейтинг]]-586)/(751-586)</f>
        <v>0.76363636363636367</v>
      </c>
      <c r="U176" s="9">
        <f>Таблица1[[#This Row],[Ежемесячный платеж]]/(Таблица1[[#This Row],[Годовой доход]]/12)</f>
        <v>0.15699748695147883</v>
      </c>
    </row>
    <row r="177" spans="1:21" x14ac:dyDescent="0.3">
      <c r="A177">
        <v>176</v>
      </c>
      <c r="B177">
        <v>0</v>
      </c>
      <c r="C177" s="9">
        <v>405856</v>
      </c>
      <c r="D177">
        <v>708</v>
      </c>
      <c r="E177" s="1">
        <v>1155751</v>
      </c>
      <c r="F177">
        <v>0</v>
      </c>
      <c r="G177">
        <v>32264.85</v>
      </c>
      <c r="H177">
        <v>22.7</v>
      </c>
      <c r="I177">
        <v>13</v>
      </c>
      <c r="J177">
        <v>338181</v>
      </c>
      <c r="K177">
        <v>594198</v>
      </c>
      <c r="L177" t="s">
        <v>24</v>
      </c>
      <c r="M177" t="s">
        <v>219</v>
      </c>
      <c r="N177" t="s">
        <v>26</v>
      </c>
      <c r="O177" t="s">
        <v>34</v>
      </c>
      <c r="P177" t="s">
        <v>31</v>
      </c>
      <c r="Q177" t="s">
        <v>23</v>
      </c>
      <c r="R177" t="b">
        <f>OR(Таблица1[[#This Row],[Ежемесячный платеж]]&lt;$AC$5, Таблица1[[#This Row],[Ежемесячный платеж]]&gt;$AC$6)</f>
        <v>0</v>
      </c>
      <c r="S177" s="9">
        <f>(Таблица1[[#This Row],[Размер кредита]]-21824)/(789096-21824)</f>
        <v>0.50051611423328368</v>
      </c>
      <c r="T177" s="9">
        <f>(Таблица1[[#This Row],[Кредитный рейтинг]]-586)/(751-586)</f>
        <v>0.73939393939393938</v>
      </c>
      <c r="U177" s="9">
        <f>Таблица1[[#This Row],[Ежемесячный платеж]]/(Таблица1[[#This Row],[Годовой доход]]/12)</f>
        <v>0.33500139735981194</v>
      </c>
    </row>
    <row r="178" spans="1:21" x14ac:dyDescent="0.3">
      <c r="A178">
        <v>177</v>
      </c>
      <c r="B178">
        <v>0</v>
      </c>
      <c r="C178" s="9">
        <v>547580</v>
      </c>
      <c r="D178">
        <v>710</v>
      </c>
      <c r="E178" s="1">
        <v>1125978</v>
      </c>
      <c r="F178">
        <v>58</v>
      </c>
      <c r="G178">
        <v>9758.4</v>
      </c>
      <c r="H178">
        <v>13.8</v>
      </c>
      <c r="I178">
        <v>6</v>
      </c>
      <c r="J178">
        <v>435328</v>
      </c>
      <c r="K178">
        <v>790064</v>
      </c>
      <c r="L178" t="s">
        <v>37</v>
      </c>
      <c r="M178" t="s">
        <v>220</v>
      </c>
      <c r="N178" t="s">
        <v>26</v>
      </c>
      <c r="O178" t="s">
        <v>34</v>
      </c>
      <c r="P178" t="s">
        <v>22</v>
      </c>
      <c r="Q178" t="s">
        <v>36</v>
      </c>
      <c r="R178" t="b">
        <f>OR(Таблица1[[#This Row],[Ежемесячный платеж]]&lt;$AC$5, Таблица1[[#This Row],[Ежемесячный платеж]]&gt;$AC$6)</f>
        <v>0</v>
      </c>
      <c r="S178" s="9">
        <f>(Таблица1[[#This Row],[Размер кредита]]-21824)/(789096-21824)</f>
        <v>0.685227663722904</v>
      </c>
      <c r="T178" s="9">
        <f>(Таблица1[[#This Row],[Кредитный рейтинг]]-586)/(751-586)</f>
        <v>0.75151515151515147</v>
      </c>
      <c r="U178" s="9">
        <f>Таблица1[[#This Row],[Ежемесячный платеж]]/(Таблица1[[#This Row],[Годовой доход]]/12)</f>
        <v>0.10399919003746076</v>
      </c>
    </row>
    <row r="179" spans="1:21" x14ac:dyDescent="0.3">
      <c r="A179">
        <v>178</v>
      </c>
      <c r="B179">
        <v>0</v>
      </c>
      <c r="C179" s="9">
        <v>175428</v>
      </c>
      <c r="D179">
        <v>698</v>
      </c>
      <c r="E179" s="1">
        <v>1136238</v>
      </c>
      <c r="F179">
        <v>68</v>
      </c>
      <c r="G179">
        <v>2594.4499999999998</v>
      </c>
      <c r="H179">
        <v>30.5</v>
      </c>
      <c r="I179">
        <v>4</v>
      </c>
      <c r="J179">
        <v>70832</v>
      </c>
      <c r="K179">
        <v>96470</v>
      </c>
      <c r="L179" t="s">
        <v>41</v>
      </c>
      <c r="M179" t="s">
        <v>221</v>
      </c>
      <c r="N179" t="s">
        <v>76</v>
      </c>
      <c r="O179" t="s">
        <v>34</v>
      </c>
      <c r="P179" t="s">
        <v>22</v>
      </c>
      <c r="Q179" t="s">
        <v>23</v>
      </c>
      <c r="R179" t="b">
        <f>OR(Таблица1[[#This Row],[Ежемесячный платеж]]&lt;$AC$5, Таблица1[[#This Row],[Ежемесячный платеж]]&gt;$AC$6)</f>
        <v>0</v>
      </c>
      <c r="S179" s="9">
        <f>(Таблица1[[#This Row],[Размер кредита]]-21824)/(789096-21824)</f>
        <v>0.20019497648812937</v>
      </c>
      <c r="T179" s="9">
        <f>(Таблица1[[#This Row],[Кредитный рейтинг]]-586)/(751-586)</f>
        <v>0.67878787878787883</v>
      </c>
      <c r="U179" s="9">
        <f>Таблица1[[#This Row],[Ежемесячный платеж]]/(Таблица1[[#This Row],[Годовой доход]]/12)</f>
        <v>2.7400421390588941E-2</v>
      </c>
    </row>
    <row r="180" spans="1:21" x14ac:dyDescent="0.3">
      <c r="A180">
        <v>179</v>
      </c>
      <c r="B180">
        <v>0</v>
      </c>
      <c r="C180" s="9">
        <v>216370</v>
      </c>
      <c r="D180">
        <f>$Y$13</f>
        <v>723</v>
      </c>
      <c r="E180">
        <f>$AB$13</f>
        <v>1168044</v>
      </c>
      <c r="F180">
        <v>0</v>
      </c>
      <c r="G180">
        <v>6446.89</v>
      </c>
      <c r="H180">
        <v>8.1999999999999993</v>
      </c>
      <c r="I180">
        <v>10</v>
      </c>
      <c r="J180">
        <v>239970</v>
      </c>
      <c r="K180">
        <v>551320</v>
      </c>
      <c r="L180" t="s">
        <v>41</v>
      </c>
      <c r="M180" t="s">
        <v>222</v>
      </c>
      <c r="N180" t="s">
        <v>26</v>
      </c>
      <c r="O180" t="s">
        <v>34</v>
      </c>
      <c r="P180" t="s">
        <v>22</v>
      </c>
      <c r="Q180" t="s">
        <v>23</v>
      </c>
      <c r="R180" t="b">
        <f>OR(Таблица1[[#This Row],[Ежемесячный платеж]]&lt;$AC$5, Таблица1[[#This Row],[Ежемесячный платеж]]&gt;$AC$6)</f>
        <v>0</v>
      </c>
      <c r="S180" s="9">
        <f>(Таблица1[[#This Row],[Размер кредита]]-21824)/(789096-21824)</f>
        <v>0.25355545360706505</v>
      </c>
      <c r="T180" s="9">
        <f>(Таблица1[[#This Row],[Кредитный рейтинг]]-586)/(751-586)</f>
        <v>0.83030303030303032</v>
      </c>
      <c r="U180" s="9">
        <f>Таблица1[[#This Row],[Ежемесячный платеж]]/(Таблица1[[#This Row],[Годовой доход]]/12)</f>
        <v>6.6232676166308804E-2</v>
      </c>
    </row>
    <row r="181" spans="1:21" x14ac:dyDescent="0.3">
      <c r="A181">
        <v>180</v>
      </c>
      <c r="B181">
        <v>1</v>
      </c>
      <c r="D181">
        <v>743</v>
      </c>
      <c r="E181" s="1">
        <v>756352</v>
      </c>
      <c r="F181">
        <v>0</v>
      </c>
      <c r="G181">
        <v>11849.54</v>
      </c>
      <c r="H181">
        <v>18.399999999999999</v>
      </c>
      <c r="I181">
        <v>9</v>
      </c>
      <c r="J181">
        <v>46341</v>
      </c>
      <c r="K181">
        <v>496870</v>
      </c>
      <c r="L181" t="s">
        <v>24</v>
      </c>
      <c r="M181" t="s">
        <v>223</v>
      </c>
      <c r="N181" t="s">
        <v>20</v>
      </c>
      <c r="O181" t="s">
        <v>21</v>
      </c>
      <c r="P181" t="s">
        <v>22</v>
      </c>
      <c r="Q181" t="s">
        <v>23</v>
      </c>
      <c r="R181" t="b">
        <f>OR(Таблица1[[#This Row],[Ежемесячный платеж]]&lt;$AC$5, Таблица1[[#This Row],[Ежемесячный платеж]]&gt;$AC$6)</f>
        <v>0</v>
      </c>
      <c r="T181" s="9">
        <f>(Таблица1[[#This Row],[Кредитный рейтинг]]-586)/(751-586)</f>
        <v>0.95151515151515154</v>
      </c>
      <c r="U181" s="9">
        <f>Таблица1[[#This Row],[Ежемесячный платеж]]/(Таблица1[[#This Row],[Годовой доход]]/12)</f>
        <v>0.18800040192926046</v>
      </c>
    </row>
    <row r="182" spans="1:21" x14ac:dyDescent="0.3">
      <c r="A182">
        <v>181</v>
      </c>
      <c r="B182">
        <v>2</v>
      </c>
      <c r="C182" s="9">
        <v>234806</v>
      </c>
      <c r="D182">
        <v>689</v>
      </c>
      <c r="E182" s="1">
        <v>866799</v>
      </c>
      <c r="F182">
        <v>7</v>
      </c>
      <c r="G182">
        <v>3676.69</v>
      </c>
      <c r="H182">
        <v>14.1</v>
      </c>
      <c r="I182">
        <v>4</v>
      </c>
      <c r="J182">
        <v>86051</v>
      </c>
      <c r="K182">
        <v>167750</v>
      </c>
      <c r="L182" t="s">
        <v>50</v>
      </c>
      <c r="M182" t="s">
        <v>224</v>
      </c>
      <c r="N182" t="s">
        <v>26</v>
      </c>
      <c r="O182" t="s">
        <v>21</v>
      </c>
      <c r="P182" t="s">
        <v>31</v>
      </c>
      <c r="Q182" t="s">
        <v>23</v>
      </c>
      <c r="R182" t="b">
        <f>OR(Таблица1[[#This Row],[Ежемесячный платеж]]&lt;$AC$5, Таблица1[[#This Row],[Ежемесячный платеж]]&gt;$AC$6)</f>
        <v>0</v>
      </c>
      <c r="S182" s="9">
        <f>(Таблица1[[#This Row],[Размер кредита]]-21824)/(789096-21824)</f>
        <v>0.27758343846771416</v>
      </c>
      <c r="T182" s="9">
        <f>(Таблица1[[#This Row],[Кредитный рейтинг]]-586)/(751-586)</f>
        <v>0.62424242424242427</v>
      </c>
      <c r="U182" s="9">
        <f>Таблица1[[#This Row],[Ежемесячный платеж]]/(Таблица1[[#This Row],[Годовой доход]]/12)</f>
        <v>5.0900243309002433E-2</v>
      </c>
    </row>
    <row r="183" spans="1:21" x14ac:dyDescent="0.3">
      <c r="A183">
        <v>182</v>
      </c>
      <c r="B183">
        <v>0</v>
      </c>
      <c r="C183" s="9">
        <v>25806</v>
      </c>
      <c r="D183">
        <v>685</v>
      </c>
      <c r="E183" s="1">
        <v>742976</v>
      </c>
      <c r="F183">
        <v>35</v>
      </c>
      <c r="G183">
        <v>6377.16</v>
      </c>
      <c r="H183">
        <v>7.1</v>
      </c>
      <c r="I183">
        <v>5</v>
      </c>
      <c r="J183">
        <v>8189</v>
      </c>
      <c r="K183">
        <v>47432</v>
      </c>
      <c r="L183" t="s">
        <v>18</v>
      </c>
      <c r="M183" t="s">
        <v>225</v>
      </c>
      <c r="N183" t="s">
        <v>68</v>
      </c>
      <c r="O183" t="s">
        <v>34</v>
      </c>
      <c r="P183" t="s">
        <v>22</v>
      </c>
      <c r="Q183" t="s">
        <v>36</v>
      </c>
      <c r="R183" t="b">
        <f>OR(Таблица1[[#This Row],[Ежемесячный платеж]]&lt;$AC$5, Таблица1[[#This Row],[Ежемесячный платеж]]&gt;$AC$6)</f>
        <v>0</v>
      </c>
      <c r="S183" s="9">
        <f>(Таблица1[[#This Row],[Размер кредита]]-21824)/(789096-21824)</f>
        <v>5.1898153457965359E-3</v>
      </c>
      <c r="T183" s="9">
        <f>(Таблица1[[#This Row],[Кредитный рейтинг]]-586)/(751-586)</f>
        <v>0.6</v>
      </c>
      <c r="U183" s="9">
        <f>Таблица1[[#This Row],[Ежемесячный платеж]]/(Таблица1[[#This Row],[Годовой доход]]/12)</f>
        <v>0.10299918166939444</v>
      </c>
    </row>
    <row r="184" spans="1:21" x14ac:dyDescent="0.3">
      <c r="A184">
        <v>183</v>
      </c>
      <c r="B184">
        <v>0</v>
      </c>
      <c r="C184" s="9">
        <v>332706</v>
      </c>
      <c r="D184">
        <v>735</v>
      </c>
      <c r="E184" s="1">
        <v>957790</v>
      </c>
      <c r="F184">
        <v>0</v>
      </c>
      <c r="G184">
        <v>10855.08</v>
      </c>
      <c r="H184">
        <v>6.6</v>
      </c>
      <c r="I184">
        <v>9</v>
      </c>
      <c r="J184">
        <v>220571</v>
      </c>
      <c r="K184">
        <v>498828</v>
      </c>
      <c r="L184" t="s">
        <v>24</v>
      </c>
      <c r="M184" t="s">
        <v>226</v>
      </c>
      <c r="N184" t="s">
        <v>26</v>
      </c>
      <c r="O184" t="s">
        <v>21</v>
      </c>
      <c r="P184" t="s">
        <v>22</v>
      </c>
      <c r="Q184" t="s">
        <v>23</v>
      </c>
      <c r="R184" t="b">
        <f>OR(Таблица1[[#This Row],[Ежемесячный платеж]]&lt;$AC$5, Таблица1[[#This Row],[Ежемесячный платеж]]&gt;$AC$6)</f>
        <v>0</v>
      </c>
      <c r="S184" s="9">
        <f>(Таблица1[[#This Row],[Размер кредита]]-21824)/(789096-21824)</f>
        <v>0.40517834614061243</v>
      </c>
      <c r="T184" s="9">
        <f>(Таблица1[[#This Row],[Кредитный рейтинг]]-586)/(751-586)</f>
        <v>0.90303030303030307</v>
      </c>
      <c r="U184" s="9">
        <f>Таблица1[[#This Row],[Ежемесячный платеж]]/(Таблица1[[#This Row],[Годовой доход]]/12)</f>
        <v>0.136001586986709</v>
      </c>
    </row>
    <row r="185" spans="1:21" x14ac:dyDescent="0.3">
      <c r="A185">
        <v>184</v>
      </c>
      <c r="B185">
        <v>0</v>
      </c>
      <c r="C185" s="9">
        <v>333124</v>
      </c>
      <c r="D185">
        <v>703</v>
      </c>
      <c r="E185" s="1">
        <v>1300246</v>
      </c>
      <c r="F185">
        <v>22</v>
      </c>
      <c r="G185">
        <v>13110.76</v>
      </c>
      <c r="H185">
        <v>14.6</v>
      </c>
      <c r="I185">
        <v>10</v>
      </c>
      <c r="J185">
        <v>173128</v>
      </c>
      <c r="K185">
        <v>384032</v>
      </c>
      <c r="L185" t="s">
        <v>24</v>
      </c>
      <c r="M185" t="s">
        <v>227</v>
      </c>
      <c r="N185" t="s">
        <v>26</v>
      </c>
      <c r="O185" t="s">
        <v>21</v>
      </c>
      <c r="P185" t="s">
        <v>22</v>
      </c>
      <c r="Q185" t="s">
        <v>23</v>
      </c>
      <c r="R185" t="b">
        <f>OR(Таблица1[[#This Row],[Ежемесячный платеж]]&lt;$AC$5, Таблица1[[#This Row],[Ежемесячный платеж]]&gt;$AC$6)</f>
        <v>0</v>
      </c>
      <c r="S185" s="9">
        <f>(Таблица1[[#This Row],[Размер кредита]]-21824)/(789096-21824)</f>
        <v>0.40572313338685628</v>
      </c>
      <c r="T185" s="9">
        <f>(Таблица1[[#This Row],[Кредитный рейтинг]]-586)/(751-586)</f>
        <v>0.70909090909090911</v>
      </c>
      <c r="U185" s="9">
        <f>Таблица1[[#This Row],[Ежемесячный платеж]]/(Таблица1[[#This Row],[Годовой доход]]/12)</f>
        <v>0.12099950317093842</v>
      </c>
    </row>
    <row r="186" spans="1:21" x14ac:dyDescent="0.3">
      <c r="A186">
        <v>185</v>
      </c>
      <c r="B186">
        <v>0</v>
      </c>
      <c r="C186" s="9">
        <v>441276</v>
      </c>
      <c r="D186">
        <v>747</v>
      </c>
      <c r="E186" s="1">
        <v>2305669</v>
      </c>
      <c r="F186">
        <v>0</v>
      </c>
      <c r="G186">
        <v>24017.52</v>
      </c>
      <c r="H186">
        <v>17.8</v>
      </c>
      <c r="I186">
        <v>14</v>
      </c>
      <c r="J186">
        <v>678851</v>
      </c>
      <c r="K186">
        <v>2245848</v>
      </c>
      <c r="L186" t="s">
        <v>24</v>
      </c>
      <c r="M186" t="s">
        <v>228</v>
      </c>
      <c r="N186" t="s">
        <v>26</v>
      </c>
      <c r="O186" t="s">
        <v>21</v>
      </c>
      <c r="P186" t="s">
        <v>22</v>
      </c>
      <c r="Q186" t="s">
        <v>23</v>
      </c>
      <c r="R186" t="b">
        <f>OR(Таблица1[[#This Row],[Ежемесячный платеж]]&lt;$AC$5, Таблица1[[#This Row],[Ежемесячный платеж]]&gt;$AC$6)</f>
        <v>0</v>
      </c>
      <c r="S186" s="9">
        <f>(Таблица1[[#This Row],[Размер кредита]]-21824)/(789096-21824)</f>
        <v>0.54667966509920862</v>
      </c>
      <c r="T186" s="9">
        <f>(Таблица1[[#This Row],[Кредитный рейтинг]]-586)/(751-586)</f>
        <v>0.97575757575757571</v>
      </c>
      <c r="U186" s="9">
        <f>Таблица1[[#This Row],[Ежемесячный платеж]]/(Таблица1[[#This Row],[Годовой доход]]/12)</f>
        <v>0.12500070044746231</v>
      </c>
    </row>
    <row r="187" spans="1:21" x14ac:dyDescent="0.3">
      <c r="A187">
        <v>186</v>
      </c>
      <c r="B187">
        <v>0</v>
      </c>
      <c r="C187" s="9">
        <v>327756</v>
      </c>
      <c r="D187">
        <v>707</v>
      </c>
      <c r="E187" s="1">
        <v>830319</v>
      </c>
      <c r="F187">
        <v>0</v>
      </c>
      <c r="G187">
        <v>9271.81</v>
      </c>
      <c r="H187">
        <v>15.8</v>
      </c>
      <c r="I187">
        <v>6</v>
      </c>
      <c r="J187">
        <v>245727</v>
      </c>
      <c r="K187">
        <v>292732</v>
      </c>
      <c r="L187" t="s">
        <v>32</v>
      </c>
      <c r="M187" t="s">
        <v>229</v>
      </c>
      <c r="N187" t="s">
        <v>26</v>
      </c>
      <c r="O187" t="s">
        <v>34</v>
      </c>
      <c r="P187" t="s">
        <v>22</v>
      </c>
      <c r="Q187" t="s">
        <v>23</v>
      </c>
      <c r="R187" t="b">
        <f>OR(Таблица1[[#This Row],[Ежемесячный платеж]]&lt;$AC$5, Таблица1[[#This Row],[Ежемесячный платеж]]&gt;$AC$6)</f>
        <v>0</v>
      </c>
      <c r="S187" s="9">
        <f>(Таблица1[[#This Row],[Размер кредита]]-21824)/(789096-21824)</f>
        <v>0.39872691822456702</v>
      </c>
      <c r="T187" s="9">
        <f>(Таблица1[[#This Row],[Кредитный рейтинг]]-586)/(751-586)</f>
        <v>0.73333333333333328</v>
      </c>
      <c r="U187" s="9">
        <f>Таблица1[[#This Row],[Ежемесячный платеж]]/(Таблица1[[#This Row],[Годовой доход]]/12)</f>
        <v>0.1339987643303357</v>
      </c>
    </row>
    <row r="188" spans="1:21" x14ac:dyDescent="0.3">
      <c r="A188">
        <v>187</v>
      </c>
      <c r="B188">
        <v>0</v>
      </c>
      <c r="D188">
        <v>736</v>
      </c>
      <c r="E188" s="1">
        <v>1111367</v>
      </c>
      <c r="F188">
        <v>77</v>
      </c>
      <c r="G188">
        <v>16577.88</v>
      </c>
      <c r="H188">
        <v>13.5</v>
      </c>
      <c r="I188">
        <v>8</v>
      </c>
      <c r="J188">
        <v>378746</v>
      </c>
      <c r="K188">
        <v>594242</v>
      </c>
      <c r="L188" t="s">
        <v>63</v>
      </c>
      <c r="M188" t="s">
        <v>230</v>
      </c>
      <c r="N188" t="s">
        <v>68</v>
      </c>
      <c r="O188" t="s">
        <v>34</v>
      </c>
      <c r="P188" t="s">
        <v>22</v>
      </c>
      <c r="Q188" t="s">
        <v>23</v>
      </c>
      <c r="R188" t="b">
        <f>OR(Таблица1[[#This Row],[Ежемесячный платеж]]&lt;$AC$5, Таблица1[[#This Row],[Ежемесячный платеж]]&gt;$AC$6)</f>
        <v>0</v>
      </c>
      <c r="T188" s="9">
        <f>(Таблица1[[#This Row],[Кредитный рейтинг]]-586)/(751-586)</f>
        <v>0.90909090909090906</v>
      </c>
      <c r="U188" s="9">
        <f>Таблица1[[#This Row],[Ежемесячный платеж]]/(Таблица1[[#This Row],[Годовой доход]]/12)</f>
        <v>0.17899988032756056</v>
      </c>
    </row>
    <row r="189" spans="1:21" x14ac:dyDescent="0.3">
      <c r="A189">
        <v>188</v>
      </c>
      <c r="B189">
        <v>0</v>
      </c>
      <c r="C189" s="9">
        <v>476586</v>
      </c>
      <c r="D189">
        <v>707</v>
      </c>
      <c r="E189" s="1">
        <v>1403207</v>
      </c>
      <c r="F189">
        <v>11</v>
      </c>
      <c r="G189">
        <v>18241.52</v>
      </c>
      <c r="H189">
        <v>13.4</v>
      </c>
      <c r="I189">
        <v>6</v>
      </c>
      <c r="J189">
        <v>91580</v>
      </c>
      <c r="K189">
        <v>214654</v>
      </c>
      <c r="L189" t="s">
        <v>52</v>
      </c>
      <c r="M189" t="s">
        <v>231</v>
      </c>
      <c r="N189" t="s">
        <v>26</v>
      </c>
      <c r="O189" t="s">
        <v>34</v>
      </c>
      <c r="P189" t="s">
        <v>22</v>
      </c>
      <c r="Q189" t="s">
        <v>23</v>
      </c>
      <c r="R189" t="b">
        <f>OR(Таблица1[[#This Row],[Ежемесячный платеж]]&lt;$AC$5, Таблица1[[#This Row],[Ежемесячный платеж]]&gt;$AC$6)</f>
        <v>0</v>
      </c>
      <c r="S189" s="9">
        <f>(Таблица1[[#This Row],[Размер кредита]]-21824)/(789096-21824)</f>
        <v>0.59269985090033261</v>
      </c>
      <c r="T189" s="9">
        <f>(Таблица1[[#This Row],[Кредитный рейтинг]]-586)/(751-586)</f>
        <v>0.73333333333333328</v>
      </c>
      <c r="U189" s="9">
        <f>Таблица1[[#This Row],[Ежемесячный платеж]]/(Таблица1[[#This Row],[Годовой доход]]/12)</f>
        <v>0.15599853763557336</v>
      </c>
    </row>
    <row r="190" spans="1:21" x14ac:dyDescent="0.3">
      <c r="A190">
        <v>189</v>
      </c>
      <c r="B190">
        <v>1</v>
      </c>
      <c r="C190" s="9">
        <v>263450</v>
      </c>
      <c r="D190">
        <f>$Y$13</f>
        <v>723</v>
      </c>
      <c r="E190">
        <f>$AB$13</f>
        <v>1168044</v>
      </c>
      <c r="F190">
        <v>0</v>
      </c>
      <c r="G190">
        <v>7319.18</v>
      </c>
      <c r="H190">
        <v>16.899999999999999</v>
      </c>
      <c r="I190">
        <v>17</v>
      </c>
      <c r="J190">
        <v>169100</v>
      </c>
      <c r="K190">
        <v>621610</v>
      </c>
      <c r="L190" t="s">
        <v>24</v>
      </c>
      <c r="M190" t="s">
        <v>232</v>
      </c>
      <c r="N190" t="s">
        <v>20</v>
      </c>
      <c r="O190" t="s">
        <v>21</v>
      </c>
      <c r="P190" t="s">
        <v>22</v>
      </c>
      <c r="Q190" t="s">
        <v>23</v>
      </c>
      <c r="R190" t="b">
        <f>OR(Таблица1[[#This Row],[Ежемесячный платеж]]&lt;$AC$5, Таблица1[[#This Row],[Ежемесячный платеж]]&gt;$AC$6)</f>
        <v>0</v>
      </c>
      <c r="S190" s="9">
        <f>(Таблица1[[#This Row],[Размер кредита]]-21824)/(789096-21824)</f>
        <v>0.314915701341897</v>
      </c>
      <c r="T190" s="9">
        <f>(Таблица1[[#This Row],[Кредитный рейтинг]]-586)/(751-586)</f>
        <v>0.83030303030303032</v>
      </c>
      <c r="U190" s="9">
        <f>Таблица1[[#This Row],[Ежемесячный платеж]]/(Таблица1[[#This Row],[Годовой доход]]/12)</f>
        <v>7.5194222135467503E-2</v>
      </c>
    </row>
    <row r="191" spans="1:21" x14ac:dyDescent="0.3">
      <c r="A191">
        <v>190</v>
      </c>
      <c r="B191">
        <v>0</v>
      </c>
      <c r="C191" s="9">
        <v>261800</v>
      </c>
      <c r="D191">
        <v>738</v>
      </c>
      <c r="E191" s="1">
        <v>1488536</v>
      </c>
      <c r="F191">
        <v>45</v>
      </c>
      <c r="G191">
        <v>21087.72</v>
      </c>
      <c r="H191">
        <v>16.5</v>
      </c>
      <c r="I191">
        <v>8</v>
      </c>
      <c r="J191">
        <v>178220</v>
      </c>
      <c r="K191">
        <v>274780</v>
      </c>
      <c r="L191" t="s">
        <v>47</v>
      </c>
      <c r="M191" t="s">
        <v>233</v>
      </c>
      <c r="N191" t="s">
        <v>26</v>
      </c>
      <c r="O191" t="s">
        <v>34</v>
      </c>
      <c r="P191" t="s">
        <v>22</v>
      </c>
      <c r="Q191" t="s">
        <v>23</v>
      </c>
      <c r="R191" t="b">
        <f>OR(Таблица1[[#This Row],[Ежемесячный платеж]]&lt;$AC$5, Таблица1[[#This Row],[Ежемесячный платеж]]&gt;$AC$6)</f>
        <v>0</v>
      </c>
      <c r="S191" s="9">
        <f>(Таблица1[[#This Row],[Размер кредита]]-21824)/(789096-21824)</f>
        <v>0.31276522536988188</v>
      </c>
      <c r="T191" s="9">
        <f>(Таблица1[[#This Row],[Кредитный рейтинг]]-586)/(751-586)</f>
        <v>0.92121212121212126</v>
      </c>
      <c r="U191" s="9">
        <f>Таблица1[[#This Row],[Ежемесячный платеж]]/(Таблица1[[#This Row],[Годовой доход]]/12)</f>
        <v>0.17000102113754723</v>
      </c>
    </row>
    <row r="192" spans="1:21" x14ac:dyDescent="0.3">
      <c r="A192">
        <v>191</v>
      </c>
      <c r="B192">
        <v>0</v>
      </c>
      <c r="C192" s="9">
        <v>433136</v>
      </c>
      <c r="D192">
        <v>682</v>
      </c>
      <c r="E192" s="1">
        <v>1178323</v>
      </c>
      <c r="F192">
        <v>0</v>
      </c>
      <c r="G192">
        <v>17969.439999999999</v>
      </c>
      <c r="H192">
        <v>17.600000000000001</v>
      </c>
      <c r="I192">
        <v>16</v>
      </c>
      <c r="J192">
        <v>355471</v>
      </c>
      <c r="K192">
        <v>426514</v>
      </c>
      <c r="L192" t="s">
        <v>50</v>
      </c>
      <c r="M192" t="s">
        <v>234</v>
      </c>
      <c r="N192" t="s">
        <v>26</v>
      </c>
      <c r="O192" t="s">
        <v>21</v>
      </c>
      <c r="P192" t="s">
        <v>31</v>
      </c>
      <c r="Q192" t="s">
        <v>36</v>
      </c>
      <c r="R192" t="b">
        <f>OR(Таблица1[[#This Row],[Ежемесячный платеж]]&lt;$AC$5, Таблица1[[#This Row],[Ежемесячный платеж]]&gt;$AC$6)</f>
        <v>0</v>
      </c>
      <c r="S192" s="9">
        <f>(Таблица1[[#This Row],[Размер кредита]]-21824)/(789096-21824)</f>
        <v>0.53607065030393397</v>
      </c>
      <c r="T192" s="9">
        <f>(Таблица1[[#This Row],[Кредитный рейтинг]]-586)/(751-586)</f>
        <v>0.58181818181818179</v>
      </c>
      <c r="U192" s="9">
        <f>Таблица1[[#This Row],[Ежемесячный платеж]]/(Таблица1[[#This Row],[Годовой доход]]/12)</f>
        <v>0.18300014512149895</v>
      </c>
    </row>
    <row r="193" spans="1:21" x14ac:dyDescent="0.3">
      <c r="A193">
        <v>192</v>
      </c>
      <c r="B193">
        <v>0</v>
      </c>
      <c r="C193" s="9">
        <v>322124</v>
      </c>
      <c r="D193">
        <v>716</v>
      </c>
      <c r="E193" s="1">
        <v>1020034</v>
      </c>
      <c r="F193">
        <v>0</v>
      </c>
      <c r="G193">
        <v>16915.32</v>
      </c>
      <c r="H193">
        <v>17.8</v>
      </c>
      <c r="I193">
        <v>10</v>
      </c>
      <c r="J193">
        <v>205865</v>
      </c>
      <c r="K193">
        <v>341506</v>
      </c>
      <c r="L193" t="s">
        <v>50</v>
      </c>
      <c r="M193" t="s">
        <v>235</v>
      </c>
      <c r="N193" t="s">
        <v>26</v>
      </c>
      <c r="O193" t="s">
        <v>21</v>
      </c>
      <c r="P193" t="s">
        <v>31</v>
      </c>
      <c r="Q193" t="s">
        <v>36</v>
      </c>
      <c r="R193" t="b">
        <f>OR(Таблица1[[#This Row],[Ежемесячный платеж]]&lt;$AC$5, Таблица1[[#This Row],[Ежемесячный платеж]]&gt;$AC$6)</f>
        <v>0</v>
      </c>
      <c r="S193" s="9">
        <f>(Таблица1[[#This Row],[Размер кредита]]-21824)/(789096-21824)</f>
        <v>0.39138662690675535</v>
      </c>
      <c r="T193" s="9">
        <f>(Таблица1[[#This Row],[Кредитный рейтинг]]-586)/(751-586)</f>
        <v>0.78787878787878785</v>
      </c>
      <c r="U193" s="9">
        <f>Таблица1[[#This Row],[Ежемесячный платеж]]/(Таблица1[[#This Row],[Годовой доход]]/12)</f>
        <v>0.19899713146816675</v>
      </c>
    </row>
    <row r="194" spans="1:21" x14ac:dyDescent="0.3">
      <c r="A194">
        <v>193</v>
      </c>
      <c r="B194">
        <v>0</v>
      </c>
      <c r="C194" s="9">
        <v>107536</v>
      </c>
      <c r="D194">
        <f>$Y$13</f>
        <v>723</v>
      </c>
      <c r="E194">
        <f>$AB$13</f>
        <v>1168044</v>
      </c>
      <c r="F194">
        <v>0</v>
      </c>
      <c r="G194">
        <v>22176.61</v>
      </c>
      <c r="H194">
        <v>13.5</v>
      </c>
      <c r="I194">
        <v>7</v>
      </c>
      <c r="J194">
        <v>107483</v>
      </c>
      <c r="K194">
        <v>197868</v>
      </c>
      <c r="L194" t="s">
        <v>37</v>
      </c>
      <c r="M194" t="s">
        <v>236</v>
      </c>
      <c r="N194" t="s">
        <v>26</v>
      </c>
      <c r="O194" t="s">
        <v>34</v>
      </c>
      <c r="P194" t="s">
        <v>22</v>
      </c>
      <c r="Q194" t="s">
        <v>36</v>
      </c>
      <c r="R194" t="b">
        <f>OR(Таблица1[[#This Row],[Ежемесячный платеж]]&lt;$AC$5, Таблица1[[#This Row],[Ежемесячный платеж]]&gt;$AC$6)</f>
        <v>0</v>
      </c>
      <c r="S194" s="9">
        <f>(Таблица1[[#This Row],[Размер кредита]]-21824)/(789096-21824)</f>
        <v>0.11171005849294643</v>
      </c>
      <c r="T194" s="9">
        <f>(Таблица1[[#This Row],[Кредитный рейтинг]]-586)/(751-586)</f>
        <v>0.83030303030303032</v>
      </c>
      <c r="U194" s="9">
        <f>Таблица1[[#This Row],[Ежемесячный платеж]]/(Таблица1[[#This Row],[Годовой доход]]/12)</f>
        <v>0.22783330080031233</v>
      </c>
    </row>
    <row r="195" spans="1:21" x14ac:dyDescent="0.3">
      <c r="A195">
        <v>194</v>
      </c>
      <c r="B195">
        <v>1</v>
      </c>
      <c r="C195" s="9">
        <v>355410</v>
      </c>
      <c r="D195">
        <f>$Y$13</f>
        <v>723</v>
      </c>
      <c r="E195">
        <f>$AB$13</f>
        <v>1168044</v>
      </c>
      <c r="F195">
        <v>0</v>
      </c>
      <c r="G195">
        <v>13237.11</v>
      </c>
      <c r="H195">
        <v>13.7</v>
      </c>
      <c r="I195">
        <v>6</v>
      </c>
      <c r="J195">
        <v>297293</v>
      </c>
      <c r="K195">
        <v>397518</v>
      </c>
      <c r="L195" t="s">
        <v>24</v>
      </c>
      <c r="M195" t="s">
        <v>237</v>
      </c>
      <c r="N195" t="s">
        <v>26</v>
      </c>
      <c r="O195" t="s">
        <v>21</v>
      </c>
      <c r="P195" t="s">
        <v>22</v>
      </c>
      <c r="Q195" t="s">
        <v>23</v>
      </c>
      <c r="R195" t="b">
        <f>OR(Таблица1[[#This Row],[Ежемесячный платеж]]&lt;$AC$5, Таблица1[[#This Row],[Ежемесячный платеж]]&gt;$AC$6)</f>
        <v>0</v>
      </c>
      <c r="S195" s="9">
        <f>(Таблица1[[#This Row],[Размер кредита]]-21824)/(789096-21824)</f>
        <v>0.43476889551554077</v>
      </c>
      <c r="T195" s="9">
        <f>(Таблица1[[#This Row],[Кредитный рейтинг]]-586)/(751-586)</f>
        <v>0.83030303030303032</v>
      </c>
      <c r="U195" s="9">
        <f>Таблица1[[#This Row],[Ежемесячный платеж]]/(Таблица1[[#This Row],[Годовой доход]]/12)</f>
        <v>0.1359925824712083</v>
      </c>
    </row>
    <row r="196" spans="1:21" x14ac:dyDescent="0.3">
      <c r="A196">
        <v>195</v>
      </c>
      <c r="B196">
        <v>0</v>
      </c>
      <c r="C196" s="9">
        <v>437668</v>
      </c>
      <c r="D196">
        <v>749</v>
      </c>
      <c r="E196" s="1">
        <v>2683693</v>
      </c>
      <c r="F196">
        <v>0</v>
      </c>
      <c r="G196">
        <v>5993.55</v>
      </c>
      <c r="H196">
        <v>21.5</v>
      </c>
      <c r="I196">
        <v>7</v>
      </c>
      <c r="J196">
        <v>326496</v>
      </c>
      <c r="K196">
        <v>562584</v>
      </c>
      <c r="L196" t="s">
        <v>32</v>
      </c>
      <c r="M196" t="s">
        <v>238</v>
      </c>
      <c r="N196" t="s">
        <v>26</v>
      </c>
      <c r="O196" t="s">
        <v>21</v>
      </c>
      <c r="P196" t="s">
        <v>22</v>
      </c>
      <c r="Q196" t="s">
        <v>23</v>
      </c>
      <c r="R196" t="b">
        <f>OR(Таблица1[[#This Row],[Ежемесячный платеж]]&lt;$AC$5, Таблица1[[#This Row],[Ежемесячный платеж]]&gt;$AC$6)</f>
        <v>0</v>
      </c>
      <c r="S196" s="9">
        <f>(Таблица1[[#This Row],[Размер кредита]]-21824)/(789096-21824)</f>
        <v>0.54197729097373548</v>
      </c>
      <c r="T196" s="9">
        <f>(Таблица1[[#This Row],[Кредитный рейтинг]]-586)/(751-586)</f>
        <v>0.98787878787878791</v>
      </c>
      <c r="U196" s="9">
        <f>Таблица1[[#This Row],[Ежемесячный платеж]]/(Таблица1[[#This Row],[Годовой доход]]/12)</f>
        <v>2.6799861235990853E-2</v>
      </c>
    </row>
    <row r="197" spans="1:21" x14ac:dyDescent="0.3">
      <c r="A197">
        <v>196</v>
      </c>
      <c r="B197">
        <v>0</v>
      </c>
      <c r="C197" s="9">
        <v>377322</v>
      </c>
      <c r="D197">
        <v>740</v>
      </c>
      <c r="E197" s="1">
        <v>1288162</v>
      </c>
      <c r="F197">
        <v>16</v>
      </c>
      <c r="G197">
        <v>17068.080000000002</v>
      </c>
      <c r="H197">
        <v>36.299999999999997</v>
      </c>
      <c r="I197">
        <v>8</v>
      </c>
      <c r="J197">
        <v>358549</v>
      </c>
      <c r="K197">
        <v>494824</v>
      </c>
      <c r="L197" t="s">
        <v>37</v>
      </c>
      <c r="M197" t="s">
        <v>239</v>
      </c>
      <c r="N197" t="s">
        <v>26</v>
      </c>
      <c r="O197" t="s">
        <v>34</v>
      </c>
      <c r="P197" t="s">
        <v>22</v>
      </c>
      <c r="Q197" t="s">
        <v>23</v>
      </c>
      <c r="R197" t="b">
        <f>OR(Таблица1[[#This Row],[Ежемесячный платеж]]&lt;$AC$5, Таблица1[[#This Row],[Ежемесячный платеж]]&gt;$AC$6)</f>
        <v>0</v>
      </c>
      <c r="S197" s="9">
        <f>(Таблица1[[#This Row],[Размер кредита]]-21824)/(789096-21824)</f>
        <v>0.46332721642390184</v>
      </c>
      <c r="T197" s="9">
        <f>(Таблица1[[#This Row],[Кредитный рейтинг]]-586)/(751-586)</f>
        <v>0.93333333333333335</v>
      </c>
      <c r="U197" s="9">
        <f>Таблица1[[#This Row],[Ежемесячный платеж]]/(Таблица1[[#This Row],[Годовой доход]]/12)</f>
        <v>0.15899938051269952</v>
      </c>
    </row>
    <row r="198" spans="1:21" x14ac:dyDescent="0.3">
      <c r="A198">
        <v>197</v>
      </c>
      <c r="B198">
        <v>1</v>
      </c>
      <c r="C198" s="9">
        <v>606122</v>
      </c>
      <c r="D198">
        <v>693</v>
      </c>
      <c r="E198" s="1">
        <v>1395911</v>
      </c>
      <c r="F198">
        <v>0</v>
      </c>
      <c r="G198">
        <v>24079.46</v>
      </c>
      <c r="H198">
        <v>22.5</v>
      </c>
      <c r="I198">
        <v>8</v>
      </c>
      <c r="J198">
        <v>168378</v>
      </c>
      <c r="K198">
        <v>332156</v>
      </c>
      <c r="L198" t="s">
        <v>24</v>
      </c>
      <c r="M198" t="s">
        <v>240</v>
      </c>
      <c r="N198" t="s">
        <v>26</v>
      </c>
      <c r="O198" t="s">
        <v>21</v>
      </c>
      <c r="P198" t="s">
        <v>31</v>
      </c>
      <c r="Q198" t="s">
        <v>23</v>
      </c>
      <c r="R198" t="b">
        <f>OR(Таблица1[[#This Row],[Ежемесячный платеж]]&lt;$AC$5, Таблица1[[#This Row],[Ежемесячный платеж]]&gt;$AC$6)</f>
        <v>0</v>
      </c>
      <c r="S198" s="9">
        <f>(Таблица1[[#This Row],[Размер кредита]]-21824)/(789096-21824)</f>
        <v>0.76152655121000112</v>
      </c>
      <c r="T198" s="9">
        <f>(Таблица1[[#This Row],[Кредитный рейтинг]]-586)/(751-586)</f>
        <v>0.64848484848484844</v>
      </c>
      <c r="U198" s="9">
        <f>Таблица1[[#This Row],[Ежемесячный платеж]]/(Таблица1[[#This Row],[Годовой доход]]/12)</f>
        <v>0.20699995916645114</v>
      </c>
    </row>
    <row r="199" spans="1:21" x14ac:dyDescent="0.3">
      <c r="A199">
        <v>198</v>
      </c>
      <c r="B199">
        <v>0</v>
      </c>
      <c r="C199" s="9">
        <v>520982</v>
      </c>
      <c r="D199">
        <v>724</v>
      </c>
      <c r="E199" s="1">
        <v>1031111</v>
      </c>
      <c r="F199">
        <v>0</v>
      </c>
      <c r="G199">
        <v>17013.169999999998</v>
      </c>
      <c r="H199">
        <v>15</v>
      </c>
      <c r="I199">
        <v>12</v>
      </c>
      <c r="J199">
        <v>267976</v>
      </c>
      <c r="K199">
        <v>475178</v>
      </c>
      <c r="L199" t="s">
        <v>24</v>
      </c>
      <c r="M199" t="s">
        <v>241</v>
      </c>
      <c r="N199" t="s">
        <v>26</v>
      </c>
      <c r="O199" t="s">
        <v>34</v>
      </c>
      <c r="P199" t="s">
        <v>31</v>
      </c>
      <c r="Q199" t="s">
        <v>23</v>
      </c>
      <c r="R199" t="b">
        <f>OR(Таблица1[[#This Row],[Ежемесячный платеж]]&lt;$AC$5, Таблица1[[#This Row],[Ежемесячный платеж]]&gt;$AC$6)</f>
        <v>0</v>
      </c>
      <c r="S199" s="9">
        <f>(Таблица1[[#This Row],[Размер кредита]]-21824)/(789096-21824)</f>
        <v>0.65056199105401991</v>
      </c>
      <c r="T199" s="9">
        <f>(Таблица1[[#This Row],[Кредитный рейтинг]]-586)/(751-586)</f>
        <v>0.83636363636363631</v>
      </c>
      <c r="U199" s="9">
        <f>Таблица1[[#This Row],[Ежемесячный платеж]]/(Таблица1[[#This Row],[Годовой доход]]/12)</f>
        <v>0.19799812047393536</v>
      </c>
    </row>
    <row r="200" spans="1:21" x14ac:dyDescent="0.3">
      <c r="A200">
        <v>199</v>
      </c>
      <c r="B200">
        <v>0</v>
      </c>
      <c r="C200" s="9">
        <v>304590</v>
      </c>
      <c r="D200">
        <v>746</v>
      </c>
      <c r="E200" s="1">
        <v>1202510</v>
      </c>
      <c r="F200">
        <v>0</v>
      </c>
      <c r="G200">
        <v>28960.18</v>
      </c>
      <c r="H200">
        <v>19.7</v>
      </c>
      <c r="I200">
        <v>9</v>
      </c>
      <c r="J200">
        <v>314830</v>
      </c>
      <c r="K200">
        <v>619982</v>
      </c>
      <c r="L200" t="s">
        <v>63</v>
      </c>
      <c r="M200" t="s">
        <v>242</v>
      </c>
      <c r="N200" t="s">
        <v>26</v>
      </c>
      <c r="O200" t="s">
        <v>34</v>
      </c>
      <c r="P200" t="s">
        <v>22</v>
      </c>
      <c r="Q200" t="s">
        <v>36</v>
      </c>
      <c r="R200" t="b">
        <f>OR(Таблица1[[#This Row],[Ежемесячный платеж]]&lt;$AC$5, Таблица1[[#This Row],[Ежемесячный платеж]]&gt;$AC$6)</f>
        <v>0</v>
      </c>
      <c r="S200" s="9">
        <f>(Таблица1[[#This Row],[Размер кредита]]-21824)/(789096-21824)</f>
        <v>0.3685342355774745</v>
      </c>
      <c r="T200" s="9">
        <f>(Таблица1[[#This Row],[Кредитный рейтинг]]-586)/(751-586)</f>
        <v>0.96969696969696972</v>
      </c>
      <c r="U200" s="9">
        <f>Таблица1[[#This Row],[Ежемесячный платеж]]/(Таблица1[[#This Row],[Годовой доход]]/12)</f>
        <v>0.28899731395165112</v>
      </c>
    </row>
    <row r="201" spans="1:21" x14ac:dyDescent="0.3">
      <c r="A201">
        <v>200</v>
      </c>
      <c r="B201">
        <v>0</v>
      </c>
      <c r="C201" s="9">
        <v>472362</v>
      </c>
      <c r="D201">
        <v>732</v>
      </c>
      <c r="E201" s="1">
        <v>1075058</v>
      </c>
      <c r="F201">
        <v>0</v>
      </c>
      <c r="G201">
        <v>22218.03</v>
      </c>
      <c r="H201">
        <v>16.100000000000001</v>
      </c>
      <c r="I201">
        <v>13</v>
      </c>
      <c r="J201">
        <v>392369</v>
      </c>
      <c r="K201">
        <v>542146</v>
      </c>
      <c r="L201" t="s">
        <v>32</v>
      </c>
      <c r="M201" t="s">
        <v>243</v>
      </c>
      <c r="N201" t="s">
        <v>26</v>
      </c>
      <c r="O201" t="s">
        <v>21</v>
      </c>
      <c r="P201" t="s">
        <v>22</v>
      </c>
      <c r="Q201" t="s">
        <v>36</v>
      </c>
      <c r="R201" t="b">
        <f>OR(Таблица1[[#This Row],[Ежемесячный платеж]]&lt;$AC$5, Таблица1[[#This Row],[Ежемесячный платеж]]&gt;$AC$6)</f>
        <v>0</v>
      </c>
      <c r="S201" s="9">
        <f>(Таблица1[[#This Row],[Размер кредита]]-21824)/(789096-21824)</f>
        <v>0.58719463241197389</v>
      </c>
      <c r="T201" s="9">
        <f>(Таблица1[[#This Row],[Кредитный рейтинг]]-586)/(751-586)</f>
        <v>0.88484848484848488</v>
      </c>
      <c r="U201" s="9">
        <f>Таблица1[[#This Row],[Ежемесячный платеж]]/(Таблица1[[#This Row],[Годовой доход]]/12)</f>
        <v>0.24800183804036616</v>
      </c>
    </row>
    <row r="202" spans="1:21" x14ac:dyDescent="0.3">
      <c r="A202">
        <v>201</v>
      </c>
      <c r="B202">
        <v>0</v>
      </c>
      <c r="C202" s="9">
        <v>322872</v>
      </c>
      <c r="D202">
        <v>708</v>
      </c>
      <c r="E202" s="1">
        <v>985245</v>
      </c>
      <c r="F202">
        <v>0</v>
      </c>
      <c r="G202">
        <v>10895.17</v>
      </c>
      <c r="H202">
        <v>17.5</v>
      </c>
      <c r="I202">
        <v>7</v>
      </c>
      <c r="J202">
        <v>106894</v>
      </c>
      <c r="K202">
        <v>357698</v>
      </c>
      <c r="L202" t="s">
        <v>24</v>
      </c>
      <c r="M202" t="s">
        <v>244</v>
      </c>
      <c r="N202" t="s">
        <v>20</v>
      </c>
      <c r="O202" t="s">
        <v>21</v>
      </c>
      <c r="P202" t="s">
        <v>31</v>
      </c>
      <c r="Q202" t="s">
        <v>36</v>
      </c>
      <c r="R202" t="b">
        <f>OR(Таблица1[[#This Row],[Ежемесячный платеж]]&lt;$AC$5, Таблица1[[#This Row],[Ежемесячный платеж]]&gt;$AC$6)</f>
        <v>0</v>
      </c>
      <c r="S202" s="9">
        <f>(Таблица1[[#This Row],[Размер кредита]]-21824)/(789096-21824)</f>
        <v>0.39236150934740222</v>
      </c>
      <c r="T202" s="9">
        <f>(Таблица1[[#This Row],[Кредитный рейтинг]]-586)/(751-586)</f>
        <v>0.73939393939393938</v>
      </c>
      <c r="U202" s="9">
        <f>Таблица1[[#This Row],[Ежемесячный платеж]]/(Таблица1[[#This Row],[Годовой доход]]/12)</f>
        <v>0.13270002892681515</v>
      </c>
    </row>
    <row r="203" spans="1:21" x14ac:dyDescent="0.3">
      <c r="A203">
        <v>202</v>
      </c>
      <c r="B203">
        <v>0</v>
      </c>
      <c r="C203" s="9">
        <v>149402</v>
      </c>
      <c r="D203">
        <v>727</v>
      </c>
      <c r="E203" s="1">
        <v>841491</v>
      </c>
      <c r="F203">
        <v>0</v>
      </c>
      <c r="G203">
        <v>18723.169999999998</v>
      </c>
      <c r="H203">
        <v>8.6</v>
      </c>
      <c r="I203">
        <v>14</v>
      </c>
      <c r="J203">
        <v>163571</v>
      </c>
      <c r="K203">
        <v>539572</v>
      </c>
      <c r="L203" t="s">
        <v>63</v>
      </c>
      <c r="M203" s="2" t="s">
        <v>245</v>
      </c>
      <c r="N203" t="s">
        <v>26</v>
      </c>
      <c r="O203" t="s">
        <v>34</v>
      </c>
      <c r="P203" t="s">
        <v>22</v>
      </c>
      <c r="Q203" t="s">
        <v>23</v>
      </c>
      <c r="R203" t="b">
        <f>OR(Таблица1[[#This Row],[Ежемесячный платеж]]&lt;$AC$5, Таблица1[[#This Row],[Ежемесячный платеж]]&gt;$AC$6)</f>
        <v>0</v>
      </c>
      <c r="S203" s="9">
        <f>(Таблица1[[#This Row],[Размер кредита]]-21824)/(789096-21824)</f>
        <v>0.16627480215621057</v>
      </c>
      <c r="T203" s="9">
        <f>(Таблица1[[#This Row],[Кредитный рейтинг]]-586)/(751-586)</f>
        <v>0.8545454545454545</v>
      </c>
      <c r="U203" s="9">
        <f>Таблица1[[#This Row],[Ежемесячный платеж]]/(Таблица1[[#This Row],[Годовой доход]]/12)</f>
        <v>0.26699993226309016</v>
      </c>
    </row>
    <row r="204" spans="1:21" x14ac:dyDescent="0.3">
      <c r="A204">
        <v>203</v>
      </c>
      <c r="B204">
        <v>0</v>
      </c>
      <c r="C204" s="9">
        <v>150458</v>
      </c>
      <c r="D204">
        <v>737</v>
      </c>
      <c r="E204" s="1">
        <v>1330513</v>
      </c>
      <c r="F204">
        <v>0</v>
      </c>
      <c r="G204">
        <v>4446.1899999999996</v>
      </c>
      <c r="H204">
        <v>13.9</v>
      </c>
      <c r="I204">
        <v>13</v>
      </c>
      <c r="J204">
        <v>129827</v>
      </c>
      <c r="K204">
        <v>316492</v>
      </c>
      <c r="L204" t="s">
        <v>32</v>
      </c>
      <c r="M204" t="s">
        <v>246</v>
      </c>
      <c r="N204" t="s">
        <v>26</v>
      </c>
      <c r="O204" t="s">
        <v>21</v>
      </c>
      <c r="P204" t="s">
        <v>22</v>
      </c>
      <c r="Q204" t="s">
        <v>23</v>
      </c>
      <c r="R204" t="b">
        <f>OR(Таблица1[[#This Row],[Ежемесячный платеж]]&lt;$AC$5, Таблица1[[#This Row],[Ежемесячный платеж]]&gt;$AC$6)</f>
        <v>0</v>
      </c>
      <c r="S204" s="9">
        <f>(Таблица1[[#This Row],[Размер кредита]]-21824)/(789096-21824)</f>
        <v>0.16765110677830025</v>
      </c>
      <c r="T204" s="9">
        <f>(Таблица1[[#This Row],[Кредитный рейтинг]]-586)/(751-586)</f>
        <v>0.91515151515151516</v>
      </c>
      <c r="U204" s="9">
        <f>Таблица1[[#This Row],[Ежемесячный платеж]]/(Таблица1[[#This Row],[Годовой доход]]/12)</f>
        <v>4.0100532651691487E-2</v>
      </c>
    </row>
    <row r="205" spans="1:21" x14ac:dyDescent="0.3">
      <c r="A205">
        <v>204</v>
      </c>
      <c r="B205">
        <v>0</v>
      </c>
      <c r="C205" s="9">
        <v>268268</v>
      </c>
      <c r="D205">
        <f>$Y$13</f>
        <v>723</v>
      </c>
      <c r="E205">
        <f>$AB$13</f>
        <v>1168044</v>
      </c>
      <c r="F205">
        <v>0</v>
      </c>
      <c r="G205">
        <v>6896.62</v>
      </c>
      <c r="H205">
        <v>16</v>
      </c>
      <c r="I205">
        <v>10</v>
      </c>
      <c r="J205">
        <v>207860</v>
      </c>
      <c r="K205">
        <v>429044</v>
      </c>
      <c r="L205" t="s">
        <v>32</v>
      </c>
      <c r="M205" t="s">
        <v>247</v>
      </c>
      <c r="N205" t="s">
        <v>26</v>
      </c>
      <c r="O205" t="s">
        <v>34</v>
      </c>
      <c r="P205" t="s">
        <v>22</v>
      </c>
      <c r="Q205" t="s">
        <v>23</v>
      </c>
      <c r="R205" t="b">
        <f>OR(Таблица1[[#This Row],[Ежемесячный платеж]]&lt;$AC$5, Таблица1[[#This Row],[Ежемесячный платеж]]&gt;$AC$6)</f>
        <v>0</v>
      </c>
      <c r="S205" s="9">
        <f>(Таблица1[[#This Row],[Размер кредита]]-21824)/(789096-21824)</f>
        <v>0.32119509118018119</v>
      </c>
      <c r="T205" s="9">
        <f>(Таблица1[[#This Row],[Кредитный рейтинг]]-586)/(751-586)</f>
        <v>0.83030303030303032</v>
      </c>
      <c r="U205" s="9">
        <f>Таблица1[[#This Row],[Ежемесячный платеж]]/(Таблица1[[#This Row],[Годовой доход]]/12)</f>
        <v>7.0853015811048206E-2</v>
      </c>
    </row>
    <row r="206" spans="1:21" x14ac:dyDescent="0.3">
      <c r="A206">
        <v>205</v>
      </c>
      <c r="B206">
        <v>0</v>
      </c>
      <c r="C206" s="9">
        <v>341352</v>
      </c>
      <c r="D206">
        <v>712</v>
      </c>
      <c r="E206" s="1">
        <v>751108</v>
      </c>
      <c r="F206">
        <v>0</v>
      </c>
      <c r="G206">
        <v>10327.83</v>
      </c>
      <c r="H206">
        <v>13.3</v>
      </c>
      <c r="I206">
        <v>11</v>
      </c>
      <c r="J206">
        <v>81377</v>
      </c>
      <c r="K206">
        <v>110858</v>
      </c>
      <c r="L206" t="s">
        <v>37</v>
      </c>
      <c r="M206" t="s">
        <v>248</v>
      </c>
      <c r="N206" t="s">
        <v>26</v>
      </c>
      <c r="O206" t="s">
        <v>21</v>
      </c>
      <c r="P206" t="s">
        <v>31</v>
      </c>
      <c r="Q206" t="s">
        <v>23</v>
      </c>
      <c r="R206" t="b">
        <f>OR(Таблица1[[#This Row],[Ежемесячный платеж]]&lt;$AC$5, Таблица1[[#This Row],[Ежемесячный платеж]]&gt;$AC$6)</f>
        <v>0</v>
      </c>
      <c r="S206" s="9">
        <f>(Таблица1[[#This Row],[Размер кредита]]-21824)/(789096-21824)</f>
        <v>0.41644684023397177</v>
      </c>
      <c r="T206" s="9">
        <f>(Таблица1[[#This Row],[Кредитный рейтинг]]-586)/(751-586)</f>
        <v>0.76363636363636367</v>
      </c>
      <c r="U206" s="9">
        <f>Таблица1[[#This Row],[Ежемесячный платеж]]/(Таблица1[[#This Row],[Годовой доход]]/12)</f>
        <v>0.16500151775776586</v>
      </c>
    </row>
    <row r="207" spans="1:21" x14ac:dyDescent="0.3">
      <c r="A207">
        <v>206</v>
      </c>
      <c r="B207">
        <v>0</v>
      </c>
      <c r="C207" s="9">
        <v>432256</v>
      </c>
      <c r="D207">
        <v>737</v>
      </c>
      <c r="E207" s="1">
        <v>2053216</v>
      </c>
      <c r="F207">
        <v>0</v>
      </c>
      <c r="G207">
        <v>16305.8</v>
      </c>
      <c r="H207">
        <v>17.399999999999999</v>
      </c>
      <c r="I207">
        <v>11</v>
      </c>
      <c r="J207">
        <v>316331</v>
      </c>
      <c r="K207">
        <v>638088</v>
      </c>
      <c r="L207" t="s">
        <v>24</v>
      </c>
      <c r="M207" t="s">
        <v>249</v>
      </c>
      <c r="N207" t="s">
        <v>26</v>
      </c>
      <c r="O207" t="s">
        <v>21</v>
      </c>
      <c r="P207" t="s">
        <v>22</v>
      </c>
      <c r="Q207" t="s">
        <v>36</v>
      </c>
      <c r="R207" t="b">
        <f>OR(Таблица1[[#This Row],[Ежемесячный платеж]]&lt;$AC$5, Таблица1[[#This Row],[Ежемесячный платеж]]&gt;$AC$6)</f>
        <v>0</v>
      </c>
      <c r="S207" s="9">
        <f>(Таблица1[[#This Row],[Размер кредита]]-21824)/(789096-21824)</f>
        <v>0.53492372978552583</v>
      </c>
      <c r="T207" s="9">
        <f>(Таблица1[[#This Row],[Кредитный рейтинг]]-586)/(751-586)</f>
        <v>0.91515151515151516</v>
      </c>
      <c r="U207" s="9">
        <f>Таблица1[[#This Row],[Ежемесячный платеж]]/(Таблица1[[#This Row],[Годовой доход]]/12)</f>
        <v>9.5299082025466386E-2</v>
      </c>
    </row>
    <row r="208" spans="1:21" x14ac:dyDescent="0.3">
      <c r="A208">
        <v>207</v>
      </c>
      <c r="B208">
        <v>1</v>
      </c>
      <c r="C208" s="9">
        <v>301114</v>
      </c>
      <c r="D208">
        <v>645</v>
      </c>
      <c r="E208" s="1">
        <v>825246</v>
      </c>
      <c r="F208">
        <v>0</v>
      </c>
      <c r="G208">
        <v>5948.71</v>
      </c>
      <c r="H208">
        <v>9</v>
      </c>
      <c r="I208">
        <v>10</v>
      </c>
      <c r="J208">
        <v>59888</v>
      </c>
      <c r="K208">
        <v>372746</v>
      </c>
      <c r="L208" t="s">
        <v>37</v>
      </c>
      <c r="M208" t="s">
        <v>250</v>
      </c>
      <c r="N208" t="s">
        <v>26</v>
      </c>
      <c r="O208" t="s">
        <v>34</v>
      </c>
      <c r="P208" t="s">
        <v>31</v>
      </c>
      <c r="Q208" t="s">
        <v>23</v>
      </c>
      <c r="R208" t="b">
        <f>OR(Таблица1[[#This Row],[Ежемесячный платеж]]&lt;$AC$5, Таблица1[[#This Row],[Ежемесячный платеж]]&gt;$AC$6)</f>
        <v>0</v>
      </c>
      <c r="S208" s="9">
        <f>(Таблица1[[#This Row],[Размер кредита]]-21824)/(789096-21824)</f>
        <v>0.36400389952976259</v>
      </c>
      <c r="T208" s="9">
        <f>(Таблица1[[#This Row],[Кредитный рейтинг]]-586)/(751-586)</f>
        <v>0.3575757575757576</v>
      </c>
      <c r="U208" s="9">
        <f>Таблица1[[#This Row],[Ежемесячный платеж]]/(Таблица1[[#This Row],[Годовой доход]]/12)</f>
        <v>8.650089791407653E-2</v>
      </c>
    </row>
    <row r="209" spans="1:21" x14ac:dyDescent="0.3">
      <c r="A209">
        <v>208</v>
      </c>
      <c r="B209">
        <v>0</v>
      </c>
      <c r="C209" s="9">
        <v>79398</v>
      </c>
      <c r="D209">
        <v>718</v>
      </c>
      <c r="E209" s="1">
        <v>761824</v>
      </c>
      <c r="F209">
        <v>0</v>
      </c>
      <c r="G209">
        <v>13459.03</v>
      </c>
      <c r="H209">
        <v>15.5</v>
      </c>
      <c r="I209">
        <v>13</v>
      </c>
      <c r="J209">
        <v>159315</v>
      </c>
      <c r="K209">
        <v>317526</v>
      </c>
      <c r="L209" t="s">
        <v>41</v>
      </c>
      <c r="M209" t="s">
        <v>251</v>
      </c>
      <c r="N209" t="s">
        <v>26</v>
      </c>
      <c r="O209" t="s">
        <v>34</v>
      </c>
      <c r="P209" t="s">
        <v>22</v>
      </c>
      <c r="Q209" t="s">
        <v>23</v>
      </c>
      <c r="R209" t="b">
        <f>OR(Таблица1[[#This Row],[Ежемесячный платеж]]&lt;$AC$5, Таблица1[[#This Row],[Ежемесячный платеж]]&gt;$AC$6)</f>
        <v>0</v>
      </c>
      <c r="S209" s="9">
        <f>(Таблица1[[#This Row],[Размер кредита]]-21824)/(789096-21824)</f>
        <v>7.5037274916848265E-2</v>
      </c>
      <c r="T209" s="9">
        <f>(Таблица1[[#This Row],[Кредитный рейтинг]]-586)/(751-586)</f>
        <v>0.8</v>
      </c>
      <c r="U209" s="9">
        <f>Таблица1[[#This Row],[Ежемесячный платеж]]/(Таблица1[[#This Row],[Годовой доход]]/12)</f>
        <v>0.21200219473264167</v>
      </c>
    </row>
    <row r="210" spans="1:21" x14ac:dyDescent="0.3">
      <c r="A210">
        <v>209</v>
      </c>
      <c r="B210">
        <v>0</v>
      </c>
      <c r="C210" s="9">
        <v>171842</v>
      </c>
      <c r="D210">
        <v>724</v>
      </c>
      <c r="E210" s="1">
        <v>612199</v>
      </c>
      <c r="F210">
        <v>0</v>
      </c>
      <c r="G210">
        <v>6734.17</v>
      </c>
      <c r="H210">
        <v>11.8</v>
      </c>
      <c r="I210">
        <v>12</v>
      </c>
      <c r="J210">
        <v>330714</v>
      </c>
      <c r="K210">
        <v>558228</v>
      </c>
      <c r="L210" t="s">
        <v>41</v>
      </c>
      <c r="M210" t="s">
        <v>252</v>
      </c>
      <c r="N210" t="s">
        <v>26</v>
      </c>
      <c r="O210" t="s">
        <v>34</v>
      </c>
      <c r="P210" t="s">
        <v>22</v>
      </c>
      <c r="Q210" t="s">
        <v>23</v>
      </c>
      <c r="R210" t="b">
        <f>OR(Таблица1[[#This Row],[Ежемесячный платеж]]&lt;$AC$5, Таблица1[[#This Row],[Ежемесячный платеж]]&gt;$AC$6)</f>
        <v>0</v>
      </c>
      <c r="S210" s="9">
        <f>(Таблица1[[#This Row],[Размер кредита]]-21824)/(789096-21824)</f>
        <v>0.19552127537561648</v>
      </c>
      <c r="T210" s="9">
        <f>(Таблица1[[#This Row],[Кредитный рейтинг]]-586)/(751-586)</f>
        <v>0.83636363636363631</v>
      </c>
      <c r="U210" s="9">
        <f>Таблица1[[#This Row],[Ежемесячный платеж]]/(Таблица1[[#This Row],[Годовой доход]]/12)</f>
        <v>0.13199962757208031</v>
      </c>
    </row>
    <row r="211" spans="1:21" x14ac:dyDescent="0.3">
      <c r="A211">
        <v>210</v>
      </c>
      <c r="B211">
        <v>0</v>
      </c>
      <c r="C211" s="9">
        <v>329120</v>
      </c>
      <c r="D211">
        <v>715</v>
      </c>
      <c r="E211" s="1">
        <v>1515896</v>
      </c>
      <c r="F211">
        <v>0</v>
      </c>
      <c r="G211">
        <v>21601.48</v>
      </c>
      <c r="H211">
        <v>13</v>
      </c>
      <c r="I211">
        <v>19</v>
      </c>
      <c r="J211">
        <v>332576</v>
      </c>
      <c r="K211">
        <v>683980</v>
      </c>
      <c r="L211" t="s">
        <v>32</v>
      </c>
      <c r="M211" t="s">
        <v>253</v>
      </c>
      <c r="N211" t="s">
        <v>26</v>
      </c>
      <c r="O211" t="s">
        <v>21</v>
      </c>
      <c r="P211" t="s">
        <v>31</v>
      </c>
      <c r="Q211" t="s">
        <v>23</v>
      </c>
      <c r="R211" t="b">
        <f>OR(Таблица1[[#This Row],[Ежемесячный платеж]]&lt;$AC$5, Таблица1[[#This Row],[Ежемесячный платеж]]&gt;$AC$6)</f>
        <v>0</v>
      </c>
      <c r="S211" s="9">
        <f>(Таблица1[[#This Row],[Размер кредита]]-21824)/(789096-21824)</f>
        <v>0.40050464502809957</v>
      </c>
      <c r="T211" s="9">
        <f>(Таблица1[[#This Row],[Кредитный рейтинг]]-586)/(751-586)</f>
        <v>0.78181818181818186</v>
      </c>
      <c r="U211" s="9">
        <f>Таблица1[[#This Row],[Ежемесячный платеж]]/(Таблица1[[#This Row],[Годовой доход]]/12)</f>
        <v>0.17099969918780708</v>
      </c>
    </row>
    <row r="212" spans="1:21" x14ac:dyDescent="0.3">
      <c r="A212">
        <v>211</v>
      </c>
      <c r="B212">
        <v>0</v>
      </c>
      <c r="C212" s="9">
        <v>486288</v>
      </c>
      <c r="D212">
        <v>707</v>
      </c>
      <c r="E212" s="1">
        <v>1654577</v>
      </c>
      <c r="F212">
        <v>14</v>
      </c>
      <c r="G212">
        <v>22612.47</v>
      </c>
      <c r="H212">
        <v>14.9</v>
      </c>
      <c r="I212">
        <v>18</v>
      </c>
      <c r="J212">
        <v>407835</v>
      </c>
      <c r="K212">
        <v>821282</v>
      </c>
      <c r="L212" t="s">
        <v>29</v>
      </c>
      <c r="M212" t="s">
        <v>254</v>
      </c>
      <c r="N212" t="s">
        <v>26</v>
      </c>
      <c r="O212" t="s">
        <v>21</v>
      </c>
      <c r="P212" t="s">
        <v>31</v>
      </c>
      <c r="Q212" t="s">
        <v>23</v>
      </c>
      <c r="R212" t="b">
        <f>OR(Таблица1[[#This Row],[Ежемесячный платеж]]&lt;$AC$5, Таблица1[[#This Row],[Ежемесячный платеж]]&gt;$AC$6)</f>
        <v>0</v>
      </c>
      <c r="S212" s="9">
        <f>(Таблица1[[#This Row],[Размер кредита]]-21824)/(789096-21824)</f>
        <v>0.6053446496157816</v>
      </c>
      <c r="T212" s="9">
        <f>(Таблица1[[#This Row],[Кредитный рейтинг]]-586)/(751-586)</f>
        <v>0.73333333333333328</v>
      </c>
      <c r="U212" s="9">
        <f>Таблица1[[#This Row],[Ежемесячный платеж]]/(Таблица1[[#This Row],[Годовой доход]]/12)</f>
        <v>0.16399940286852774</v>
      </c>
    </row>
    <row r="213" spans="1:21" x14ac:dyDescent="0.3">
      <c r="A213">
        <v>212</v>
      </c>
      <c r="B213">
        <v>1</v>
      </c>
      <c r="C213" s="9">
        <v>104368</v>
      </c>
      <c r="D213">
        <v>691</v>
      </c>
      <c r="E213" s="1">
        <v>853974</v>
      </c>
      <c r="F213">
        <v>32</v>
      </c>
      <c r="G213">
        <v>22559.08</v>
      </c>
      <c r="H213">
        <v>20</v>
      </c>
      <c r="I213">
        <v>10</v>
      </c>
      <c r="J213">
        <v>116223</v>
      </c>
      <c r="K213">
        <v>195580</v>
      </c>
      <c r="L213" t="s">
        <v>63</v>
      </c>
      <c r="M213" t="s">
        <v>255</v>
      </c>
      <c r="N213" t="s">
        <v>26</v>
      </c>
      <c r="O213" t="s">
        <v>34</v>
      </c>
      <c r="P213" t="s">
        <v>22</v>
      </c>
      <c r="Q213" t="s">
        <v>23</v>
      </c>
      <c r="R213" t="b">
        <f>OR(Таблица1[[#This Row],[Ежемесячный платеж]]&lt;$AC$5, Таблица1[[#This Row],[Ежемесячный платеж]]&gt;$AC$6)</f>
        <v>0</v>
      </c>
      <c r="S213" s="9">
        <f>(Таблица1[[#This Row],[Размер кредита]]-21824)/(789096-21824)</f>
        <v>0.10758114462667737</v>
      </c>
      <c r="T213" s="9">
        <f>(Таблица1[[#This Row],[Кредитный рейтинг]]-586)/(751-586)</f>
        <v>0.63636363636363635</v>
      </c>
      <c r="U213" s="9">
        <f>Таблица1[[#This Row],[Ежемесячный платеж]]/(Таблица1[[#This Row],[Годовой доход]]/12)</f>
        <v>0.31699906554532109</v>
      </c>
    </row>
    <row r="214" spans="1:21" x14ac:dyDescent="0.3">
      <c r="A214">
        <v>213</v>
      </c>
      <c r="B214">
        <v>0</v>
      </c>
      <c r="C214" s="9">
        <v>205854</v>
      </c>
      <c r="D214">
        <v>717</v>
      </c>
      <c r="E214" s="1">
        <v>1898860</v>
      </c>
      <c r="F214">
        <v>15</v>
      </c>
      <c r="G214">
        <v>31647.73</v>
      </c>
      <c r="H214">
        <v>22.3</v>
      </c>
      <c r="I214">
        <v>6</v>
      </c>
      <c r="J214">
        <v>195738</v>
      </c>
      <c r="K214">
        <v>251284</v>
      </c>
      <c r="L214" t="s">
        <v>24</v>
      </c>
      <c r="M214" t="s">
        <v>256</v>
      </c>
      <c r="N214" t="s">
        <v>26</v>
      </c>
      <c r="O214" t="s">
        <v>21</v>
      </c>
      <c r="P214" t="s">
        <v>22</v>
      </c>
      <c r="Q214" t="s">
        <v>23</v>
      </c>
      <c r="R214" t="b">
        <f>OR(Таблица1[[#This Row],[Ежемесячный платеж]]&lt;$AC$5, Таблица1[[#This Row],[Ежемесячный платеж]]&gt;$AC$6)</f>
        <v>0</v>
      </c>
      <c r="S214" s="9">
        <f>(Таблица1[[#This Row],[Размер кредита]]-21824)/(789096-21824)</f>
        <v>0.23984975341208853</v>
      </c>
      <c r="T214" s="9">
        <f>(Таблица1[[#This Row],[Кредитный рейтинг]]-586)/(751-586)</f>
        <v>0.79393939393939394</v>
      </c>
      <c r="U214" s="9">
        <f>Таблица1[[#This Row],[Ежемесячный платеж]]/(Таблица1[[#This Row],[Годовой доход]]/12)</f>
        <v>0.20000040024014407</v>
      </c>
    </row>
    <row r="215" spans="1:21" x14ac:dyDescent="0.3">
      <c r="A215">
        <v>214</v>
      </c>
      <c r="B215">
        <v>0</v>
      </c>
      <c r="C215" s="9">
        <v>96690</v>
      </c>
      <c r="D215">
        <v>673</v>
      </c>
      <c r="E215" s="1">
        <v>280136</v>
      </c>
      <c r="F215">
        <v>51</v>
      </c>
      <c r="G215">
        <v>4598.76</v>
      </c>
      <c r="H215">
        <v>17.8</v>
      </c>
      <c r="I215">
        <v>4</v>
      </c>
      <c r="J215">
        <v>179037</v>
      </c>
      <c r="K215">
        <v>329582</v>
      </c>
      <c r="L215" t="s">
        <v>24</v>
      </c>
      <c r="M215" t="s">
        <v>257</v>
      </c>
      <c r="N215" t="s">
        <v>26</v>
      </c>
      <c r="O215" t="s">
        <v>21</v>
      </c>
      <c r="P215" t="s">
        <v>22</v>
      </c>
      <c r="Q215" t="s">
        <v>36</v>
      </c>
      <c r="R215" t="b">
        <f>OR(Таблица1[[#This Row],[Ежемесячный платеж]]&lt;$AC$5, Таблица1[[#This Row],[Ежемесячный платеж]]&gt;$AC$6)</f>
        <v>0</v>
      </c>
      <c r="S215" s="9">
        <f>(Таблица1[[#This Row],[Размер кредита]]-21824)/(789096-21824)</f>
        <v>9.7574263103566927E-2</v>
      </c>
      <c r="T215" s="9">
        <f>(Таблица1[[#This Row],[Кредитный рейтинг]]-586)/(751-586)</f>
        <v>0.52727272727272723</v>
      </c>
      <c r="U215" s="9">
        <f>Таблица1[[#This Row],[Ежемесячный платеж]]/(Таблица1[[#This Row],[Годовой доход]]/12)</f>
        <v>0.19699403147042865</v>
      </c>
    </row>
    <row r="216" spans="1:21" x14ac:dyDescent="0.3">
      <c r="A216">
        <v>215</v>
      </c>
      <c r="B216">
        <v>0</v>
      </c>
      <c r="C216" s="9">
        <v>111408</v>
      </c>
      <c r="D216">
        <v>733</v>
      </c>
      <c r="E216" s="1">
        <v>1154592</v>
      </c>
      <c r="F216">
        <v>47</v>
      </c>
      <c r="G216">
        <v>18762.12</v>
      </c>
      <c r="H216">
        <v>20.399999999999999</v>
      </c>
      <c r="I216">
        <v>9</v>
      </c>
      <c r="J216">
        <v>283936</v>
      </c>
      <c r="K216">
        <v>465674</v>
      </c>
      <c r="L216" t="s">
        <v>24</v>
      </c>
      <c r="M216" t="s">
        <v>258</v>
      </c>
      <c r="N216" t="s">
        <v>26</v>
      </c>
      <c r="O216" t="s">
        <v>34</v>
      </c>
      <c r="P216" t="s">
        <v>22</v>
      </c>
      <c r="Q216" t="s">
        <v>23</v>
      </c>
      <c r="R216" t="b">
        <f>OR(Таблица1[[#This Row],[Ежемесячный платеж]]&lt;$AC$5, Таблица1[[#This Row],[Ежемесячный платеж]]&gt;$AC$6)</f>
        <v>0</v>
      </c>
      <c r="S216" s="9">
        <f>(Таблица1[[#This Row],[Размер кредита]]-21824)/(789096-21824)</f>
        <v>0.11675650877394196</v>
      </c>
      <c r="T216" s="9">
        <f>(Таблица1[[#This Row],[Кредитный рейтинг]]-586)/(751-586)</f>
        <v>0.89090909090909087</v>
      </c>
      <c r="U216" s="9">
        <f>Таблица1[[#This Row],[Ежемесячный платеж]]/(Таблица1[[#This Row],[Годовой доход]]/12)</f>
        <v>0.19499999999999998</v>
      </c>
    </row>
    <row r="217" spans="1:21" x14ac:dyDescent="0.3">
      <c r="A217">
        <v>216</v>
      </c>
      <c r="B217">
        <v>0</v>
      </c>
      <c r="C217" s="9">
        <v>284152</v>
      </c>
      <c r="D217">
        <v>700</v>
      </c>
      <c r="E217" s="1">
        <v>1054519</v>
      </c>
      <c r="F217">
        <v>36</v>
      </c>
      <c r="G217">
        <v>15202.66</v>
      </c>
      <c r="H217">
        <v>14</v>
      </c>
      <c r="I217">
        <v>12</v>
      </c>
      <c r="J217">
        <v>182780</v>
      </c>
      <c r="K217">
        <v>366146</v>
      </c>
      <c r="L217" t="s">
        <v>24</v>
      </c>
      <c r="M217" t="s">
        <v>259</v>
      </c>
      <c r="N217" t="s">
        <v>26</v>
      </c>
      <c r="O217" t="s">
        <v>21</v>
      </c>
      <c r="P217" t="s">
        <v>22</v>
      </c>
      <c r="Q217" t="s">
        <v>23</v>
      </c>
      <c r="R217" t="b">
        <f>OR(Таблица1[[#This Row],[Ежемесячный платеж]]&lt;$AC$5, Таблица1[[#This Row],[Ежемесячный платеж]]&gt;$AC$6)</f>
        <v>0</v>
      </c>
      <c r="S217" s="9">
        <f>(Таблица1[[#This Row],[Размер кредита]]-21824)/(789096-21824)</f>
        <v>0.34189700653744698</v>
      </c>
      <c r="T217" s="9">
        <f>(Таблица1[[#This Row],[Кредитный рейтинг]]-586)/(751-586)</f>
        <v>0.69090909090909092</v>
      </c>
      <c r="U217" s="9">
        <f>Таблица1[[#This Row],[Ежемесячный платеж]]/(Таблица1[[#This Row],[Годовой доход]]/12)</f>
        <v>0.17300012612385363</v>
      </c>
    </row>
    <row r="218" spans="1:21" x14ac:dyDescent="0.3">
      <c r="A218">
        <v>217</v>
      </c>
      <c r="B218">
        <v>1</v>
      </c>
      <c r="C218" s="9">
        <v>269170</v>
      </c>
      <c r="D218">
        <v>714</v>
      </c>
      <c r="E218" s="1">
        <v>1259206</v>
      </c>
      <c r="F218">
        <v>0</v>
      </c>
      <c r="G218">
        <v>15110.51</v>
      </c>
      <c r="H218">
        <v>10.199999999999999</v>
      </c>
      <c r="I218">
        <v>9</v>
      </c>
      <c r="J218">
        <v>392730</v>
      </c>
      <c r="K218">
        <v>639584</v>
      </c>
      <c r="L218" t="s">
        <v>24</v>
      </c>
      <c r="M218" t="s">
        <v>260</v>
      </c>
      <c r="N218" t="s">
        <v>26</v>
      </c>
      <c r="O218" t="s">
        <v>21</v>
      </c>
      <c r="P218" t="s">
        <v>22</v>
      </c>
      <c r="Q218" t="s">
        <v>36</v>
      </c>
      <c r="R218" t="b">
        <f>OR(Таблица1[[#This Row],[Ежемесячный платеж]]&lt;$AC$5, Таблица1[[#This Row],[Ежемесячный платеж]]&gt;$AC$6)</f>
        <v>0</v>
      </c>
      <c r="S218" s="9">
        <f>(Таблица1[[#This Row],[Размер кредита]]-21824)/(789096-21824)</f>
        <v>0.3223706847115495</v>
      </c>
      <c r="T218" s="9">
        <f>(Таблица1[[#This Row],[Кредитный рейтинг]]-586)/(751-586)</f>
        <v>0.77575757575757576</v>
      </c>
      <c r="U218" s="9">
        <f>Таблица1[[#This Row],[Ежемесячный платеж]]/(Таблица1[[#This Row],[Годовой доход]]/12)</f>
        <v>0.14400036213296316</v>
      </c>
    </row>
    <row r="219" spans="1:21" x14ac:dyDescent="0.3">
      <c r="A219">
        <v>218</v>
      </c>
      <c r="B219">
        <v>0</v>
      </c>
      <c r="C219" s="9">
        <v>149116</v>
      </c>
      <c r="D219">
        <v>700</v>
      </c>
      <c r="E219" s="1">
        <v>1380160</v>
      </c>
      <c r="F219">
        <v>0</v>
      </c>
      <c r="G219">
        <v>18171.98</v>
      </c>
      <c r="H219">
        <v>10.8</v>
      </c>
      <c r="I219">
        <v>5</v>
      </c>
      <c r="J219">
        <v>95171</v>
      </c>
      <c r="K219">
        <v>112574</v>
      </c>
      <c r="L219" t="s">
        <v>52</v>
      </c>
      <c r="M219" t="s">
        <v>261</v>
      </c>
      <c r="N219" t="s">
        <v>20</v>
      </c>
      <c r="O219" t="s">
        <v>21</v>
      </c>
      <c r="P219" t="s">
        <v>22</v>
      </c>
      <c r="Q219" t="s">
        <v>23</v>
      </c>
      <c r="R219" t="b">
        <f>OR(Таблица1[[#This Row],[Ежемесячный платеж]]&lt;$AC$5, Таблица1[[#This Row],[Ежемесячный платеж]]&gt;$AC$6)</f>
        <v>0</v>
      </c>
      <c r="S219" s="9">
        <f>(Таблица1[[#This Row],[Размер кредита]]-21824)/(789096-21824)</f>
        <v>0.16590205298772795</v>
      </c>
      <c r="T219" s="9">
        <f>(Таблица1[[#This Row],[Кредитный рейтинг]]-586)/(751-586)</f>
        <v>0.69090909090909092</v>
      </c>
      <c r="U219" s="9">
        <f>Таблица1[[#This Row],[Ежемесячный платеж]]/(Таблица1[[#This Row],[Годовой доход]]/12)</f>
        <v>0.1579988986784141</v>
      </c>
    </row>
    <row r="220" spans="1:21" x14ac:dyDescent="0.3">
      <c r="A220">
        <v>219</v>
      </c>
      <c r="B220">
        <v>0</v>
      </c>
      <c r="C220" s="9">
        <v>396792</v>
      </c>
      <c r="D220">
        <v>731</v>
      </c>
      <c r="E220" s="1">
        <v>745997</v>
      </c>
      <c r="F220">
        <v>0</v>
      </c>
      <c r="G220">
        <v>7522.29</v>
      </c>
      <c r="H220">
        <v>18.7</v>
      </c>
      <c r="I220">
        <v>11</v>
      </c>
      <c r="J220">
        <v>295944</v>
      </c>
      <c r="K220">
        <v>835802</v>
      </c>
      <c r="L220" t="s">
        <v>24</v>
      </c>
      <c r="M220" t="s">
        <v>262</v>
      </c>
      <c r="N220" t="s">
        <v>26</v>
      </c>
      <c r="O220" t="s">
        <v>28</v>
      </c>
      <c r="P220" t="s">
        <v>31</v>
      </c>
      <c r="Q220" t="s">
        <v>23</v>
      </c>
      <c r="R220" t="b">
        <f>OR(Таблица1[[#This Row],[Ежемесячный платеж]]&lt;$AC$5, Таблица1[[#This Row],[Ежемесячный платеж]]&gt;$AC$6)</f>
        <v>0</v>
      </c>
      <c r="S220" s="9">
        <f>(Таблица1[[#This Row],[Размер кредита]]-21824)/(789096-21824)</f>
        <v>0.48870283289368049</v>
      </c>
      <c r="T220" s="9">
        <f>(Таблица1[[#This Row],[Кредитный рейтинг]]-586)/(751-586)</f>
        <v>0.87878787878787878</v>
      </c>
      <c r="U220" s="9">
        <f>Таблица1[[#This Row],[Ежемесячный платеж]]/(Таблица1[[#This Row],[Годовой доход]]/12)</f>
        <v>0.12100247051931845</v>
      </c>
    </row>
    <row r="221" spans="1:21" x14ac:dyDescent="0.3">
      <c r="A221">
        <v>220</v>
      </c>
      <c r="B221">
        <v>0</v>
      </c>
      <c r="C221" s="9">
        <v>128832</v>
      </c>
      <c r="D221">
        <v>719</v>
      </c>
      <c r="E221" s="1">
        <v>1483520</v>
      </c>
      <c r="F221">
        <v>38</v>
      </c>
      <c r="G221">
        <v>8381.85</v>
      </c>
      <c r="H221">
        <v>30.9</v>
      </c>
      <c r="I221">
        <v>4</v>
      </c>
      <c r="J221">
        <v>36708</v>
      </c>
      <c r="K221">
        <v>64372</v>
      </c>
      <c r="L221" t="s">
        <v>24</v>
      </c>
      <c r="M221" t="s">
        <v>263</v>
      </c>
      <c r="N221" t="s">
        <v>26</v>
      </c>
      <c r="O221" t="s">
        <v>34</v>
      </c>
      <c r="P221" t="s">
        <v>22</v>
      </c>
      <c r="Q221" t="s">
        <v>23</v>
      </c>
      <c r="R221" t="b">
        <f>OR(Таблица1[[#This Row],[Ежемесячный платеж]]&lt;$AC$5, Таблица1[[#This Row],[Ежемесячный платеж]]&gt;$AC$6)</f>
        <v>0</v>
      </c>
      <c r="S221" s="9">
        <f>(Таблица1[[#This Row],[Размер кредита]]-21824)/(789096-21824)</f>
        <v>0.13946553503842185</v>
      </c>
      <c r="T221" s="9">
        <f>(Таблица1[[#This Row],[Кредитный рейтинг]]-586)/(751-586)</f>
        <v>0.80606060606060603</v>
      </c>
      <c r="U221" s="9">
        <f>Таблица1[[#This Row],[Ежемесячный платеж]]/(Таблица1[[#This Row],[Годовой доход]]/12)</f>
        <v>6.7799692622950825E-2</v>
      </c>
    </row>
    <row r="222" spans="1:21" x14ac:dyDescent="0.3">
      <c r="A222">
        <v>221</v>
      </c>
      <c r="B222">
        <v>1</v>
      </c>
      <c r="C222" s="9">
        <v>152790</v>
      </c>
      <c r="D222">
        <v>743</v>
      </c>
      <c r="E222" s="1">
        <v>678661</v>
      </c>
      <c r="F222">
        <v>8</v>
      </c>
      <c r="G222">
        <v>4450.9399999999996</v>
      </c>
      <c r="H222">
        <v>14</v>
      </c>
      <c r="I222">
        <v>5</v>
      </c>
      <c r="J222">
        <v>119510</v>
      </c>
      <c r="K222">
        <v>229086</v>
      </c>
      <c r="L222" t="s">
        <v>24</v>
      </c>
      <c r="M222" t="s">
        <v>264</v>
      </c>
      <c r="N222" t="s">
        <v>26</v>
      </c>
      <c r="O222" t="s">
        <v>34</v>
      </c>
      <c r="P222" t="s">
        <v>22</v>
      </c>
      <c r="Q222" t="s">
        <v>23</v>
      </c>
      <c r="R222" t="b">
        <f>OR(Таблица1[[#This Row],[Ежемесячный платеж]]&lt;$AC$5, Таблица1[[#This Row],[Ежемесячный платеж]]&gt;$AC$6)</f>
        <v>0</v>
      </c>
      <c r="S222" s="9">
        <f>(Таблица1[[#This Row],[Размер кредита]]-21824)/(789096-21824)</f>
        <v>0.17069044615208165</v>
      </c>
      <c r="T222" s="9">
        <f>(Таблица1[[#This Row],[Кредитный рейтинг]]-586)/(751-586)</f>
        <v>0.95151515151515154</v>
      </c>
      <c r="U222" s="9">
        <f>Таблица1[[#This Row],[Ежемесячный платеж]]/(Таблица1[[#This Row],[Годовой доход]]/12)</f>
        <v>7.8700971471765718E-2</v>
      </c>
    </row>
    <row r="223" spans="1:21" x14ac:dyDescent="0.3">
      <c r="A223">
        <v>222</v>
      </c>
      <c r="B223">
        <v>0</v>
      </c>
      <c r="C223" s="9">
        <v>152966</v>
      </c>
      <c r="D223">
        <v>708</v>
      </c>
      <c r="E223" s="1">
        <v>1334902</v>
      </c>
      <c r="F223">
        <v>41</v>
      </c>
      <c r="G223">
        <v>10845.96</v>
      </c>
      <c r="H223">
        <v>17.100000000000001</v>
      </c>
      <c r="I223">
        <v>13</v>
      </c>
      <c r="J223">
        <v>82593</v>
      </c>
      <c r="K223">
        <v>302654</v>
      </c>
      <c r="L223" t="s">
        <v>47</v>
      </c>
      <c r="M223" t="s">
        <v>265</v>
      </c>
      <c r="N223" t="s">
        <v>26</v>
      </c>
      <c r="O223" t="s">
        <v>21</v>
      </c>
      <c r="P223" t="s">
        <v>22</v>
      </c>
      <c r="Q223" t="s">
        <v>36</v>
      </c>
      <c r="R223" t="b">
        <f>OR(Таблица1[[#This Row],[Ежемесячный платеж]]&lt;$AC$5, Таблица1[[#This Row],[Ежемесячный платеж]]&gt;$AC$6)</f>
        <v>0</v>
      </c>
      <c r="S223" s="9">
        <f>(Таблица1[[#This Row],[Размер кредита]]-21824)/(789096-21824)</f>
        <v>0.17091983025576327</v>
      </c>
      <c r="T223" s="9">
        <f>(Таблица1[[#This Row],[Кредитный рейтинг]]-586)/(751-586)</f>
        <v>0.73939393939393938</v>
      </c>
      <c r="U223" s="9">
        <f>Таблица1[[#This Row],[Ежемесячный платеж]]/(Таблица1[[#This Row],[Годовой доход]]/12)</f>
        <v>9.7498932505906799E-2</v>
      </c>
    </row>
    <row r="224" spans="1:21" x14ac:dyDescent="0.3">
      <c r="A224">
        <v>223</v>
      </c>
      <c r="B224">
        <v>0</v>
      </c>
      <c r="C224" s="9">
        <v>292292</v>
      </c>
      <c r="D224">
        <v>741</v>
      </c>
      <c r="E224" s="1">
        <v>666805</v>
      </c>
      <c r="F224">
        <v>0</v>
      </c>
      <c r="G224">
        <v>6223.45</v>
      </c>
      <c r="H224">
        <v>15</v>
      </c>
      <c r="I224">
        <v>7</v>
      </c>
      <c r="J224">
        <v>81016</v>
      </c>
      <c r="K224">
        <v>198352</v>
      </c>
      <c r="L224" t="s">
        <v>41</v>
      </c>
      <c r="M224" t="s">
        <v>266</v>
      </c>
      <c r="N224" t="s">
        <v>71</v>
      </c>
      <c r="O224" t="s">
        <v>34</v>
      </c>
      <c r="P224" t="s">
        <v>22</v>
      </c>
      <c r="Q224" t="s">
        <v>36</v>
      </c>
      <c r="R224" t="b">
        <f>OR(Таблица1[[#This Row],[Ежемесячный платеж]]&lt;$AC$5, Таблица1[[#This Row],[Ежемесячный платеж]]&gt;$AC$6)</f>
        <v>0</v>
      </c>
      <c r="S224" s="9">
        <f>(Таблица1[[#This Row],[Размер кредита]]-21824)/(789096-21824)</f>
        <v>0.35250602133272163</v>
      </c>
      <c r="T224" s="9">
        <f>(Таблица1[[#This Row],[Кредитный рейтинг]]-586)/(751-586)</f>
        <v>0.93939393939393945</v>
      </c>
      <c r="U224" s="9">
        <f>Таблица1[[#This Row],[Ежемесячный платеж]]/(Таблица1[[#This Row],[Годовой доход]]/12)</f>
        <v>0.11199886023650092</v>
      </c>
    </row>
    <row r="225" spans="1:21" x14ac:dyDescent="0.3">
      <c r="A225">
        <v>224</v>
      </c>
      <c r="B225">
        <v>0</v>
      </c>
      <c r="C225" s="9">
        <v>449460</v>
      </c>
      <c r="D225">
        <v>658</v>
      </c>
      <c r="E225" s="1">
        <v>1057768</v>
      </c>
      <c r="F225">
        <v>0</v>
      </c>
      <c r="G225">
        <v>19039.71</v>
      </c>
      <c r="H225">
        <v>16.3</v>
      </c>
      <c r="I225">
        <v>8</v>
      </c>
      <c r="J225">
        <v>367992</v>
      </c>
      <c r="K225">
        <v>510290</v>
      </c>
      <c r="L225" t="s">
        <v>29</v>
      </c>
      <c r="M225" t="s">
        <v>267</v>
      </c>
      <c r="N225" t="s">
        <v>26</v>
      </c>
      <c r="O225" t="s">
        <v>34</v>
      </c>
      <c r="P225" t="s">
        <v>31</v>
      </c>
      <c r="Q225" t="s">
        <v>23</v>
      </c>
      <c r="R225" t="b">
        <f>OR(Таблица1[[#This Row],[Ежемесячный платеж]]&lt;$AC$5, Таблица1[[#This Row],[Ежемесячный платеж]]&gt;$AC$6)</f>
        <v>0</v>
      </c>
      <c r="S225" s="9">
        <f>(Таблица1[[#This Row],[Размер кредита]]-21824)/(789096-21824)</f>
        <v>0.55734602592040372</v>
      </c>
      <c r="T225" s="9">
        <f>(Таблица1[[#This Row],[Кредитный рейтинг]]-586)/(751-586)</f>
        <v>0.43636363636363634</v>
      </c>
      <c r="U225" s="9">
        <f>Таблица1[[#This Row],[Ежемесячный платеж]]/(Таблица1[[#This Row],[Годовой доход]]/12)</f>
        <v>0.21599870671073429</v>
      </c>
    </row>
    <row r="226" spans="1:21" x14ac:dyDescent="0.3">
      <c r="A226">
        <v>225</v>
      </c>
      <c r="B226">
        <v>0</v>
      </c>
      <c r="C226" s="9">
        <v>86724</v>
      </c>
      <c r="D226">
        <v>716</v>
      </c>
      <c r="E226" s="1">
        <v>580469</v>
      </c>
      <c r="F226">
        <v>0</v>
      </c>
      <c r="G226">
        <v>7352.62</v>
      </c>
      <c r="H226">
        <v>4.9000000000000004</v>
      </c>
      <c r="I226">
        <v>6</v>
      </c>
      <c r="J226">
        <v>109687</v>
      </c>
      <c r="K226">
        <v>182226</v>
      </c>
      <c r="L226" t="s">
        <v>47</v>
      </c>
      <c r="M226" t="s">
        <v>268</v>
      </c>
      <c r="N226" t="s">
        <v>26</v>
      </c>
      <c r="O226" t="s">
        <v>21</v>
      </c>
      <c r="P226" t="s">
        <v>22</v>
      </c>
      <c r="Q226" t="s">
        <v>23</v>
      </c>
      <c r="R226" t="b">
        <f>OR(Таблица1[[#This Row],[Ежемесячный платеж]]&lt;$AC$5, Таблица1[[#This Row],[Ежемесячный платеж]]&gt;$AC$6)</f>
        <v>0</v>
      </c>
      <c r="S226" s="9">
        <f>(Таблица1[[#This Row],[Размер кредита]]-21824)/(789096-21824)</f>
        <v>8.4585388232595482E-2</v>
      </c>
      <c r="T226" s="9">
        <f>(Таблица1[[#This Row],[Кредитный рейтинг]]-586)/(751-586)</f>
        <v>0.78787878787878785</v>
      </c>
      <c r="U226" s="9">
        <f>Таблица1[[#This Row],[Ежемесячный платеж]]/(Таблица1[[#This Row],[Годовой доход]]/12)</f>
        <v>0.15200026185722235</v>
      </c>
    </row>
    <row r="227" spans="1:21" x14ac:dyDescent="0.3">
      <c r="A227">
        <v>226</v>
      </c>
      <c r="B227">
        <v>0</v>
      </c>
      <c r="C227" s="9">
        <v>67166</v>
      </c>
      <c r="D227">
        <f>$Y$13</f>
        <v>723</v>
      </c>
      <c r="E227">
        <f>$AB$13</f>
        <v>1168044</v>
      </c>
      <c r="F227">
        <v>0</v>
      </c>
      <c r="G227">
        <v>42060.68</v>
      </c>
      <c r="H227">
        <v>27.4</v>
      </c>
      <c r="I227">
        <v>11</v>
      </c>
      <c r="J227">
        <v>679725</v>
      </c>
      <c r="K227">
        <v>927014</v>
      </c>
      <c r="L227" t="s">
        <v>69</v>
      </c>
      <c r="M227" t="s">
        <v>269</v>
      </c>
      <c r="N227" t="s">
        <v>26</v>
      </c>
      <c r="O227" t="s">
        <v>34</v>
      </c>
      <c r="P227" t="s">
        <v>31</v>
      </c>
      <c r="Q227" t="s">
        <v>23</v>
      </c>
      <c r="R227" t="b">
        <f>OR(Таблица1[[#This Row],[Ежемесячный платеж]]&lt;$AC$5, Таблица1[[#This Row],[Ежемесячный платеж]]&gt;$AC$6)</f>
        <v>0</v>
      </c>
      <c r="S227" s="9">
        <f>(Таблица1[[#This Row],[Размер кредита]]-21824)/(789096-21824)</f>
        <v>5.909507971097603E-2</v>
      </c>
      <c r="T227" s="9">
        <f>(Таблица1[[#This Row],[Кредитный рейтинг]]-586)/(751-586)</f>
        <v>0.83030303030303032</v>
      </c>
      <c r="U227" s="9">
        <f>Таблица1[[#This Row],[Ежемесячный платеж]]/(Таблица1[[#This Row],[Годовой доход]]/12)</f>
        <v>0.43211399570564124</v>
      </c>
    </row>
    <row r="228" spans="1:21" x14ac:dyDescent="0.3">
      <c r="A228">
        <v>227</v>
      </c>
      <c r="B228">
        <v>0</v>
      </c>
      <c r="C228" s="9">
        <v>223850</v>
      </c>
      <c r="D228">
        <f>$Y$13</f>
        <v>723</v>
      </c>
      <c r="E228">
        <f>$AB$13</f>
        <v>1168044</v>
      </c>
      <c r="F228">
        <v>0</v>
      </c>
      <c r="G228">
        <v>7684.74</v>
      </c>
      <c r="H228">
        <v>17.3</v>
      </c>
      <c r="I228">
        <v>8</v>
      </c>
      <c r="J228">
        <v>87609</v>
      </c>
      <c r="K228">
        <v>301928</v>
      </c>
      <c r="L228" t="s">
        <v>63</v>
      </c>
      <c r="M228" t="s">
        <v>270</v>
      </c>
      <c r="N228" t="s">
        <v>26</v>
      </c>
      <c r="O228" t="s">
        <v>34</v>
      </c>
      <c r="P228" t="s">
        <v>22</v>
      </c>
      <c r="Q228" t="s">
        <v>36</v>
      </c>
      <c r="R228" t="b">
        <f>OR(Таблица1[[#This Row],[Ежемесячный платеж]]&lt;$AC$5, Таблица1[[#This Row],[Ежемесячный платеж]]&gt;$AC$6)</f>
        <v>0</v>
      </c>
      <c r="S228" s="9">
        <f>(Таблица1[[#This Row],[Размер кредита]]-21824)/(789096-21824)</f>
        <v>0.26330427801353368</v>
      </c>
      <c r="T228" s="9">
        <f>(Таблица1[[#This Row],[Кредитный рейтинг]]-586)/(751-586)</f>
        <v>0.83030303030303032</v>
      </c>
      <c r="U228" s="9">
        <f>Таблица1[[#This Row],[Ежемесячный платеж]]/(Таблица1[[#This Row],[Годовой доход]]/12)</f>
        <v>7.8949834081592812E-2</v>
      </c>
    </row>
    <row r="229" spans="1:21" x14ac:dyDescent="0.3">
      <c r="A229">
        <v>228</v>
      </c>
      <c r="B229">
        <v>0</v>
      </c>
      <c r="C229" s="9">
        <v>763840</v>
      </c>
      <c r="D229">
        <v>742</v>
      </c>
      <c r="E229" s="1">
        <v>1639776</v>
      </c>
      <c r="F229">
        <v>0</v>
      </c>
      <c r="G229">
        <v>23640.18</v>
      </c>
      <c r="H229">
        <v>21.4</v>
      </c>
      <c r="I229">
        <v>9</v>
      </c>
      <c r="J229">
        <v>606461</v>
      </c>
      <c r="K229">
        <v>1141800</v>
      </c>
      <c r="L229" t="s">
        <v>24</v>
      </c>
      <c r="M229" t="s">
        <v>271</v>
      </c>
      <c r="N229" t="s">
        <v>26</v>
      </c>
      <c r="O229" t="s">
        <v>21</v>
      </c>
      <c r="P229" t="s">
        <v>22</v>
      </c>
      <c r="Q229" t="s">
        <v>23</v>
      </c>
      <c r="R229" t="b">
        <f>OR(Таблица1[[#This Row],[Ежемесячный платеж]]&lt;$AC$5, Таблица1[[#This Row],[Ежемесячный платеж]]&gt;$AC$6)</f>
        <v>0</v>
      </c>
      <c r="S229" s="9">
        <f>(Таблица1[[#This Row],[Размер кредита]]-21824)/(789096-21824)</f>
        <v>0.96708338112168823</v>
      </c>
      <c r="T229" s="9">
        <f>(Таблица1[[#This Row],[Кредитный рейтинг]]-586)/(751-586)</f>
        <v>0.94545454545454544</v>
      </c>
      <c r="U229" s="9">
        <f>Таблица1[[#This Row],[Ежемесячный платеж]]/(Таблица1[[#This Row],[Годовой доход]]/12)</f>
        <v>0.17300055617352614</v>
      </c>
    </row>
    <row r="230" spans="1:21" x14ac:dyDescent="0.3">
      <c r="A230">
        <v>229</v>
      </c>
      <c r="B230">
        <v>0</v>
      </c>
      <c r="C230" s="9">
        <v>83864</v>
      </c>
      <c r="D230">
        <v>699</v>
      </c>
      <c r="E230" s="1">
        <v>564414</v>
      </c>
      <c r="F230">
        <v>53</v>
      </c>
      <c r="G230">
        <v>11711.6</v>
      </c>
      <c r="H230">
        <v>11.9</v>
      </c>
      <c r="I230">
        <v>12</v>
      </c>
      <c r="J230">
        <v>18639</v>
      </c>
      <c r="K230">
        <v>107932</v>
      </c>
      <c r="L230" t="s">
        <v>37</v>
      </c>
      <c r="M230" t="s">
        <v>272</v>
      </c>
      <c r="N230" t="s">
        <v>26</v>
      </c>
      <c r="O230" t="s">
        <v>34</v>
      </c>
      <c r="P230" t="s">
        <v>22</v>
      </c>
      <c r="Q230" t="s">
        <v>36</v>
      </c>
      <c r="R230" t="b">
        <f>OR(Таблица1[[#This Row],[Ежемесячный платеж]]&lt;$AC$5, Таблица1[[#This Row],[Ежемесячный платеж]]&gt;$AC$6)</f>
        <v>0</v>
      </c>
      <c r="S230" s="9">
        <f>(Таблица1[[#This Row],[Размер кредита]]-21824)/(789096-21824)</f>
        <v>8.0857896547769245E-2</v>
      </c>
      <c r="T230" s="9">
        <f>(Таблица1[[#This Row],[Кредитный рейтинг]]-586)/(751-586)</f>
        <v>0.68484848484848482</v>
      </c>
      <c r="U230" s="9">
        <f>Таблица1[[#This Row],[Ежемесячный платеж]]/(Таблица1[[#This Row],[Годовой доход]]/12)</f>
        <v>0.24900020197939812</v>
      </c>
    </row>
    <row r="231" spans="1:21" x14ac:dyDescent="0.3">
      <c r="A231">
        <v>230</v>
      </c>
      <c r="B231">
        <v>0</v>
      </c>
      <c r="D231">
        <v>724</v>
      </c>
      <c r="E231" s="1">
        <v>687420</v>
      </c>
      <c r="F231">
        <v>49</v>
      </c>
      <c r="G231">
        <v>6530.49</v>
      </c>
      <c r="H231">
        <v>11.1</v>
      </c>
      <c r="I231">
        <v>4</v>
      </c>
      <c r="J231">
        <v>18715</v>
      </c>
      <c r="K231">
        <v>37620</v>
      </c>
      <c r="L231" t="s">
        <v>47</v>
      </c>
      <c r="M231" t="s">
        <v>273</v>
      </c>
      <c r="N231" t="s">
        <v>68</v>
      </c>
      <c r="O231" t="s">
        <v>34</v>
      </c>
      <c r="P231" t="s">
        <v>22</v>
      </c>
      <c r="Q231" t="s">
        <v>23</v>
      </c>
      <c r="R231" t="b">
        <f>OR(Таблица1[[#This Row],[Ежемесячный платеж]]&lt;$AC$5, Таблица1[[#This Row],[Ежемесячный платеж]]&gt;$AC$6)</f>
        <v>0</v>
      </c>
      <c r="T231" s="9">
        <f>(Таблица1[[#This Row],[Кредитный рейтинг]]-586)/(751-586)</f>
        <v>0.83636363636363631</v>
      </c>
      <c r="U231" s="9">
        <f>Таблица1[[#This Row],[Ежемесячный платеж]]/(Таблица1[[#This Row],[Годовой доход]]/12)</f>
        <v>0.11399999999999999</v>
      </c>
    </row>
    <row r="232" spans="1:21" x14ac:dyDescent="0.3">
      <c r="A232">
        <v>231</v>
      </c>
      <c r="B232">
        <v>0</v>
      </c>
      <c r="C232" s="9">
        <v>142846</v>
      </c>
      <c r="D232">
        <v>750</v>
      </c>
      <c r="E232" s="1">
        <v>654227</v>
      </c>
      <c r="F232">
        <v>16</v>
      </c>
      <c r="G232">
        <v>16246.71</v>
      </c>
      <c r="H232">
        <v>17.2</v>
      </c>
      <c r="I232">
        <v>9</v>
      </c>
      <c r="J232">
        <v>53694</v>
      </c>
      <c r="K232">
        <v>112662</v>
      </c>
      <c r="L232" t="s">
        <v>24</v>
      </c>
      <c r="M232" t="s">
        <v>274</v>
      </c>
      <c r="N232" t="s">
        <v>26</v>
      </c>
      <c r="O232" t="s">
        <v>21</v>
      </c>
      <c r="P232" t="s">
        <v>22</v>
      </c>
      <c r="Q232" t="s">
        <v>36</v>
      </c>
      <c r="R232" t="b">
        <f>OR(Таблица1[[#This Row],[Ежемесячный платеж]]&lt;$AC$5, Таблица1[[#This Row],[Ежемесячный платеж]]&gt;$AC$6)</f>
        <v>0</v>
      </c>
      <c r="S232" s="9">
        <f>(Таблица1[[#This Row],[Размер кредита]]-21824)/(789096-21824)</f>
        <v>0.15773024429407043</v>
      </c>
      <c r="T232" s="9">
        <f>(Таблица1[[#This Row],[Кредитный рейтинг]]-586)/(751-586)</f>
        <v>0.9939393939393939</v>
      </c>
      <c r="U232" s="9">
        <f>Таблица1[[#This Row],[Ежемесячный платеж]]/(Таблица1[[#This Row],[Годовой доход]]/12)</f>
        <v>0.29800133592774375</v>
      </c>
    </row>
    <row r="233" spans="1:21" x14ac:dyDescent="0.3">
      <c r="A233">
        <v>232</v>
      </c>
      <c r="B233">
        <v>0</v>
      </c>
      <c r="C233" s="9">
        <v>551980</v>
      </c>
      <c r="D233">
        <v>720</v>
      </c>
      <c r="E233" s="1">
        <v>1906840</v>
      </c>
      <c r="F233">
        <v>0</v>
      </c>
      <c r="G233">
        <v>33528.54</v>
      </c>
      <c r="H233">
        <v>22.6</v>
      </c>
      <c r="I233">
        <v>6</v>
      </c>
      <c r="J233">
        <v>334780</v>
      </c>
      <c r="K233">
        <v>441518</v>
      </c>
      <c r="L233" t="s">
        <v>29</v>
      </c>
      <c r="M233" t="s">
        <v>275</v>
      </c>
      <c r="N233" t="s">
        <v>2040</v>
      </c>
      <c r="O233" t="s">
        <v>28</v>
      </c>
      <c r="P233" t="s">
        <v>31</v>
      </c>
      <c r="Q233" t="s">
        <v>36</v>
      </c>
      <c r="R233" t="b">
        <f>OR(Таблица1[[#This Row],[Ежемесячный платеж]]&lt;$AC$5, Таблица1[[#This Row],[Ежемесячный платеж]]&gt;$AC$6)</f>
        <v>0</v>
      </c>
      <c r="S233" s="9">
        <f>(Таблица1[[#This Row],[Размер кредита]]-21824)/(789096-21824)</f>
        <v>0.6909622663149444</v>
      </c>
      <c r="T233" s="9">
        <f>(Таблица1[[#This Row],[Кредитный рейтинг]]-586)/(751-586)</f>
        <v>0.81212121212121213</v>
      </c>
      <c r="U233" s="9">
        <f>Таблица1[[#This Row],[Ежемесячный платеж]]/(Таблица1[[#This Row],[Годовой доход]]/12)</f>
        <v>0.21099960143483459</v>
      </c>
    </row>
    <row r="234" spans="1:21" x14ac:dyDescent="0.3">
      <c r="A234">
        <v>233</v>
      </c>
      <c r="B234">
        <v>0</v>
      </c>
      <c r="C234" s="9">
        <v>504658</v>
      </c>
      <c r="D234">
        <v>685</v>
      </c>
      <c r="E234" s="1">
        <v>3874100</v>
      </c>
      <c r="F234">
        <v>1</v>
      </c>
      <c r="G234">
        <v>4100.2</v>
      </c>
      <c r="H234">
        <v>16</v>
      </c>
      <c r="I234">
        <v>7</v>
      </c>
      <c r="J234">
        <v>167827</v>
      </c>
      <c r="K234">
        <v>397408</v>
      </c>
      <c r="L234" t="s">
        <v>24</v>
      </c>
      <c r="M234" t="s">
        <v>276</v>
      </c>
      <c r="N234" t="s">
        <v>26</v>
      </c>
      <c r="O234" t="s">
        <v>34</v>
      </c>
      <c r="P234" t="s">
        <v>22</v>
      </c>
      <c r="Q234" t="s">
        <v>23</v>
      </c>
      <c r="R234" t="b">
        <f>OR(Таблица1[[#This Row],[Ежемесячный платеж]]&lt;$AC$5, Таблица1[[#This Row],[Ежемесячный платеж]]&gt;$AC$6)</f>
        <v>0</v>
      </c>
      <c r="S234" s="9">
        <f>(Таблица1[[#This Row],[Размер кредита]]-21824)/(789096-21824)</f>
        <v>0.62928661543755016</v>
      </c>
      <c r="T234" s="9">
        <f>(Таблица1[[#This Row],[Кредитный рейтинг]]-586)/(751-586)</f>
        <v>0.6</v>
      </c>
      <c r="U234" s="9">
        <f>Таблица1[[#This Row],[Ежемесячный платеж]]/(Таблица1[[#This Row],[Годовой доход]]/12)</f>
        <v>1.2700343305541931E-2</v>
      </c>
    </row>
    <row r="235" spans="1:21" x14ac:dyDescent="0.3">
      <c r="A235">
        <v>234</v>
      </c>
      <c r="B235">
        <v>0</v>
      </c>
      <c r="D235">
        <v>699</v>
      </c>
      <c r="E235" s="1">
        <v>656849</v>
      </c>
      <c r="F235">
        <v>60</v>
      </c>
      <c r="G235">
        <v>3848.07</v>
      </c>
      <c r="H235">
        <v>11.7</v>
      </c>
      <c r="I235">
        <v>10</v>
      </c>
      <c r="J235">
        <v>30552</v>
      </c>
      <c r="K235">
        <v>198682</v>
      </c>
      <c r="L235" t="s">
        <v>29</v>
      </c>
      <c r="M235" t="s">
        <v>277</v>
      </c>
      <c r="N235" t="s">
        <v>26</v>
      </c>
      <c r="O235" t="s">
        <v>34</v>
      </c>
      <c r="P235" t="s">
        <v>22</v>
      </c>
      <c r="Q235" t="s">
        <v>23</v>
      </c>
      <c r="R235" t="b">
        <f>OR(Таблица1[[#This Row],[Ежемесячный платеж]]&lt;$AC$5, Таблица1[[#This Row],[Ежемесячный платеж]]&gt;$AC$6)</f>
        <v>0</v>
      </c>
      <c r="T235" s="9">
        <f>(Таблица1[[#This Row],[Кредитный рейтинг]]-586)/(751-586)</f>
        <v>0.68484848484848482</v>
      </c>
      <c r="U235" s="9">
        <f>Таблица1[[#This Row],[Ежемесячный платеж]]/(Таблица1[[#This Row],[Годовой доход]]/12)</f>
        <v>7.0300540915796489E-2</v>
      </c>
    </row>
    <row r="236" spans="1:21" x14ac:dyDescent="0.3">
      <c r="A236">
        <v>235</v>
      </c>
      <c r="B236">
        <v>0</v>
      </c>
      <c r="C236" s="9">
        <v>177628</v>
      </c>
      <c r="D236">
        <v>709</v>
      </c>
      <c r="E236" s="1">
        <v>843771</v>
      </c>
      <c r="F236">
        <v>0</v>
      </c>
      <c r="G236">
        <v>5027.59</v>
      </c>
      <c r="H236">
        <v>10.3</v>
      </c>
      <c r="I236">
        <v>8</v>
      </c>
      <c r="J236">
        <v>94221</v>
      </c>
      <c r="K236">
        <v>172062</v>
      </c>
      <c r="L236" t="s">
        <v>32</v>
      </c>
      <c r="M236" t="s">
        <v>278</v>
      </c>
      <c r="N236" t="s">
        <v>26</v>
      </c>
      <c r="O236" t="s">
        <v>34</v>
      </c>
      <c r="P236" t="s">
        <v>31</v>
      </c>
      <c r="Q236" t="s">
        <v>36</v>
      </c>
      <c r="R236" t="b">
        <f>OR(Таблица1[[#This Row],[Ежемесячный платеж]]&lt;$AC$5, Таблица1[[#This Row],[Ежемесячный платеж]]&gt;$AC$6)</f>
        <v>0</v>
      </c>
      <c r="S236" s="9">
        <f>(Таблица1[[#This Row],[Размер кредита]]-21824)/(789096-21824)</f>
        <v>0.20306227778414956</v>
      </c>
      <c r="T236" s="9">
        <f>(Таблица1[[#This Row],[Кредитный рейтинг]]-586)/(751-586)</f>
        <v>0.74545454545454548</v>
      </c>
      <c r="U236" s="9">
        <f>Таблица1[[#This Row],[Ежемесячный платеж]]/(Таблица1[[#This Row],[Годовой доход]]/12)</f>
        <v>7.150172262379248E-2</v>
      </c>
    </row>
    <row r="237" spans="1:21" x14ac:dyDescent="0.3">
      <c r="A237">
        <v>236</v>
      </c>
      <c r="B237">
        <v>0</v>
      </c>
      <c r="D237">
        <v>739</v>
      </c>
      <c r="E237" s="1">
        <v>1004321</v>
      </c>
      <c r="F237">
        <v>0</v>
      </c>
      <c r="G237">
        <v>30547.82</v>
      </c>
      <c r="H237">
        <v>13.8</v>
      </c>
      <c r="I237">
        <v>13</v>
      </c>
      <c r="J237">
        <v>137997</v>
      </c>
      <c r="K237">
        <v>504086</v>
      </c>
      <c r="L237" t="s">
        <v>41</v>
      </c>
      <c r="M237" t="s">
        <v>279</v>
      </c>
      <c r="N237" t="s">
        <v>68</v>
      </c>
      <c r="O237" t="s">
        <v>34</v>
      </c>
      <c r="P237" t="s">
        <v>22</v>
      </c>
      <c r="Q237" t="s">
        <v>23</v>
      </c>
      <c r="R237" t="b">
        <f>OR(Таблица1[[#This Row],[Ежемесячный платеж]]&lt;$AC$5, Таблица1[[#This Row],[Ежемесячный платеж]]&gt;$AC$6)</f>
        <v>0</v>
      </c>
      <c r="T237" s="9">
        <f>(Таблица1[[#This Row],[Кредитный рейтинг]]-586)/(751-586)</f>
        <v>0.92727272727272725</v>
      </c>
      <c r="U237" s="9">
        <f>Таблица1[[#This Row],[Ежемесячный платеж]]/(Таблица1[[#This Row],[Годовой доход]]/12)</f>
        <v>0.36499668930551088</v>
      </c>
    </row>
    <row r="238" spans="1:21" x14ac:dyDescent="0.3">
      <c r="A238">
        <v>237</v>
      </c>
      <c r="B238">
        <v>0</v>
      </c>
      <c r="C238" s="9">
        <v>398464</v>
      </c>
      <c r="D238">
        <v>715</v>
      </c>
      <c r="E238" s="1">
        <v>975004</v>
      </c>
      <c r="F238">
        <v>0</v>
      </c>
      <c r="G238">
        <v>15356.37</v>
      </c>
      <c r="H238">
        <v>20.5</v>
      </c>
      <c r="I238">
        <v>13</v>
      </c>
      <c r="J238">
        <v>326857</v>
      </c>
      <c r="K238">
        <v>650276</v>
      </c>
      <c r="L238" t="s">
        <v>24</v>
      </c>
      <c r="M238" t="s">
        <v>280</v>
      </c>
      <c r="N238" t="s">
        <v>26</v>
      </c>
      <c r="O238" t="s">
        <v>21</v>
      </c>
      <c r="P238" t="s">
        <v>31</v>
      </c>
      <c r="Q238" t="s">
        <v>23</v>
      </c>
      <c r="R238" t="b">
        <f>OR(Таблица1[[#This Row],[Ежемесячный платеж]]&lt;$AC$5, Таблица1[[#This Row],[Ежемесячный платеж]]&gt;$AC$6)</f>
        <v>0</v>
      </c>
      <c r="S238" s="9">
        <f>(Таблица1[[#This Row],[Размер кредита]]-21824)/(789096-21824)</f>
        <v>0.49088198187865578</v>
      </c>
      <c r="T238" s="9">
        <f>(Таблица1[[#This Row],[Кредитный рейтинг]]-586)/(751-586)</f>
        <v>0.78181818181818186</v>
      </c>
      <c r="U238" s="9">
        <f>Таблица1[[#This Row],[Ежемесячный платеж]]/(Таблица1[[#This Row],[Годовой доход]]/12)</f>
        <v>0.18900070153558346</v>
      </c>
    </row>
    <row r="239" spans="1:21" x14ac:dyDescent="0.3">
      <c r="A239">
        <v>238</v>
      </c>
      <c r="B239">
        <v>0</v>
      </c>
      <c r="C239" s="9">
        <v>732028</v>
      </c>
      <c r="D239">
        <v>737</v>
      </c>
      <c r="E239" s="1">
        <v>1724193</v>
      </c>
      <c r="F239">
        <v>21</v>
      </c>
      <c r="G239">
        <v>32041.22</v>
      </c>
      <c r="H239">
        <v>18.5</v>
      </c>
      <c r="I239">
        <v>14</v>
      </c>
      <c r="J239">
        <v>628425</v>
      </c>
      <c r="K239">
        <v>1017698</v>
      </c>
      <c r="L239" t="s">
        <v>24</v>
      </c>
      <c r="M239" t="s">
        <v>281</v>
      </c>
      <c r="N239" t="s">
        <v>26</v>
      </c>
      <c r="O239" t="s">
        <v>21</v>
      </c>
      <c r="P239" t="s">
        <v>22</v>
      </c>
      <c r="Q239" t="s">
        <v>23</v>
      </c>
      <c r="R239" t="b">
        <f>OR(Таблица1[[#This Row],[Ежемесячный платеж]]&lt;$AC$5, Таблица1[[#This Row],[Ежемесячный платеж]]&gt;$AC$6)</f>
        <v>0</v>
      </c>
      <c r="S239" s="9">
        <f>(Таблица1[[#This Row],[Размер кредита]]-21824)/(789096-21824)</f>
        <v>0.92562220438123644</v>
      </c>
      <c r="T239" s="9">
        <f>(Таблица1[[#This Row],[Кредитный рейтинг]]-586)/(751-586)</f>
        <v>0.91515151515151516</v>
      </c>
      <c r="U239" s="9">
        <f>Таблица1[[#This Row],[Ежемесячный платеж]]/(Таблица1[[#This Row],[Годовой доход]]/12)</f>
        <v>0.22299976858739132</v>
      </c>
    </row>
    <row r="240" spans="1:21" x14ac:dyDescent="0.3">
      <c r="A240">
        <v>239</v>
      </c>
      <c r="B240">
        <v>1</v>
      </c>
      <c r="C240" s="9">
        <v>660132</v>
      </c>
      <c r="D240">
        <v>722</v>
      </c>
      <c r="E240" s="1">
        <v>1634323</v>
      </c>
      <c r="F240">
        <v>0</v>
      </c>
      <c r="G240">
        <v>18931.03</v>
      </c>
      <c r="H240">
        <v>16.7</v>
      </c>
      <c r="I240">
        <v>17</v>
      </c>
      <c r="J240">
        <v>452713</v>
      </c>
      <c r="K240">
        <v>927762</v>
      </c>
      <c r="L240" t="s">
        <v>24</v>
      </c>
      <c r="M240" t="s">
        <v>282</v>
      </c>
      <c r="N240" t="s">
        <v>26</v>
      </c>
      <c r="O240" t="s">
        <v>21</v>
      </c>
      <c r="P240" t="s">
        <v>31</v>
      </c>
      <c r="Q240" t="s">
        <v>23</v>
      </c>
      <c r="R240" t="b">
        <f>OR(Таблица1[[#This Row],[Ежемесячный платеж]]&lt;$AC$5, Таблица1[[#This Row],[Ежемесячный платеж]]&gt;$AC$6)</f>
        <v>0</v>
      </c>
      <c r="S240" s="9">
        <f>(Таблица1[[#This Row],[Размер кредита]]-21824)/(789096-21824)</f>
        <v>0.83191879802729674</v>
      </c>
      <c r="T240" s="9">
        <f>(Таблица1[[#This Row],[Кредитный рейтинг]]-586)/(751-586)</f>
        <v>0.82424242424242422</v>
      </c>
      <c r="U240" s="9">
        <f>Таблица1[[#This Row],[Ежемесячный платеж]]/(Таблица1[[#This Row],[Годовой доход]]/12)</f>
        <v>0.1390008951718846</v>
      </c>
    </row>
    <row r="241" spans="1:21" x14ac:dyDescent="0.3">
      <c r="A241">
        <v>240</v>
      </c>
      <c r="B241">
        <v>0</v>
      </c>
      <c r="C241" s="9">
        <v>25894</v>
      </c>
      <c r="D241">
        <v>748</v>
      </c>
      <c r="E241" s="1">
        <v>1024727</v>
      </c>
      <c r="F241">
        <v>0</v>
      </c>
      <c r="G241">
        <v>12723.73</v>
      </c>
      <c r="H241">
        <v>10.199999999999999</v>
      </c>
      <c r="I241">
        <v>12</v>
      </c>
      <c r="J241">
        <v>30590</v>
      </c>
      <c r="K241">
        <v>492008</v>
      </c>
      <c r="L241" t="s">
        <v>18</v>
      </c>
      <c r="M241" t="s">
        <v>283</v>
      </c>
      <c r="N241" t="s">
        <v>26</v>
      </c>
      <c r="O241" t="s">
        <v>34</v>
      </c>
      <c r="P241" t="s">
        <v>22</v>
      </c>
      <c r="Q241" t="s">
        <v>23</v>
      </c>
      <c r="R241" t="b">
        <f>OR(Таблица1[[#This Row],[Ежемесячный платеж]]&lt;$AC$5, Таблица1[[#This Row],[Ежемесячный платеж]]&gt;$AC$6)</f>
        <v>0</v>
      </c>
      <c r="S241" s="9">
        <f>(Таблица1[[#This Row],[Размер кредита]]-21824)/(789096-21824)</f>
        <v>5.304507397637344E-3</v>
      </c>
      <c r="T241" s="9">
        <f>(Таблица1[[#This Row],[Кредитный рейтинг]]-586)/(751-586)</f>
        <v>0.98181818181818181</v>
      </c>
      <c r="U241" s="9">
        <f>Таблица1[[#This Row],[Ежемесячный платеж]]/(Таблица1[[#This Row],[Годовой доход]]/12)</f>
        <v>0.14900042645504608</v>
      </c>
    </row>
    <row r="242" spans="1:21" x14ac:dyDescent="0.3">
      <c r="A242">
        <v>241</v>
      </c>
      <c r="B242">
        <v>0</v>
      </c>
      <c r="C242" s="9">
        <v>553366</v>
      </c>
      <c r="D242">
        <f>$Y$13</f>
        <v>723</v>
      </c>
      <c r="E242">
        <f>$AB$13</f>
        <v>1168044</v>
      </c>
      <c r="F242">
        <v>47</v>
      </c>
      <c r="G242">
        <v>35698.910000000003</v>
      </c>
      <c r="H242">
        <v>21.5</v>
      </c>
      <c r="I242">
        <v>17</v>
      </c>
      <c r="J242">
        <v>305349</v>
      </c>
      <c r="K242">
        <v>657184</v>
      </c>
      <c r="L242" t="s">
        <v>37</v>
      </c>
      <c r="M242" t="s">
        <v>284</v>
      </c>
      <c r="N242" t="s">
        <v>20</v>
      </c>
      <c r="O242" t="s">
        <v>21</v>
      </c>
      <c r="P242" t="s">
        <v>22</v>
      </c>
      <c r="Q242" t="s">
        <v>23</v>
      </c>
      <c r="R242" t="b">
        <f>OR(Таблица1[[#This Row],[Ежемесячный платеж]]&lt;$AC$5, Таблица1[[#This Row],[Ежемесячный платеж]]&gt;$AC$6)</f>
        <v>0</v>
      </c>
      <c r="S242" s="9">
        <f>(Таблица1[[#This Row],[Размер кредита]]-21824)/(789096-21824)</f>
        <v>0.69276866613143706</v>
      </c>
      <c r="T242" s="9">
        <f>(Таблица1[[#This Row],[Кредитный рейтинг]]-586)/(751-586)</f>
        <v>0.83030303030303032</v>
      </c>
      <c r="U242" s="9">
        <f>Таблица1[[#This Row],[Ежемесячный платеж]]/(Таблица1[[#This Row],[Годовой доход]]/12)</f>
        <v>0.36675580714425143</v>
      </c>
    </row>
    <row r="243" spans="1:21" x14ac:dyDescent="0.3">
      <c r="A243">
        <v>242</v>
      </c>
      <c r="B243">
        <v>0</v>
      </c>
      <c r="C243" s="9">
        <v>77132</v>
      </c>
      <c r="D243">
        <v>657</v>
      </c>
      <c r="E243" s="1">
        <v>2093762</v>
      </c>
      <c r="F243">
        <v>81</v>
      </c>
      <c r="G243">
        <v>47284.160000000003</v>
      </c>
      <c r="H243">
        <v>15.9</v>
      </c>
      <c r="I243">
        <v>13</v>
      </c>
      <c r="J243">
        <v>588449</v>
      </c>
      <c r="K243">
        <v>703142</v>
      </c>
      <c r="L243" t="s">
        <v>32</v>
      </c>
      <c r="M243" t="s">
        <v>285</v>
      </c>
      <c r="N243" t="s">
        <v>2041</v>
      </c>
      <c r="O243" t="s">
        <v>34</v>
      </c>
      <c r="P243" t="s">
        <v>22</v>
      </c>
      <c r="Q243" t="s">
        <v>23</v>
      </c>
      <c r="R243" t="b">
        <f>OR(Таблица1[[#This Row],[Ежемесячный платеж]]&lt;$AC$5, Таблица1[[#This Row],[Ежемесячный платеж]]&gt;$AC$6)</f>
        <v>1</v>
      </c>
      <c r="S243" s="9">
        <f>(Таблица1[[#This Row],[Размер кредита]]-21824)/(789096-21824)</f>
        <v>7.2083954581947468E-2</v>
      </c>
      <c r="T243" s="9">
        <f>(Таблица1[[#This Row],[Кредитный рейтинг]]-586)/(751-586)</f>
        <v>0.4303030303030303</v>
      </c>
      <c r="U243" s="9">
        <f>Таблица1[[#This Row],[Ежемесячный платеж]]/(Таблица1[[#This Row],[Годовой доход]]/12)</f>
        <v>0.27100019964064687</v>
      </c>
    </row>
    <row r="244" spans="1:21" x14ac:dyDescent="0.3">
      <c r="A244">
        <v>243</v>
      </c>
      <c r="B244">
        <v>0</v>
      </c>
      <c r="C244" s="9">
        <v>128634</v>
      </c>
      <c r="D244">
        <v>695</v>
      </c>
      <c r="E244" s="1">
        <v>463657</v>
      </c>
      <c r="F244">
        <v>16</v>
      </c>
      <c r="G244">
        <v>9891.4</v>
      </c>
      <c r="H244">
        <v>8.6999999999999993</v>
      </c>
      <c r="I244">
        <v>9</v>
      </c>
      <c r="J244">
        <v>76133</v>
      </c>
      <c r="K244">
        <v>134178</v>
      </c>
      <c r="L244" t="s">
        <v>47</v>
      </c>
      <c r="M244" t="s">
        <v>286</v>
      </c>
      <c r="N244" t="s">
        <v>68</v>
      </c>
      <c r="O244" t="s">
        <v>21</v>
      </c>
      <c r="P244" t="s">
        <v>22</v>
      </c>
      <c r="Q244" t="s">
        <v>23</v>
      </c>
      <c r="R244" t="b">
        <f>OR(Таблица1[[#This Row],[Ежемесячный платеж]]&lt;$AC$5, Таблица1[[#This Row],[Ежемесячный платеж]]&gt;$AC$6)</f>
        <v>0</v>
      </c>
      <c r="S244" s="9">
        <f>(Таблица1[[#This Row],[Размер кредита]]-21824)/(789096-21824)</f>
        <v>0.13920747792178001</v>
      </c>
      <c r="T244" s="9">
        <f>(Таблица1[[#This Row],[Кредитный рейтинг]]-586)/(751-586)</f>
        <v>0.66060606060606064</v>
      </c>
      <c r="U244" s="9">
        <f>Таблица1[[#This Row],[Ежемесячный платеж]]/(Таблица1[[#This Row],[Годовой доход]]/12)</f>
        <v>0.25600131131418263</v>
      </c>
    </row>
    <row r="245" spans="1:21" x14ac:dyDescent="0.3">
      <c r="A245">
        <v>244</v>
      </c>
      <c r="B245">
        <v>0</v>
      </c>
      <c r="C245" s="9">
        <v>429264</v>
      </c>
      <c r="D245">
        <v>735</v>
      </c>
      <c r="E245" s="1">
        <v>1816571</v>
      </c>
      <c r="F245">
        <v>37</v>
      </c>
      <c r="G245">
        <v>34060.730000000003</v>
      </c>
      <c r="H245">
        <v>11.1</v>
      </c>
      <c r="I245">
        <v>20</v>
      </c>
      <c r="J245">
        <v>387353</v>
      </c>
      <c r="K245">
        <v>1520398</v>
      </c>
      <c r="L245" t="s">
        <v>18</v>
      </c>
      <c r="M245" t="s">
        <v>287</v>
      </c>
      <c r="N245" t="s">
        <v>26</v>
      </c>
      <c r="O245" t="s">
        <v>28</v>
      </c>
      <c r="P245" t="s">
        <v>22</v>
      </c>
      <c r="Q245" t="s">
        <v>23</v>
      </c>
      <c r="R245" t="b">
        <f>OR(Таблица1[[#This Row],[Ежемесячный платеж]]&lt;$AC$5, Таблица1[[#This Row],[Ежемесячный платеж]]&gt;$AC$6)</f>
        <v>0</v>
      </c>
      <c r="S245" s="9">
        <f>(Таблица1[[#This Row],[Размер кредита]]-21824)/(789096-21824)</f>
        <v>0.53102420002293838</v>
      </c>
      <c r="T245" s="9">
        <f>(Таблица1[[#This Row],[Кредитный рейтинг]]-586)/(751-586)</f>
        <v>0.90303030303030307</v>
      </c>
      <c r="U245" s="9">
        <f>Таблица1[[#This Row],[Ежемесячный платеж]]/(Таблица1[[#This Row],[Годовой доход]]/12)</f>
        <v>0.22500015688899583</v>
      </c>
    </row>
    <row r="246" spans="1:21" x14ac:dyDescent="0.3">
      <c r="A246">
        <v>245</v>
      </c>
      <c r="B246">
        <v>0</v>
      </c>
      <c r="C246" s="9">
        <v>131032</v>
      </c>
      <c r="D246">
        <f>$Y$13</f>
        <v>723</v>
      </c>
      <c r="E246">
        <f>$AB$13</f>
        <v>1168044</v>
      </c>
      <c r="F246">
        <v>31</v>
      </c>
      <c r="G246">
        <v>2696.86</v>
      </c>
      <c r="H246">
        <v>9.9</v>
      </c>
      <c r="I246">
        <v>8</v>
      </c>
      <c r="J246">
        <v>77520</v>
      </c>
      <c r="K246">
        <v>255684</v>
      </c>
      <c r="L246" t="s">
        <v>18</v>
      </c>
      <c r="M246" t="s">
        <v>288</v>
      </c>
      <c r="N246" t="s">
        <v>26</v>
      </c>
      <c r="O246" t="s">
        <v>21</v>
      </c>
      <c r="P246" t="s">
        <v>22</v>
      </c>
      <c r="Q246" t="s">
        <v>23</v>
      </c>
      <c r="R246" t="b">
        <f>OR(Таблица1[[#This Row],[Ежемесячный платеж]]&lt;$AC$5, Таблица1[[#This Row],[Ежемесячный платеж]]&gt;$AC$6)</f>
        <v>0</v>
      </c>
      <c r="S246" s="9">
        <f>(Таблица1[[#This Row],[Размер кредита]]-21824)/(789096-21824)</f>
        <v>0.14233283633444202</v>
      </c>
      <c r="T246" s="9">
        <f>(Таблица1[[#This Row],[Кредитный рейтинг]]-586)/(751-586)</f>
        <v>0.83030303030303032</v>
      </c>
      <c r="U246" s="9">
        <f>Таблица1[[#This Row],[Ежемесячный платеж]]/(Таблица1[[#This Row],[Годовой доход]]/12)</f>
        <v>2.7706422018348626E-2</v>
      </c>
    </row>
    <row r="247" spans="1:21" x14ac:dyDescent="0.3">
      <c r="A247">
        <v>246</v>
      </c>
      <c r="B247">
        <v>0</v>
      </c>
      <c r="C247" s="9">
        <v>427988</v>
      </c>
      <c r="D247">
        <v>729</v>
      </c>
      <c r="E247" s="1">
        <v>1624082</v>
      </c>
      <c r="F247">
        <v>0</v>
      </c>
      <c r="G247">
        <v>3640.78</v>
      </c>
      <c r="H247">
        <v>19.2</v>
      </c>
      <c r="I247">
        <v>5</v>
      </c>
      <c r="J247">
        <v>132088</v>
      </c>
      <c r="K247">
        <v>378576</v>
      </c>
      <c r="L247" t="s">
        <v>24</v>
      </c>
      <c r="M247" t="s">
        <v>289</v>
      </c>
      <c r="N247" t="s">
        <v>26</v>
      </c>
      <c r="O247" t="s">
        <v>34</v>
      </c>
      <c r="P247" t="s">
        <v>31</v>
      </c>
      <c r="Q247" t="s">
        <v>36</v>
      </c>
      <c r="R247" t="b">
        <f>OR(Таблица1[[#This Row],[Ежемесячный платеж]]&lt;$AC$5, Таблица1[[#This Row],[Ежемесячный платеж]]&gt;$AC$6)</f>
        <v>0</v>
      </c>
      <c r="S247" s="9">
        <f>(Таблица1[[#This Row],[Размер кредита]]-21824)/(789096-21824)</f>
        <v>0.52936116527124666</v>
      </c>
      <c r="T247" s="9">
        <f>(Таблица1[[#This Row],[Кредитный рейтинг]]-586)/(751-586)</f>
        <v>0.8666666666666667</v>
      </c>
      <c r="U247" s="9">
        <f>Таблица1[[#This Row],[Ежемесячный платеж]]/(Таблица1[[#This Row],[Годовой доход]]/12)</f>
        <v>2.6900956971384452E-2</v>
      </c>
    </row>
    <row r="248" spans="1:21" x14ac:dyDescent="0.3">
      <c r="A248">
        <v>247</v>
      </c>
      <c r="B248">
        <v>0</v>
      </c>
      <c r="C248" s="9">
        <v>204248</v>
      </c>
      <c r="D248">
        <v>737</v>
      </c>
      <c r="E248" s="1">
        <v>779893</v>
      </c>
      <c r="F248">
        <v>0</v>
      </c>
      <c r="G248">
        <v>10788.39</v>
      </c>
      <c r="H248">
        <v>23</v>
      </c>
      <c r="I248">
        <v>10</v>
      </c>
      <c r="J248">
        <v>225663</v>
      </c>
      <c r="K248">
        <v>588522</v>
      </c>
      <c r="L248" t="s">
        <v>32</v>
      </c>
      <c r="M248" t="s">
        <v>290</v>
      </c>
      <c r="N248" t="s">
        <v>26</v>
      </c>
      <c r="O248" t="s">
        <v>21</v>
      </c>
      <c r="P248" t="s">
        <v>22</v>
      </c>
      <c r="Q248" t="s">
        <v>23</v>
      </c>
      <c r="R248" t="b">
        <f>OR(Таблица1[[#This Row],[Ежемесячный платеж]]&lt;$AC$5, Таблица1[[#This Row],[Ежемесячный платеж]]&gt;$AC$6)</f>
        <v>0</v>
      </c>
      <c r="S248" s="9">
        <f>(Таблица1[[#This Row],[Размер кредита]]-21824)/(789096-21824)</f>
        <v>0.2377566234659938</v>
      </c>
      <c r="T248" s="9">
        <f>(Таблица1[[#This Row],[Кредитный рейтинг]]-586)/(751-586)</f>
        <v>0.91515151515151516</v>
      </c>
      <c r="U248" s="9">
        <f>Таблица1[[#This Row],[Ежемесячный платеж]]/(Таблица1[[#This Row],[Годовой доход]]/12)</f>
        <v>0.16599800229005773</v>
      </c>
    </row>
    <row r="249" spans="1:21" x14ac:dyDescent="0.3">
      <c r="A249">
        <v>248</v>
      </c>
      <c r="B249">
        <v>0</v>
      </c>
      <c r="C249" s="9">
        <v>653334</v>
      </c>
      <c r="D249">
        <v>722</v>
      </c>
      <c r="E249" s="1">
        <v>2068891</v>
      </c>
      <c r="F249">
        <v>53</v>
      </c>
      <c r="G249">
        <v>29309.21</v>
      </c>
      <c r="H249">
        <v>21.3</v>
      </c>
      <c r="I249">
        <v>9</v>
      </c>
      <c r="J249">
        <v>294291</v>
      </c>
      <c r="K249">
        <v>548724</v>
      </c>
      <c r="L249" t="s">
        <v>24</v>
      </c>
      <c r="M249" t="s">
        <v>291</v>
      </c>
      <c r="N249" t="s">
        <v>26</v>
      </c>
      <c r="O249" t="s">
        <v>28</v>
      </c>
      <c r="P249" t="s">
        <v>22</v>
      </c>
      <c r="Q249" t="s">
        <v>23</v>
      </c>
      <c r="R249" t="b">
        <f>OR(Таблица1[[#This Row],[Ежемесячный платеж]]&lt;$AC$5, Таблица1[[#This Row],[Ежемесячный платеж]]&gt;$AC$6)</f>
        <v>0</v>
      </c>
      <c r="S249" s="9">
        <f>(Таблица1[[#This Row],[Размер кредита]]-21824)/(789096-21824)</f>
        <v>0.8230588370225943</v>
      </c>
      <c r="T249" s="9">
        <f>(Таблица1[[#This Row],[Кредитный рейтинг]]-586)/(751-586)</f>
        <v>0.82424242424242422</v>
      </c>
      <c r="U249" s="9">
        <f>Таблица1[[#This Row],[Ежемесячный платеж]]/(Таблица1[[#This Row],[Годовой доход]]/12)</f>
        <v>0.16999954081679508</v>
      </c>
    </row>
    <row r="250" spans="1:21" x14ac:dyDescent="0.3">
      <c r="A250">
        <v>249</v>
      </c>
      <c r="B250">
        <v>4</v>
      </c>
      <c r="C250" s="9">
        <v>226336</v>
      </c>
      <c r="D250">
        <v>724</v>
      </c>
      <c r="E250" s="1">
        <v>1409610</v>
      </c>
      <c r="F250">
        <v>0</v>
      </c>
      <c r="G250">
        <v>6331.56</v>
      </c>
      <c r="H250">
        <v>17</v>
      </c>
      <c r="I250">
        <v>5</v>
      </c>
      <c r="J250">
        <v>79192</v>
      </c>
      <c r="K250">
        <v>230428</v>
      </c>
      <c r="L250" t="s">
        <v>69</v>
      </c>
      <c r="M250" t="s">
        <v>292</v>
      </c>
      <c r="N250" t="s">
        <v>26</v>
      </c>
      <c r="O250" t="s">
        <v>34</v>
      </c>
      <c r="P250" t="s">
        <v>22</v>
      </c>
      <c r="Q250" t="s">
        <v>23</v>
      </c>
      <c r="R250" t="b">
        <f>OR(Таблица1[[#This Row],[Ежемесячный платеж]]&lt;$AC$5, Таблица1[[#This Row],[Ежемесячный платеж]]&gt;$AC$6)</f>
        <v>0</v>
      </c>
      <c r="S250" s="9">
        <f>(Таблица1[[#This Row],[Размер кредита]]-21824)/(789096-21824)</f>
        <v>0.2665443284780365</v>
      </c>
      <c r="T250" s="9">
        <f>(Таблица1[[#This Row],[Кредитный рейтинг]]-586)/(751-586)</f>
        <v>0.83636363636363631</v>
      </c>
      <c r="U250" s="9">
        <f>Таблица1[[#This Row],[Ежемесячный платеж]]/(Таблица1[[#This Row],[Годовой доход]]/12)</f>
        <v>5.3900525677315007E-2</v>
      </c>
    </row>
    <row r="251" spans="1:21" x14ac:dyDescent="0.3">
      <c r="A251">
        <v>250</v>
      </c>
      <c r="B251">
        <v>0</v>
      </c>
      <c r="D251">
        <v>735</v>
      </c>
      <c r="E251" s="1">
        <v>1520608</v>
      </c>
      <c r="F251">
        <v>0</v>
      </c>
      <c r="G251">
        <v>20376.169999999998</v>
      </c>
      <c r="H251">
        <v>17.8</v>
      </c>
      <c r="I251">
        <v>4</v>
      </c>
      <c r="J251">
        <v>12084</v>
      </c>
      <c r="K251">
        <v>19800</v>
      </c>
      <c r="L251" t="s">
        <v>18</v>
      </c>
      <c r="M251" t="s">
        <v>293</v>
      </c>
      <c r="N251" t="s">
        <v>26</v>
      </c>
      <c r="O251" t="s">
        <v>21</v>
      </c>
      <c r="P251" t="s">
        <v>22</v>
      </c>
      <c r="Q251" t="s">
        <v>23</v>
      </c>
      <c r="R251" t="b">
        <f>OR(Таблица1[[#This Row],[Ежемесячный платеж]]&lt;$AC$5, Таблица1[[#This Row],[Ежемесячный платеж]]&gt;$AC$6)</f>
        <v>0</v>
      </c>
      <c r="T251" s="9">
        <f>(Таблица1[[#This Row],[Кредитный рейтинг]]-586)/(751-586)</f>
        <v>0.90303030303030307</v>
      </c>
      <c r="U251" s="9">
        <f>Таблица1[[#This Row],[Ежемесячный платеж]]/(Таблица1[[#This Row],[Годовой доход]]/12)</f>
        <v>0.16080017992802878</v>
      </c>
    </row>
    <row r="252" spans="1:21" x14ac:dyDescent="0.3">
      <c r="A252">
        <v>251</v>
      </c>
      <c r="B252">
        <v>0</v>
      </c>
      <c r="C252" s="9">
        <v>216612</v>
      </c>
      <c r="D252">
        <v>722</v>
      </c>
      <c r="E252" s="1">
        <v>897959</v>
      </c>
      <c r="F252">
        <v>0</v>
      </c>
      <c r="G252">
        <v>19006.650000000001</v>
      </c>
      <c r="H252">
        <v>10.7</v>
      </c>
      <c r="I252">
        <v>14</v>
      </c>
      <c r="J252">
        <v>321670</v>
      </c>
      <c r="K252">
        <v>955042</v>
      </c>
      <c r="L252" t="s">
        <v>52</v>
      </c>
      <c r="M252" t="s">
        <v>294</v>
      </c>
      <c r="N252" t="s">
        <v>26</v>
      </c>
      <c r="O252" t="s">
        <v>28</v>
      </c>
      <c r="P252" t="s">
        <v>22</v>
      </c>
      <c r="Q252" t="s">
        <v>36</v>
      </c>
      <c r="R252" t="b">
        <f>OR(Таблица1[[#This Row],[Ежемесячный платеж]]&lt;$AC$5, Таблица1[[#This Row],[Ежемесячный платеж]]&gt;$AC$6)</f>
        <v>0</v>
      </c>
      <c r="S252" s="9">
        <f>(Таблица1[[#This Row],[Размер кредита]]-21824)/(789096-21824)</f>
        <v>0.25387085674962723</v>
      </c>
      <c r="T252" s="9">
        <f>(Таблица1[[#This Row],[Кредитный рейтинг]]-586)/(751-586)</f>
        <v>0.82424242424242422</v>
      </c>
      <c r="U252" s="9">
        <f>Таблица1[[#This Row],[Ежемесячный платеж]]/(Таблица1[[#This Row],[Годовой доход]]/12)</f>
        <v>0.25399801104504771</v>
      </c>
    </row>
    <row r="253" spans="1:21" x14ac:dyDescent="0.3">
      <c r="A253">
        <v>252</v>
      </c>
      <c r="B253">
        <v>0</v>
      </c>
      <c r="C253" s="9">
        <v>218130</v>
      </c>
      <c r="D253">
        <v>728</v>
      </c>
      <c r="E253" s="1">
        <v>602832</v>
      </c>
      <c r="F253">
        <v>26</v>
      </c>
      <c r="G253">
        <v>9142.7999999999993</v>
      </c>
      <c r="H253">
        <v>17.600000000000001</v>
      </c>
      <c r="I253">
        <v>10</v>
      </c>
      <c r="J253">
        <v>202616</v>
      </c>
      <c r="K253">
        <v>239888</v>
      </c>
      <c r="L253" t="s">
        <v>32</v>
      </c>
      <c r="M253" t="s">
        <v>295</v>
      </c>
      <c r="N253" t="s">
        <v>26</v>
      </c>
      <c r="O253" t="s">
        <v>21</v>
      </c>
      <c r="P253" t="s">
        <v>22</v>
      </c>
      <c r="Q253" t="s">
        <v>36</v>
      </c>
      <c r="R253" t="b">
        <f>OR(Таблица1[[#This Row],[Ежемесячный платеж]]&lt;$AC$5, Таблица1[[#This Row],[Ежемесячный платеж]]&gt;$AC$6)</f>
        <v>0</v>
      </c>
      <c r="S253" s="9">
        <f>(Таблица1[[#This Row],[Размер кредита]]-21824)/(789096-21824)</f>
        <v>0.25584929464388118</v>
      </c>
      <c r="T253" s="9">
        <f>(Таблица1[[#This Row],[Кредитный рейтинг]]-586)/(751-586)</f>
        <v>0.8606060606060606</v>
      </c>
      <c r="U253" s="9">
        <f>Таблица1[[#This Row],[Ежемесячный платеж]]/(Таблица1[[#This Row],[Годовой доход]]/12)</f>
        <v>0.1819969742813918</v>
      </c>
    </row>
    <row r="254" spans="1:21" x14ac:dyDescent="0.3">
      <c r="A254">
        <v>253</v>
      </c>
      <c r="B254">
        <v>0</v>
      </c>
      <c r="C254" s="9">
        <v>449768</v>
      </c>
      <c r="D254">
        <f>$Y$13</f>
        <v>723</v>
      </c>
      <c r="E254">
        <f>$AB$13</f>
        <v>1168044</v>
      </c>
      <c r="F254">
        <v>0</v>
      </c>
      <c r="G254">
        <v>31269.06</v>
      </c>
      <c r="H254">
        <v>22.2</v>
      </c>
      <c r="I254">
        <v>10</v>
      </c>
      <c r="J254">
        <v>403028</v>
      </c>
      <c r="K254">
        <v>1515118</v>
      </c>
      <c r="L254" t="s">
        <v>41</v>
      </c>
      <c r="M254" t="s">
        <v>296</v>
      </c>
      <c r="N254" t="s">
        <v>26</v>
      </c>
      <c r="O254" t="s">
        <v>21</v>
      </c>
      <c r="P254" t="s">
        <v>31</v>
      </c>
      <c r="Q254" t="s">
        <v>23</v>
      </c>
      <c r="R254" t="b">
        <f>OR(Таблица1[[#This Row],[Ежемесячный платеж]]&lt;$AC$5, Таблица1[[#This Row],[Ежемесячный платеж]]&gt;$AC$6)</f>
        <v>0</v>
      </c>
      <c r="S254" s="9">
        <f>(Таблица1[[#This Row],[Размер кредита]]-21824)/(789096-21824)</f>
        <v>0.55774744810184651</v>
      </c>
      <c r="T254" s="9">
        <f>(Таблица1[[#This Row],[Кредитный рейтинг]]-586)/(751-586)</f>
        <v>0.83030303030303032</v>
      </c>
      <c r="U254" s="9">
        <f>Таблица1[[#This Row],[Ежемесячный платеж]]/(Таблица1[[#This Row],[Годовой доход]]/12)</f>
        <v>0.32124536404450521</v>
      </c>
    </row>
    <row r="255" spans="1:21" x14ac:dyDescent="0.3">
      <c r="A255">
        <v>254</v>
      </c>
      <c r="B255">
        <v>1</v>
      </c>
      <c r="C255" s="9">
        <v>431288</v>
      </c>
      <c r="D255">
        <v>738</v>
      </c>
      <c r="E255" s="1">
        <v>1378165</v>
      </c>
      <c r="F255">
        <v>0</v>
      </c>
      <c r="G255">
        <v>33879.85</v>
      </c>
      <c r="H255">
        <v>28.8</v>
      </c>
      <c r="I255">
        <v>15</v>
      </c>
      <c r="J255">
        <v>280687</v>
      </c>
      <c r="K255">
        <v>409838</v>
      </c>
      <c r="L255" t="s">
        <v>24</v>
      </c>
      <c r="M255" t="s">
        <v>297</v>
      </c>
      <c r="N255" t="s">
        <v>26</v>
      </c>
      <c r="O255" t="s">
        <v>21</v>
      </c>
      <c r="P255" t="s">
        <v>22</v>
      </c>
      <c r="Q255" t="s">
        <v>23</v>
      </c>
      <c r="R255" t="b">
        <f>OR(Таблица1[[#This Row],[Ежемесячный платеж]]&lt;$AC$5, Таблица1[[#This Row],[Ежемесячный платеж]]&gt;$AC$6)</f>
        <v>0</v>
      </c>
      <c r="S255" s="9">
        <f>(Таблица1[[#This Row],[Размер кредита]]-21824)/(789096-21824)</f>
        <v>0.53366211721527701</v>
      </c>
      <c r="T255" s="9">
        <f>(Таблица1[[#This Row],[Кредитный рейтинг]]-586)/(751-586)</f>
        <v>0.92121212121212126</v>
      </c>
      <c r="U255" s="9">
        <f>Таблица1[[#This Row],[Ежемесячный платеж]]/(Таблица1[[#This Row],[Годовой доход]]/12)</f>
        <v>0.29499965533880196</v>
      </c>
    </row>
    <row r="256" spans="1:21" x14ac:dyDescent="0.3">
      <c r="A256">
        <v>255</v>
      </c>
      <c r="B256">
        <v>0</v>
      </c>
      <c r="C256" s="9">
        <v>541794</v>
      </c>
      <c r="D256">
        <v>674</v>
      </c>
      <c r="E256" s="1">
        <v>1538145</v>
      </c>
      <c r="F256">
        <v>64</v>
      </c>
      <c r="G256">
        <v>12766.67</v>
      </c>
      <c r="H256">
        <v>33.700000000000003</v>
      </c>
      <c r="I256">
        <v>9</v>
      </c>
      <c r="J256">
        <v>300029</v>
      </c>
      <c r="K256">
        <v>557634</v>
      </c>
      <c r="L256" t="s">
        <v>18</v>
      </c>
      <c r="M256" t="s">
        <v>298</v>
      </c>
      <c r="N256" t="s">
        <v>68</v>
      </c>
      <c r="O256" t="s">
        <v>21</v>
      </c>
      <c r="P256" t="s">
        <v>31</v>
      </c>
      <c r="Q256" t="s">
        <v>23</v>
      </c>
      <c r="R256" t="b">
        <f>OR(Таблица1[[#This Row],[Ежемесячный платеж]]&lt;$AC$5, Таблица1[[#This Row],[Ежемесячный платеж]]&gt;$AC$6)</f>
        <v>0</v>
      </c>
      <c r="S256" s="9">
        <f>(Таблица1[[#This Row],[Размер кредита]]-21824)/(789096-21824)</f>
        <v>0.67768666131437094</v>
      </c>
      <c r="T256" s="9">
        <f>(Таблица1[[#This Row],[Кредитный рейтинг]]-586)/(751-586)</f>
        <v>0.53333333333333333</v>
      </c>
      <c r="U256" s="9">
        <f>Таблица1[[#This Row],[Ежемесячный платеж]]/(Таблица1[[#This Row],[Годовой доход]]/12)</f>
        <v>9.960051880674449E-2</v>
      </c>
    </row>
    <row r="257" spans="1:21" x14ac:dyDescent="0.3">
      <c r="A257">
        <v>256</v>
      </c>
      <c r="B257">
        <v>0</v>
      </c>
      <c r="C257" s="9">
        <v>448404</v>
      </c>
      <c r="D257">
        <v>746</v>
      </c>
      <c r="E257" s="1">
        <v>1166220</v>
      </c>
      <c r="F257">
        <v>20</v>
      </c>
      <c r="G257">
        <v>19339.72</v>
      </c>
      <c r="H257">
        <v>14.9</v>
      </c>
      <c r="I257">
        <v>17</v>
      </c>
      <c r="J257">
        <v>306907</v>
      </c>
      <c r="K257">
        <v>504064</v>
      </c>
      <c r="L257" t="s">
        <v>24</v>
      </c>
      <c r="M257" t="s">
        <v>299</v>
      </c>
      <c r="N257" t="s">
        <v>26</v>
      </c>
      <c r="O257" t="s">
        <v>21</v>
      </c>
      <c r="P257" t="s">
        <v>22</v>
      </c>
      <c r="Q257" t="s">
        <v>36</v>
      </c>
      <c r="R257" t="b">
        <f>OR(Таблица1[[#This Row],[Ежемесячный платеж]]&lt;$AC$5, Таблица1[[#This Row],[Ежемесячный платеж]]&gt;$AC$6)</f>
        <v>0</v>
      </c>
      <c r="S257" s="9">
        <f>(Таблица1[[#This Row],[Размер кредита]]-21824)/(789096-21824)</f>
        <v>0.55596972129831401</v>
      </c>
      <c r="T257" s="9">
        <f>(Таблица1[[#This Row],[Кредитный рейтинг]]-586)/(751-586)</f>
        <v>0.96969696969696972</v>
      </c>
      <c r="U257" s="9">
        <f>Таблица1[[#This Row],[Ежемесячный платеж]]/(Таблица1[[#This Row],[Годовой доход]]/12)</f>
        <v>0.19899902248289347</v>
      </c>
    </row>
    <row r="258" spans="1:21" x14ac:dyDescent="0.3">
      <c r="A258">
        <v>257</v>
      </c>
      <c r="B258">
        <v>0</v>
      </c>
      <c r="C258" s="9">
        <v>117854</v>
      </c>
      <c r="D258">
        <v>709</v>
      </c>
      <c r="E258" s="1">
        <v>848958</v>
      </c>
      <c r="F258">
        <v>0</v>
      </c>
      <c r="G258">
        <v>15069.09</v>
      </c>
      <c r="H258">
        <v>15.4</v>
      </c>
      <c r="I258">
        <v>10</v>
      </c>
      <c r="J258">
        <v>404073</v>
      </c>
      <c r="K258">
        <v>609994</v>
      </c>
      <c r="L258" t="s">
        <v>24</v>
      </c>
      <c r="M258" t="s">
        <v>300</v>
      </c>
      <c r="N258" t="s">
        <v>26</v>
      </c>
      <c r="O258" t="s">
        <v>21</v>
      </c>
      <c r="P258" t="s">
        <v>22</v>
      </c>
      <c r="Q258" t="s">
        <v>23</v>
      </c>
      <c r="R258" t="b">
        <f>OR(Таблица1[[#This Row],[Ежемесячный платеж]]&lt;$AC$5, Таблица1[[#This Row],[Ежемесячный платеж]]&gt;$AC$6)</f>
        <v>0</v>
      </c>
      <c r="S258" s="9">
        <f>(Таблица1[[#This Row],[Размер кредита]]-21824)/(789096-21824)</f>
        <v>0.12515770157128112</v>
      </c>
      <c r="T258" s="9">
        <f>(Таблица1[[#This Row],[Кредитный рейтинг]]-586)/(751-586)</f>
        <v>0.74545454545454548</v>
      </c>
      <c r="U258" s="9">
        <f>Таблица1[[#This Row],[Ежемесячный платеж]]/(Таблица1[[#This Row],[Годовой доход]]/12)</f>
        <v>0.21300120854035182</v>
      </c>
    </row>
    <row r="259" spans="1:21" x14ac:dyDescent="0.3">
      <c r="A259">
        <v>258</v>
      </c>
      <c r="B259">
        <v>0</v>
      </c>
      <c r="C259" s="9">
        <v>537196</v>
      </c>
      <c r="D259">
        <v>654</v>
      </c>
      <c r="E259" s="1">
        <v>2551643</v>
      </c>
      <c r="F259">
        <v>0</v>
      </c>
      <c r="G259">
        <v>55072.83</v>
      </c>
      <c r="H259">
        <v>27</v>
      </c>
      <c r="I259">
        <v>16</v>
      </c>
      <c r="J259">
        <v>734597</v>
      </c>
      <c r="K259">
        <v>1466542</v>
      </c>
      <c r="L259" t="s">
        <v>24</v>
      </c>
      <c r="M259" t="s">
        <v>301</v>
      </c>
      <c r="N259" t="s">
        <v>26</v>
      </c>
      <c r="O259" t="s">
        <v>21</v>
      </c>
      <c r="P259" t="s">
        <v>31</v>
      </c>
      <c r="Q259" t="s">
        <v>23</v>
      </c>
      <c r="R259" t="b">
        <f>OR(Таблица1[[#This Row],[Ежемесячный платеж]]&lt;$AC$5, Таблица1[[#This Row],[Ежемесячный платеж]]&gt;$AC$6)</f>
        <v>1</v>
      </c>
      <c r="S259" s="9">
        <f>(Таблица1[[#This Row],[Размер кредита]]-21824)/(789096-21824)</f>
        <v>0.67169400160568871</v>
      </c>
      <c r="T259" s="9">
        <f>(Таблица1[[#This Row],[Кредитный рейтинг]]-586)/(751-586)</f>
        <v>0.41212121212121211</v>
      </c>
      <c r="U259" s="9">
        <f>Таблица1[[#This Row],[Ежемесячный платеж]]/(Таблица1[[#This Row],[Годовой доход]]/12)</f>
        <v>0.2589993819668347</v>
      </c>
    </row>
    <row r="260" spans="1:21" x14ac:dyDescent="0.3">
      <c r="A260">
        <v>259</v>
      </c>
      <c r="B260">
        <v>1</v>
      </c>
      <c r="C260" s="9">
        <v>196108</v>
      </c>
      <c r="D260">
        <v>715</v>
      </c>
      <c r="E260" s="1">
        <v>865602</v>
      </c>
      <c r="F260">
        <v>29</v>
      </c>
      <c r="G260">
        <v>11397.34</v>
      </c>
      <c r="H260">
        <v>18.8</v>
      </c>
      <c r="I260">
        <v>11</v>
      </c>
      <c r="J260">
        <v>185478</v>
      </c>
      <c r="K260">
        <v>259402</v>
      </c>
      <c r="L260" t="s">
        <v>24</v>
      </c>
      <c r="M260" t="s">
        <v>302</v>
      </c>
      <c r="N260" t="s">
        <v>26</v>
      </c>
      <c r="O260" t="s">
        <v>21</v>
      </c>
      <c r="P260" t="s">
        <v>22</v>
      </c>
      <c r="Q260" t="s">
        <v>23</v>
      </c>
      <c r="R260" t="b">
        <f>OR(Таблица1[[#This Row],[Ежемесячный платеж]]&lt;$AC$5, Таблица1[[#This Row],[Ежемесячный платеж]]&gt;$AC$6)</f>
        <v>0</v>
      </c>
      <c r="S260" s="9">
        <f>(Таблица1[[#This Row],[Размер кредита]]-21824)/(789096-21824)</f>
        <v>0.22714760867071912</v>
      </c>
      <c r="T260" s="9">
        <f>(Таблица1[[#This Row],[Кредитный рейтинг]]-586)/(751-586)</f>
        <v>0.78181818181818186</v>
      </c>
      <c r="U260" s="9">
        <f>Таблица1[[#This Row],[Ежемесячный платеж]]/(Таблица1[[#This Row],[Годовой доход]]/12)</f>
        <v>0.15800342420650598</v>
      </c>
    </row>
    <row r="261" spans="1:21" x14ac:dyDescent="0.3">
      <c r="A261">
        <v>260</v>
      </c>
      <c r="B261">
        <v>0</v>
      </c>
      <c r="C261" s="9">
        <v>337656</v>
      </c>
      <c r="D261">
        <v>744</v>
      </c>
      <c r="E261" s="1">
        <v>1205322</v>
      </c>
      <c r="F261">
        <v>0</v>
      </c>
      <c r="G261">
        <v>12254.05</v>
      </c>
      <c r="H261">
        <v>11.4</v>
      </c>
      <c r="I261">
        <v>6</v>
      </c>
      <c r="J261">
        <v>41876</v>
      </c>
      <c r="K261">
        <v>119416</v>
      </c>
      <c r="L261" t="s">
        <v>24</v>
      </c>
      <c r="M261" t="s">
        <v>303</v>
      </c>
      <c r="N261" t="s">
        <v>26</v>
      </c>
      <c r="O261" t="s">
        <v>21</v>
      </c>
      <c r="P261" t="s">
        <v>22</v>
      </c>
      <c r="Q261" t="s">
        <v>23</v>
      </c>
      <c r="R261" t="b">
        <f>OR(Таблица1[[#This Row],[Ежемесячный платеж]]&lt;$AC$5, Таблица1[[#This Row],[Ежемесячный платеж]]&gt;$AC$6)</f>
        <v>0</v>
      </c>
      <c r="S261" s="9">
        <f>(Таблица1[[#This Row],[Размер кредита]]-21824)/(789096-21824)</f>
        <v>0.41162977405665785</v>
      </c>
      <c r="T261" s="9">
        <f>(Таблица1[[#This Row],[Кредитный рейтинг]]-586)/(751-586)</f>
        <v>0.95757575757575752</v>
      </c>
      <c r="U261" s="9">
        <f>Таблица1[[#This Row],[Ежемесячный платеж]]/(Таблица1[[#This Row],[Годовой доход]]/12)</f>
        <v>0.12199943251678803</v>
      </c>
    </row>
    <row r="262" spans="1:21" x14ac:dyDescent="0.3">
      <c r="A262">
        <v>261</v>
      </c>
      <c r="B262">
        <v>0</v>
      </c>
      <c r="C262" s="9">
        <v>441628</v>
      </c>
      <c r="D262">
        <f>$Y$13</f>
        <v>723</v>
      </c>
      <c r="E262">
        <f>$AB$13</f>
        <v>1168044</v>
      </c>
      <c r="F262">
        <v>46</v>
      </c>
      <c r="G262">
        <v>34469.61</v>
      </c>
      <c r="H262">
        <v>16</v>
      </c>
      <c r="I262">
        <v>5</v>
      </c>
      <c r="J262">
        <v>58482</v>
      </c>
      <c r="K262">
        <v>90530</v>
      </c>
      <c r="L262" t="s">
        <v>37</v>
      </c>
      <c r="M262" t="s">
        <v>304</v>
      </c>
      <c r="N262" t="s">
        <v>26</v>
      </c>
      <c r="O262" t="s">
        <v>34</v>
      </c>
      <c r="P262" t="s">
        <v>22</v>
      </c>
      <c r="Q262" t="s">
        <v>36</v>
      </c>
      <c r="R262" t="b">
        <f>OR(Таблица1[[#This Row],[Ежемесячный платеж]]&lt;$AC$5, Таблица1[[#This Row],[Ежемесячный платеж]]&gt;$AC$6)</f>
        <v>0</v>
      </c>
      <c r="S262" s="9">
        <f>(Таблица1[[#This Row],[Размер кредита]]-21824)/(789096-21824)</f>
        <v>0.54713843330657186</v>
      </c>
      <c r="T262" s="9">
        <f>(Таблица1[[#This Row],[Кредитный рейтинг]]-586)/(751-586)</f>
        <v>0.83030303030303032</v>
      </c>
      <c r="U262" s="9">
        <f>Таблица1[[#This Row],[Ежемесячный платеж]]/(Таблица1[[#This Row],[Годовой доход]]/12)</f>
        <v>0.35412648838571148</v>
      </c>
    </row>
    <row r="263" spans="1:21" x14ac:dyDescent="0.3">
      <c r="A263">
        <v>262</v>
      </c>
      <c r="B263">
        <v>0</v>
      </c>
      <c r="C263" s="9">
        <v>448272</v>
      </c>
      <c r="D263">
        <v>716</v>
      </c>
      <c r="E263" s="1">
        <v>1045285</v>
      </c>
      <c r="F263">
        <v>24</v>
      </c>
      <c r="G263">
        <v>16289.08</v>
      </c>
      <c r="H263">
        <v>23</v>
      </c>
      <c r="I263">
        <v>7</v>
      </c>
      <c r="J263">
        <v>115558</v>
      </c>
      <c r="K263">
        <v>157432</v>
      </c>
      <c r="L263" t="s">
        <v>24</v>
      </c>
      <c r="M263" t="s">
        <v>305</v>
      </c>
      <c r="N263" t="s">
        <v>26</v>
      </c>
      <c r="O263" t="s">
        <v>21</v>
      </c>
      <c r="P263" t="s">
        <v>31</v>
      </c>
      <c r="Q263" t="s">
        <v>23</v>
      </c>
      <c r="R263" t="b">
        <f>OR(Таблица1[[#This Row],[Ежемесячный платеж]]&lt;$AC$5, Таблица1[[#This Row],[Ежемесячный платеж]]&gt;$AC$6)</f>
        <v>0</v>
      </c>
      <c r="S263" s="9">
        <f>(Таблица1[[#This Row],[Размер кредита]]-21824)/(789096-21824)</f>
        <v>0.55579768322055279</v>
      </c>
      <c r="T263" s="9">
        <f>(Таблица1[[#This Row],[Кредитный рейтинг]]-586)/(751-586)</f>
        <v>0.78787878787878785</v>
      </c>
      <c r="U263" s="9">
        <f>Таблица1[[#This Row],[Ежемесячный платеж]]/(Таблица1[[#This Row],[Годовой доход]]/12)</f>
        <v>0.18700063619012997</v>
      </c>
    </row>
    <row r="264" spans="1:21" x14ac:dyDescent="0.3">
      <c r="A264">
        <v>263</v>
      </c>
      <c r="B264">
        <v>0</v>
      </c>
      <c r="C264" s="9">
        <v>581592</v>
      </c>
      <c r="D264">
        <f>$Y$13</f>
        <v>723</v>
      </c>
      <c r="E264">
        <f>$AB$13</f>
        <v>1168044</v>
      </c>
      <c r="F264">
        <v>0</v>
      </c>
      <c r="G264">
        <v>20455.02</v>
      </c>
      <c r="H264">
        <v>17.5</v>
      </c>
      <c r="I264">
        <v>13</v>
      </c>
      <c r="J264">
        <v>363983</v>
      </c>
      <c r="K264">
        <v>629970</v>
      </c>
      <c r="L264" t="s">
        <v>24</v>
      </c>
      <c r="M264" t="s">
        <v>306</v>
      </c>
      <c r="N264" t="s">
        <v>26</v>
      </c>
      <c r="O264" t="s">
        <v>21</v>
      </c>
      <c r="P264" t="s">
        <v>31</v>
      </c>
      <c r="Q264" t="s">
        <v>36</v>
      </c>
      <c r="R264" t="b">
        <f>OR(Таблица1[[#This Row],[Ежемесячный платеж]]&lt;$AC$5, Таблица1[[#This Row],[Ежемесячный платеж]]&gt;$AC$6)</f>
        <v>0</v>
      </c>
      <c r="S264" s="9">
        <f>(Таблица1[[#This Row],[Размер кредита]]-21824)/(789096-21824)</f>
        <v>0.72955614175937611</v>
      </c>
      <c r="T264" s="9">
        <f>(Таблица1[[#This Row],[Кредитный рейтинг]]-586)/(751-586)</f>
        <v>0.83030303030303032</v>
      </c>
      <c r="U264" s="9">
        <f>Таблица1[[#This Row],[Ежемесячный платеж]]/(Таблица1[[#This Row],[Годовой доход]]/12)</f>
        <v>0.21014639859457349</v>
      </c>
    </row>
    <row r="265" spans="1:21" x14ac:dyDescent="0.3">
      <c r="A265">
        <v>264</v>
      </c>
      <c r="B265">
        <v>0</v>
      </c>
      <c r="C265" s="9">
        <v>63140</v>
      </c>
      <c r="D265">
        <v>733</v>
      </c>
      <c r="E265" s="1">
        <v>233681</v>
      </c>
      <c r="F265">
        <v>0</v>
      </c>
      <c r="G265">
        <v>2122.4899999999998</v>
      </c>
      <c r="H265">
        <v>14.9</v>
      </c>
      <c r="I265">
        <v>3</v>
      </c>
      <c r="J265">
        <v>58463</v>
      </c>
      <c r="K265">
        <v>119592</v>
      </c>
      <c r="L265" t="s">
        <v>37</v>
      </c>
      <c r="M265" t="s">
        <v>307</v>
      </c>
      <c r="N265" t="s">
        <v>26</v>
      </c>
      <c r="O265" t="s">
        <v>34</v>
      </c>
      <c r="P265" t="s">
        <v>22</v>
      </c>
      <c r="Q265" t="s">
        <v>36</v>
      </c>
      <c r="R265" t="b">
        <f>OR(Таблица1[[#This Row],[Ежемесячный платеж]]&lt;$AC$5, Таблица1[[#This Row],[Ежемесячный платеж]]&gt;$AC$6)</f>
        <v>0</v>
      </c>
      <c r="S265" s="9">
        <f>(Таблица1[[#This Row],[Размер кредита]]-21824)/(789096-21824)</f>
        <v>5.3847918339259088E-2</v>
      </c>
      <c r="T265" s="9">
        <f>(Таблица1[[#This Row],[Кредитный рейтинг]]-586)/(751-586)</f>
        <v>0.89090909090909087</v>
      </c>
      <c r="U265" s="9">
        <f>Таблица1[[#This Row],[Ежемесячный платеж]]/(Таблица1[[#This Row],[Годовой доход]]/12)</f>
        <v>0.10899422717294087</v>
      </c>
    </row>
    <row r="266" spans="1:21" x14ac:dyDescent="0.3">
      <c r="A266">
        <v>265</v>
      </c>
      <c r="B266">
        <v>0</v>
      </c>
      <c r="C266" s="9">
        <v>223344</v>
      </c>
      <c r="D266">
        <v>719</v>
      </c>
      <c r="E266" s="1">
        <v>1157328</v>
      </c>
      <c r="F266">
        <v>0</v>
      </c>
      <c r="G266">
        <v>24111</v>
      </c>
      <c r="H266">
        <v>17.399999999999999</v>
      </c>
      <c r="I266">
        <v>8</v>
      </c>
      <c r="J266">
        <v>100624</v>
      </c>
      <c r="K266">
        <v>236830</v>
      </c>
      <c r="L266" t="s">
        <v>52</v>
      </c>
      <c r="M266" t="s">
        <v>308</v>
      </c>
      <c r="N266" t="s">
        <v>26</v>
      </c>
      <c r="O266" t="s">
        <v>34</v>
      </c>
      <c r="P266" t="s">
        <v>22</v>
      </c>
      <c r="Q266" t="s">
        <v>23</v>
      </c>
      <c r="R266" t="b">
        <f>OR(Таблица1[[#This Row],[Ежемесячный платеж]]&lt;$AC$5, Таблица1[[#This Row],[Ежемесячный платеж]]&gt;$AC$6)</f>
        <v>0</v>
      </c>
      <c r="S266" s="9">
        <f>(Таблица1[[#This Row],[Размер кредита]]-21824)/(789096-21824)</f>
        <v>0.26264479871544905</v>
      </c>
      <c r="T266" s="9">
        <f>(Таблица1[[#This Row],[Кредитный рейтинг]]-586)/(751-586)</f>
        <v>0.80606060606060603</v>
      </c>
      <c r="U266" s="9">
        <f>Таблица1[[#This Row],[Ежемесячный платеж]]/(Таблица1[[#This Row],[Годовой доход]]/12)</f>
        <v>0.25</v>
      </c>
    </row>
    <row r="267" spans="1:21" x14ac:dyDescent="0.3">
      <c r="A267">
        <v>266</v>
      </c>
      <c r="B267">
        <v>0</v>
      </c>
      <c r="C267" s="9">
        <v>436172</v>
      </c>
      <c r="D267">
        <v>744</v>
      </c>
      <c r="E267" s="1">
        <v>1054747</v>
      </c>
      <c r="F267">
        <v>0</v>
      </c>
      <c r="G267">
        <v>13623.76</v>
      </c>
      <c r="H267">
        <v>22.2</v>
      </c>
      <c r="I267">
        <v>19</v>
      </c>
      <c r="J267">
        <v>387315</v>
      </c>
      <c r="K267">
        <v>2156110</v>
      </c>
      <c r="L267" t="s">
        <v>47</v>
      </c>
      <c r="M267" t="s">
        <v>309</v>
      </c>
      <c r="N267" t="s">
        <v>20</v>
      </c>
      <c r="O267" t="s">
        <v>21</v>
      </c>
      <c r="P267" t="s">
        <v>31</v>
      </c>
      <c r="Q267" t="s">
        <v>23</v>
      </c>
      <c r="R267" t="b">
        <f>OR(Таблица1[[#This Row],[Ежемесячный платеж]]&lt;$AC$5, Таблица1[[#This Row],[Ежемесячный платеж]]&gt;$AC$6)</f>
        <v>0</v>
      </c>
      <c r="S267" s="9">
        <f>(Таблица1[[#This Row],[Размер кредита]]-21824)/(789096-21824)</f>
        <v>0.54002752609244176</v>
      </c>
      <c r="T267" s="9">
        <f>(Таблица1[[#This Row],[Кредитный рейтинг]]-586)/(751-586)</f>
        <v>0.95757575757575752</v>
      </c>
      <c r="U267" s="9">
        <f>Таблица1[[#This Row],[Ежемесячный платеж]]/(Таблица1[[#This Row],[Годовой доход]]/12)</f>
        <v>0.15499936951705007</v>
      </c>
    </row>
    <row r="268" spans="1:21" x14ac:dyDescent="0.3">
      <c r="A268">
        <v>267</v>
      </c>
      <c r="B268">
        <v>0</v>
      </c>
      <c r="C268" s="9">
        <v>157146</v>
      </c>
      <c r="D268">
        <v>735</v>
      </c>
      <c r="E268" s="1">
        <v>678566</v>
      </c>
      <c r="F268">
        <v>0</v>
      </c>
      <c r="G268">
        <v>12610.11</v>
      </c>
      <c r="H268">
        <v>16.5</v>
      </c>
      <c r="I268">
        <v>7</v>
      </c>
      <c r="J268">
        <v>116793</v>
      </c>
      <c r="K268">
        <v>426602</v>
      </c>
      <c r="L268" t="s">
        <v>69</v>
      </c>
      <c r="M268" t="s">
        <v>310</v>
      </c>
      <c r="N268" t="s">
        <v>26</v>
      </c>
      <c r="O268" t="s">
        <v>28</v>
      </c>
      <c r="P268" t="s">
        <v>22</v>
      </c>
      <c r="Q268" t="s">
        <v>23</v>
      </c>
      <c r="R268" t="b">
        <f>OR(Таблица1[[#This Row],[Ежемесячный платеж]]&lt;$AC$5, Таблица1[[#This Row],[Ежемесячный платеж]]&gt;$AC$6)</f>
        <v>0</v>
      </c>
      <c r="S268" s="9">
        <f>(Таблица1[[#This Row],[Размер кредита]]-21824)/(789096-21824)</f>
        <v>0.17636770271820162</v>
      </c>
      <c r="T268" s="9">
        <f>(Таблица1[[#This Row],[Кредитный рейтинг]]-586)/(751-586)</f>
        <v>0.90303030303030307</v>
      </c>
      <c r="U268" s="9">
        <f>Таблица1[[#This Row],[Ежемесячный платеж]]/(Таблица1[[#This Row],[Годовой доход]]/12)</f>
        <v>0.22300162401299212</v>
      </c>
    </row>
    <row r="269" spans="1:21" x14ac:dyDescent="0.3">
      <c r="A269">
        <v>268</v>
      </c>
      <c r="B269">
        <v>0</v>
      </c>
      <c r="C269" s="9">
        <v>178046</v>
      </c>
      <c r="D269">
        <v>716</v>
      </c>
      <c r="E269" s="1">
        <v>2815781</v>
      </c>
      <c r="F269">
        <v>0</v>
      </c>
      <c r="G269">
        <v>18537.349999999999</v>
      </c>
      <c r="H269">
        <v>22.5</v>
      </c>
      <c r="I269">
        <v>9</v>
      </c>
      <c r="J269">
        <v>486248</v>
      </c>
      <c r="K269">
        <v>578666</v>
      </c>
      <c r="L269" t="s">
        <v>24</v>
      </c>
      <c r="M269" t="s">
        <v>311</v>
      </c>
      <c r="N269" t="s">
        <v>26</v>
      </c>
      <c r="O269" t="s">
        <v>21</v>
      </c>
      <c r="P269" t="s">
        <v>22</v>
      </c>
      <c r="Q269" t="s">
        <v>23</v>
      </c>
      <c r="R269" t="b">
        <f>OR(Таблица1[[#This Row],[Ежемесячный платеж]]&lt;$AC$5, Таблица1[[#This Row],[Ежемесячный платеж]]&gt;$AC$6)</f>
        <v>0</v>
      </c>
      <c r="S269" s="9">
        <f>(Таблица1[[#This Row],[Размер кредита]]-21824)/(789096-21824)</f>
        <v>0.20360706503039339</v>
      </c>
      <c r="T269" s="9">
        <f>(Таблица1[[#This Row],[Кредитный рейтинг]]-586)/(751-586)</f>
        <v>0.78787878787878785</v>
      </c>
      <c r="U269" s="9">
        <f>Таблица1[[#This Row],[Ежемесячный платеж]]/(Таблица1[[#This Row],[Годовой доход]]/12)</f>
        <v>7.9000533067024745E-2</v>
      </c>
    </row>
    <row r="270" spans="1:21" x14ac:dyDescent="0.3">
      <c r="A270">
        <v>269</v>
      </c>
      <c r="B270">
        <v>0</v>
      </c>
      <c r="D270">
        <v>721</v>
      </c>
      <c r="E270" s="1">
        <v>805733</v>
      </c>
      <c r="F270">
        <v>45</v>
      </c>
      <c r="G270">
        <v>12757.55</v>
      </c>
      <c r="H270">
        <v>15.9</v>
      </c>
      <c r="I270">
        <v>9</v>
      </c>
      <c r="J270">
        <v>93347</v>
      </c>
      <c r="K270">
        <v>195448</v>
      </c>
      <c r="L270" t="s">
        <v>24</v>
      </c>
      <c r="M270" t="s">
        <v>312</v>
      </c>
      <c r="N270" t="s">
        <v>26</v>
      </c>
      <c r="O270" t="s">
        <v>21</v>
      </c>
      <c r="P270" t="s">
        <v>22</v>
      </c>
      <c r="Q270" t="s">
        <v>23</v>
      </c>
      <c r="R270" t="b">
        <f>OR(Таблица1[[#This Row],[Ежемесячный платеж]]&lt;$AC$5, Таблица1[[#This Row],[Ежемесячный платеж]]&gt;$AC$6)</f>
        <v>0</v>
      </c>
      <c r="T270" s="9">
        <f>(Таблица1[[#This Row],[Кредитный рейтинг]]-586)/(751-586)</f>
        <v>0.81818181818181823</v>
      </c>
      <c r="U270" s="9">
        <f>Таблица1[[#This Row],[Ежемесячный платеж]]/(Таблица1[[#This Row],[Годовой доход]]/12)</f>
        <v>0.19000165067087979</v>
      </c>
    </row>
    <row r="271" spans="1:21" x14ac:dyDescent="0.3">
      <c r="A271">
        <v>270</v>
      </c>
      <c r="B271">
        <v>0</v>
      </c>
      <c r="D271">
        <v>746</v>
      </c>
      <c r="E271" s="1">
        <v>456646</v>
      </c>
      <c r="F271">
        <v>56</v>
      </c>
      <c r="G271">
        <v>2481.02</v>
      </c>
      <c r="H271">
        <v>18.8</v>
      </c>
      <c r="I271">
        <v>5</v>
      </c>
      <c r="J271">
        <v>0</v>
      </c>
      <c r="K271">
        <v>0</v>
      </c>
      <c r="L271" t="s">
        <v>24</v>
      </c>
      <c r="M271" t="s">
        <v>313</v>
      </c>
      <c r="N271" t="s">
        <v>2039</v>
      </c>
      <c r="O271" t="s">
        <v>21</v>
      </c>
      <c r="P271" t="s">
        <v>22</v>
      </c>
      <c r="Q271" t="s">
        <v>23</v>
      </c>
      <c r="R271" t="b">
        <f>OR(Таблица1[[#This Row],[Ежемесячный платеж]]&lt;$AC$5, Таблица1[[#This Row],[Ежемесячный платеж]]&gt;$AC$6)</f>
        <v>0</v>
      </c>
      <c r="T271" s="9">
        <f>(Таблица1[[#This Row],[Кредитный рейтинг]]-586)/(751-586)</f>
        <v>0.96969696969696972</v>
      </c>
      <c r="U271" s="9">
        <f>Таблица1[[#This Row],[Ежемесячный платеж]]/(Таблица1[[#This Row],[Годовой доход]]/12)</f>
        <v>6.5197636681368062E-2</v>
      </c>
    </row>
    <row r="272" spans="1:21" x14ac:dyDescent="0.3">
      <c r="A272">
        <v>271</v>
      </c>
      <c r="B272">
        <v>1</v>
      </c>
      <c r="C272" s="9">
        <v>216194</v>
      </c>
      <c r="D272">
        <v>720</v>
      </c>
      <c r="E272" s="1">
        <v>1077528</v>
      </c>
      <c r="F272">
        <v>14</v>
      </c>
      <c r="G272">
        <v>8081.46</v>
      </c>
      <c r="H272">
        <v>13.7</v>
      </c>
      <c r="I272">
        <v>5</v>
      </c>
      <c r="J272">
        <v>96463</v>
      </c>
      <c r="K272">
        <v>174240</v>
      </c>
      <c r="L272" t="s">
        <v>24</v>
      </c>
      <c r="M272" t="s">
        <v>314</v>
      </c>
      <c r="N272" t="s">
        <v>26</v>
      </c>
      <c r="O272" t="s">
        <v>21</v>
      </c>
      <c r="P272" t="s">
        <v>22</v>
      </c>
      <c r="Q272" t="s">
        <v>23</v>
      </c>
      <c r="R272" t="b">
        <f>OR(Таблица1[[#This Row],[Ежемесячный платеж]]&lt;$AC$5, Таблица1[[#This Row],[Ежемесячный платеж]]&gt;$AC$6)</f>
        <v>0</v>
      </c>
      <c r="S272" s="9">
        <f>(Таблица1[[#This Row],[Размер кредита]]-21824)/(789096-21824)</f>
        <v>0.25332606950338343</v>
      </c>
      <c r="T272" s="9">
        <f>(Таблица1[[#This Row],[Кредитный рейтинг]]-586)/(751-586)</f>
        <v>0.81212121212121213</v>
      </c>
      <c r="U272" s="9">
        <f>Таблица1[[#This Row],[Ежемесячный платеж]]/(Таблица1[[#This Row],[Годовой доход]]/12)</f>
        <v>0.09</v>
      </c>
    </row>
    <row r="273" spans="1:21" x14ac:dyDescent="0.3">
      <c r="A273">
        <v>272</v>
      </c>
      <c r="B273">
        <v>0</v>
      </c>
      <c r="C273" s="9">
        <v>430100</v>
      </c>
      <c r="D273">
        <v>739</v>
      </c>
      <c r="E273" s="1">
        <v>1448655</v>
      </c>
      <c r="F273">
        <v>0</v>
      </c>
      <c r="G273">
        <v>23782.11</v>
      </c>
      <c r="H273">
        <v>15.4</v>
      </c>
      <c r="I273">
        <v>13</v>
      </c>
      <c r="J273">
        <v>400178</v>
      </c>
      <c r="K273">
        <v>716188</v>
      </c>
      <c r="L273" t="s">
        <v>24</v>
      </c>
      <c r="M273" t="s">
        <v>315</v>
      </c>
      <c r="N273" t="s">
        <v>26</v>
      </c>
      <c r="O273" t="s">
        <v>21</v>
      </c>
      <c r="P273" t="s">
        <v>22</v>
      </c>
      <c r="Q273" t="s">
        <v>23</v>
      </c>
      <c r="R273" t="b">
        <f>OR(Таблица1[[#This Row],[Ежемесячный платеж]]&lt;$AC$5, Таблица1[[#This Row],[Ежемесячный платеж]]&gt;$AC$6)</f>
        <v>0</v>
      </c>
      <c r="S273" s="9">
        <f>(Таблица1[[#This Row],[Размер кредита]]-21824)/(789096-21824)</f>
        <v>0.53211377451542607</v>
      </c>
      <c r="T273" s="9">
        <f>(Таблица1[[#This Row],[Кредитный рейтинг]]-586)/(751-586)</f>
        <v>0.92727272727272725</v>
      </c>
      <c r="U273" s="9">
        <f>Таблица1[[#This Row],[Ежемесячный платеж]]/(Таблица1[[#This Row],[Годовой доход]]/12)</f>
        <v>0.1970001967342121</v>
      </c>
    </row>
    <row r="274" spans="1:21" x14ac:dyDescent="0.3">
      <c r="A274">
        <v>273</v>
      </c>
      <c r="B274">
        <v>0</v>
      </c>
      <c r="C274" s="9">
        <v>562760</v>
      </c>
      <c r="D274">
        <v>738</v>
      </c>
      <c r="E274" s="1">
        <v>1263652</v>
      </c>
      <c r="F274">
        <v>0</v>
      </c>
      <c r="G274">
        <v>12426</v>
      </c>
      <c r="H274">
        <v>13.1</v>
      </c>
      <c r="I274">
        <v>8</v>
      </c>
      <c r="J274">
        <v>478021</v>
      </c>
      <c r="K274">
        <v>684178</v>
      </c>
      <c r="L274" t="s">
        <v>29</v>
      </c>
      <c r="M274" t="s">
        <v>316</v>
      </c>
      <c r="N274" t="s">
        <v>26</v>
      </c>
      <c r="O274" t="s">
        <v>34</v>
      </c>
      <c r="P274" t="s">
        <v>22</v>
      </c>
      <c r="Q274" t="s">
        <v>23</v>
      </c>
      <c r="R274" t="b">
        <f>OR(Таблица1[[#This Row],[Ежемесячный платеж]]&lt;$AC$5, Таблица1[[#This Row],[Ежемесячный платеж]]&gt;$AC$6)</f>
        <v>0</v>
      </c>
      <c r="S274" s="9">
        <f>(Таблица1[[#This Row],[Размер кредита]]-21824)/(789096-21824)</f>
        <v>0.70501204266544326</v>
      </c>
      <c r="T274" s="9">
        <f>(Таблица1[[#This Row],[Кредитный рейтинг]]-586)/(751-586)</f>
        <v>0.92121212121212126</v>
      </c>
      <c r="U274" s="9">
        <f>Таблица1[[#This Row],[Ежемесячный платеж]]/(Таблица1[[#This Row],[Годовой доход]]/12)</f>
        <v>0.11800084200396946</v>
      </c>
    </row>
    <row r="275" spans="1:21" x14ac:dyDescent="0.3">
      <c r="A275">
        <v>274</v>
      </c>
      <c r="B275">
        <v>0</v>
      </c>
      <c r="C275" s="9">
        <v>215006</v>
      </c>
      <c r="D275">
        <f>$Y$13</f>
        <v>723</v>
      </c>
      <c r="E275">
        <f>$AB$13</f>
        <v>1168044</v>
      </c>
      <c r="F275">
        <v>0</v>
      </c>
      <c r="G275">
        <v>22042.47</v>
      </c>
      <c r="H275">
        <v>29.1</v>
      </c>
      <c r="I275">
        <v>10</v>
      </c>
      <c r="J275">
        <v>387714</v>
      </c>
      <c r="K275">
        <v>464266</v>
      </c>
      <c r="L275" t="s">
        <v>24</v>
      </c>
      <c r="M275" t="s">
        <v>317</v>
      </c>
      <c r="N275" t="s">
        <v>26</v>
      </c>
      <c r="O275" t="s">
        <v>21</v>
      </c>
      <c r="P275" t="s">
        <v>22</v>
      </c>
      <c r="Q275" t="s">
        <v>23</v>
      </c>
      <c r="R275" t="b">
        <f>OR(Таблица1[[#This Row],[Ежемесячный платеж]]&lt;$AC$5, Таблица1[[#This Row],[Ежемесячный платеж]]&gt;$AC$6)</f>
        <v>0</v>
      </c>
      <c r="S275" s="9">
        <f>(Таблица1[[#This Row],[Размер кредита]]-21824)/(789096-21824)</f>
        <v>0.2517777268035325</v>
      </c>
      <c r="T275" s="9">
        <f>(Таблица1[[#This Row],[Кредитный рейтинг]]-586)/(751-586)</f>
        <v>0.83030303030303032</v>
      </c>
      <c r="U275" s="9">
        <f>Таблица1[[#This Row],[Ежемесячный платеж]]/(Таблица1[[#This Row],[Годовой доход]]/12)</f>
        <v>0.22645520203006053</v>
      </c>
    </row>
    <row r="276" spans="1:21" x14ac:dyDescent="0.3">
      <c r="A276">
        <v>275</v>
      </c>
      <c r="B276">
        <v>0</v>
      </c>
      <c r="C276" s="9">
        <v>325622</v>
      </c>
      <c r="D276">
        <f>$Y$13</f>
        <v>723</v>
      </c>
      <c r="E276">
        <f>$AB$13</f>
        <v>1168044</v>
      </c>
      <c r="F276">
        <v>48</v>
      </c>
      <c r="G276">
        <v>8831.01</v>
      </c>
      <c r="H276">
        <v>15.2</v>
      </c>
      <c r="I276">
        <v>25</v>
      </c>
      <c r="J276">
        <v>144172</v>
      </c>
      <c r="K276">
        <v>415250</v>
      </c>
      <c r="L276" t="s">
        <v>29</v>
      </c>
      <c r="M276" t="s">
        <v>318</v>
      </c>
      <c r="N276" t="s">
        <v>26</v>
      </c>
      <c r="O276" t="s">
        <v>34</v>
      </c>
      <c r="P276" t="s">
        <v>22</v>
      </c>
      <c r="Q276" t="s">
        <v>23</v>
      </c>
      <c r="R276" t="b">
        <f>OR(Таблица1[[#This Row],[Ежемесячный платеж]]&lt;$AC$5, Таблица1[[#This Row],[Ежемесячный платеж]]&gt;$AC$6)</f>
        <v>0</v>
      </c>
      <c r="S276" s="9">
        <f>(Таблица1[[#This Row],[Размер кредита]]-21824)/(789096-21824)</f>
        <v>0.39594563596742743</v>
      </c>
      <c r="T276" s="9">
        <f>(Таблица1[[#This Row],[Кредитный рейтинг]]-586)/(751-586)</f>
        <v>0.83030303030303032</v>
      </c>
      <c r="U276" s="9">
        <f>Таблица1[[#This Row],[Ежемесячный платеж]]/(Таблица1[[#This Row],[Годовой доход]]/12)</f>
        <v>9.0726137029084525E-2</v>
      </c>
    </row>
    <row r="277" spans="1:21" x14ac:dyDescent="0.3">
      <c r="A277">
        <v>276</v>
      </c>
      <c r="B277">
        <v>0</v>
      </c>
      <c r="C277" s="9">
        <v>118998</v>
      </c>
      <c r="D277">
        <v>686</v>
      </c>
      <c r="E277" s="1">
        <v>576327</v>
      </c>
      <c r="F277">
        <v>0</v>
      </c>
      <c r="G277">
        <v>10037.700000000001</v>
      </c>
      <c r="H277">
        <v>11.1</v>
      </c>
      <c r="I277">
        <v>11</v>
      </c>
      <c r="J277">
        <v>320834</v>
      </c>
      <c r="K277">
        <v>518144</v>
      </c>
      <c r="L277" t="s">
        <v>24</v>
      </c>
      <c r="M277" t="s">
        <v>319</v>
      </c>
      <c r="N277" t="s">
        <v>26</v>
      </c>
      <c r="O277" t="s">
        <v>21</v>
      </c>
      <c r="P277" t="s">
        <v>22</v>
      </c>
      <c r="Q277" t="s">
        <v>23</v>
      </c>
      <c r="R277" t="b">
        <f>OR(Таблица1[[#This Row],[Ежемесячный платеж]]&lt;$AC$5, Таблица1[[#This Row],[Ежемесячный платеж]]&gt;$AC$6)</f>
        <v>0</v>
      </c>
      <c r="S277" s="9">
        <f>(Таблица1[[#This Row],[Размер кредита]]-21824)/(789096-21824)</f>
        <v>0.12664869824521161</v>
      </c>
      <c r="T277" s="9">
        <f>(Таблица1[[#This Row],[Кредитный рейтинг]]-586)/(751-586)</f>
        <v>0.60606060606060608</v>
      </c>
      <c r="U277" s="9">
        <f>Таблица1[[#This Row],[Ежемесячный платеж]]/(Таблица1[[#This Row],[Годовой доход]]/12)</f>
        <v>0.20900009890218577</v>
      </c>
    </row>
    <row r="278" spans="1:21" x14ac:dyDescent="0.3">
      <c r="A278">
        <v>277</v>
      </c>
      <c r="B278">
        <v>0</v>
      </c>
      <c r="C278" s="9">
        <v>334356</v>
      </c>
      <c r="D278">
        <v>749</v>
      </c>
      <c r="E278" s="1">
        <v>1636318</v>
      </c>
      <c r="F278">
        <v>0</v>
      </c>
      <c r="G278">
        <v>25635.75</v>
      </c>
      <c r="H278">
        <v>11.7</v>
      </c>
      <c r="I278">
        <v>15</v>
      </c>
      <c r="J278">
        <v>271928</v>
      </c>
      <c r="K278">
        <v>1363098</v>
      </c>
      <c r="L278" t="s">
        <v>41</v>
      </c>
      <c r="M278" t="s">
        <v>320</v>
      </c>
      <c r="N278" t="s">
        <v>20</v>
      </c>
      <c r="O278" t="s">
        <v>28</v>
      </c>
      <c r="P278" t="s">
        <v>22</v>
      </c>
      <c r="Q278" t="s">
        <v>36</v>
      </c>
      <c r="R278" t="b">
        <f>OR(Таблица1[[#This Row],[Ежемесячный платеж]]&lt;$AC$5, Таблица1[[#This Row],[Ежемесячный платеж]]&gt;$AC$6)</f>
        <v>0</v>
      </c>
      <c r="S278" s="9">
        <f>(Таблица1[[#This Row],[Размер кредита]]-21824)/(789096-21824)</f>
        <v>0.40732882211262761</v>
      </c>
      <c r="T278" s="9">
        <f>(Таблица1[[#This Row],[Кредитный рейтинг]]-586)/(751-586)</f>
        <v>0.98787878787878791</v>
      </c>
      <c r="U278" s="9">
        <f>Таблица1[[#This Row],[Ежемесячный платеж]]/(Таблица1[[#This Row],[Годовой доход]]/12)</f>
        <v>0.18800074313183621</v>
      </c>
    </row>
    <row r="279" spans="1:21" x14ac:dyDescent="0.3">
      <c r="A279">
        <v>278</v>
      </c>
      <c r="B279">
        <v>1</v>
      </c>
      <c r="C279" s="9">
        <v>266926</v>
      </c>
      <c r="D279">
        <v>725</v>
      </c>
      <c r="E279" s="1">
        <v>1632936</v>
      </c>
      <c r="F279">
        <v>0</v>
      </c>
      <c r="G279">
        <v>20139.43</v>
      </c>
      <c r="H279">
        <v>16</v>
      </c>
      <c r="I279">
        <v>10</v>
      </c>
      <c r="J279">
        <v>119586</v>
      </c>
      <c r="K279">
        <v>422180</v>
      </c>
      <c r="L279" t="s">
        <v>24</v>
      </c>
      <c r="M279" t="s">
        <v>321</v>
      </c>
      <c r="N279" t="s">
        <v>26</v>
      </c>
      <c r="O279" t="s">
        <v>21</v>
      </c>
      <c r="P279" t="s">
        <v>31</v>
      </c>
      <c r="Q279" t="s">
        <v>23</v>
      </c>
      <c r="R279" t="b">
        <f>OR(Таблица1[[#This Row],[Ежемесячный платеж]]&lt;$AC$5, Таблица1[[#This Row],[Ежемесячный платеж]]&gt;$AC$6)</f>
        <v>0</v>
      </c>
      <c r="S279" s="9">
        <f>(Таблица1[[#This Row],[Размер кредита]]-21824)/(789096-21824)</f>
        <v>0.31944603738960892</v>
      </c>
      <c r="T279" s="9">
        <f>(Таблица1[[#This Row],[Кредитный рейтинг]]-586)/(751-586)</f>
        <v>0.84242424242424241</v>
      </c>
      <c r="U279" s="9">
        <f>Таблица1[[#This Row],[Ежемесячный платеж]]/(Таблица1[[#This Row],[Годовой доход]]/12)</f>
        <v>0.14799916224518292</v>
      </c>
    </row>
    <row r="280" spans="1:21" x14ac:dyDescent="0.3">
      <c r="A280">
        <v>279</v>
      </c>
      <c r="B280">
        <v>0</v>
      </c>
      <c r="C280" s="9">
        <v>224796</v>
      </c>
      <c r="D280">
        <v>681</v>
      </c>
      <c r="E280" s="1">
        <v>573819</v>
      </c>
      <c r="F280">
        <v>20</v>
      </c>
      <c r="G280">
        <v>4925.37</v>
      </c>
      <c r="H280">
        <v>11.4</v>
      </c>
      <c r="I280">
        <v>6</v>
      </c>
      <c r="J280">
        <v>115862</v>
      </c>
      <c r="K280">
        <v>296780</v>
      </c>
      <c r="L280" t="s">
        <v>63</v>
      </c>
      <c r="M280" t="s">
        <v>322</v>
      </c>
      <c r="N280" t="s">
        <v>71</v>
      </c>
      <c r="O280" t="s">
        <v>28</v>
      </c>
      <c r="P280" t="s">
        <v>22</v>
      </c>
      <c r="Q280" t="s">
        <v>36</v>
      </c>
      <c r="R280" t="b">
        <f>OR(Таблица1[[#This Row],[Ежемесячный платеж]]&lt;$AC$5, Таблица1[[#This Row],[Ежемесячный платеж]]&gt;$AC$6)</f>
        <v>0</v>
      </c>
      <c r="S280" s="9">
        <f>(Таблица1[[#This Row],[Размер кредита]]-21824)/(789096-21824)</f>
        <v>0.26453721757082233</v>
      </c>
      <c r="T280" s="9">
        <f>(Таблица1[[#This Row],[Кредитный рейтинг]]-586)/(751-586)</f>
        <v>0.5757575757575758</v>
      </c>
      <c r="U280" s="9">
        <f>Таблица1[[#This Row],[Ежемесячный платеж]]/(Таблица1[[#This Row],[Годовой доход]]/12)</f>
        <v>0.10300188735472335</v>
      </c>
    </row>
    <row r="281" spans="1:21" x14ac:dyDescent="0.3">
      <c r="A281">
        <v>280</v>
      </c>
      <c r="B281">
        <v>1</v>
      </c>
      <c r="C281" s="9">
        <v>401852</v>
      </c>
      <c r="D281">
        <v>725</v>
      </c>
      <c r="E281" s="1">
        <v>1263785</v>
      </c>
      <c r="F281">
        <v>39</v>
      </c>
      <c r="G281">
        <v>15059.97</v>
      </c>
      <c r="H281">
        <v>15.3</v>
      </c>
      <c r="I281">
        <v>6</v>
      </c>
      <c r="J281">
        <v>58482</v>
      </c>
      <c r="K281">
        <v>101376</v>
      </c>
      <c r="L281" t="s">
        <v>24</v>
      </c>
      <c r="M281" t="s">
        <v>323</v>
      </c>
      <c r="N281" t="s">
        <v>26</v>
      </c>
      <c r="O281" t="s">
        <v>21</v>
      </c>
      <c r="P281" t="s">
        <v>31</v>
      </c>
      <c r="Q281" t="s">
        <v>23</v>
      </c>
      <c r="R281" t="b">
        <f>OR(Таблица1[[#This Row],[Ежемесячный платеж]]&lt;$AC$5, Таблица1[[#This Row],[Ежемесячный платеж]]&gt;$AC$6)</f>
        <v>0</v>
      </c>
      <c r="S281" s="9">
        <f>(Таблица1[[#This Row],[Размер кредита]]-21824)/(789096-21824)</f>
        <v>0.49529762587452691</v>
      </c>
      <c r="T281" s="9">
        <f>(Таблица1[[#This Row],[Кредитный рейтинг]]-586)/(751-586)</f>
        <v>0.84242424242424241</v>
      </c>
      <c r="U281" s="9">
        <f>Таблица1[[#This Row],[Ежемесячный платеж]]/(Таблица1[[#This Row],[Годовой доход]]/12)</f>
        <v>0.14299872209276102</v>
      </c>
    </row>
    <row r="282" spans="1:21" x14ac:dyDescent="0.3">
      <c r="A282">
        <v>281</v>
      </c>
      <c r="B282">
        <v>0</v>
      </c>
      <c r="C282" s="9">
        <v>309540</v>
      </c>
      <c r="D282">
        <f>$Y$13</f>
        <v>723</v>
      </c>
      <c r="E282">
        <f>$AB$13</f>
        <v>1168044</v>
      </c>
      <c r="F282">
        <v>0</v>
      </c>
      <c r="G282">
        <v>26895.83</v>
      </c>
      <c r="H282">
        <v>16.5</v>
      </c>
      <c r="I282">
        <v>12</v>
      </c>
      <c r="J282">
        <v>79686</v>
      </c>
      <c r="K282">
        <v>262108</v>
      </c>
      <c r="L282" t="s">
        <v>50</v>
      </c>
      <c r="M282" t="s">
        <v>324</v>
      </c>
      <c r="N282" t="s">
        <v>26</v>
      </c>
      <c r="O282" t="s">
        <v>21</v>
      </c>
      <c r="P282" t="s">
        <v>22</v>
      </c>
      <c r="Q282" t="s">
        <v>23</v>
      </c>
      <c r="R282" t="b">
        <f>OR(Таблица1[[#This Row],[Ежемесячный платеж]]&lt;$AC$5, Таблица1[[#This Row],[Ежемесячный платеж]]&gt;$AC$6)</f>
        <v>0</v>
      </c>
      <c r="S282" s="9">
        <f>(Таблица1[[#This Row],[Размер кредита]]-21824)/(789096-21824)</f>
        <v>0.37498566349351992</v>
      </c>
      <c r="T282" s="9">
        <f>(Таблица1[[#This Row],[Кредитный рейтинг]]-586)/(751-586)</f>
        <v>0.83030303030303032</v>
      </c>
      <c r="U282" s="9">
        <f>Таблица1[[#This Row],[Ежемесячный платеж]]/(Таблица1[[#This Row],[Годовой доход]]/12)</f>
        <v>0.27631661136053098</v>
      </c>
    </row>
    <row r="283" spans="1:21" x14ac:dyDescent="0.3">
      <c r="A283">
        <v>282</v>
      </c>
      <c r="B283">
        <v>0</v>
      </c>
      <c r="C283" s="9">
        <v>273482</v>
      </c>
      <c r="D283">
        <v>693</v>
      </c>
      <c r="E283" s="1">
        <v>1115699</v>
      </c>
      <c r="F283">
        <v>51</v>
      </c>
      <c r="G283">
        <v>13667.27</v>
      </c>
      <c r="H283">
        <v>15.9</v>
      </c>
      <c r="I283">
        <v>6</v>
      </c>
      <c r="J283">
        <v>65683</v>
      </c>
      <c r="K283">
        <v>109758</v>
      </c>
      <c r="L283" t="s">
        <v>24</v>
      </c>
      <c r="M283" t="s">
        <v>325</v>
      </c>
      <c r="N283" t="s">
        <v>26</v>
      </c>
      <c r="O283" t="s">
        <v>21</v>
      </c>
      <c r="P283" t="s">
        <v>31</v>
      </c>
      <c r="Q283" t="s">
        <v>23</v>
      </c>
      <c r="R283" t="b">
        <f>OR(Таблица1[[#This Row],[Ежемесячный платеж]]&lt;$AC$5, Таблица1[[#This Row],[Ежемесячный платеж]]&gt;$AC$6)</f>
        <v>0</v>
      </c>
      <c r="S283" s="9">
        <f>(Таблица1[[#This Row],[Размер кредита]]-21824)/(789096-21824)</f>
        <v>0.32799059525174906</v>
      </c>
      <c r="T283" s="9">
        <f>(Таблица1[[#This Row],[Кредитный рейтинг]]-586)/(751-586)</f>
        <v>0.64848484848484844</v>
      </c>
      <c r="U283" s="9">
        <f>Таблица1[[#This Row],[Ежемесячный платеж]]/(Таблица1[[#This Row],[Годовой доход]]/12)</f>
        <v>0.14699954019856609</v>
      </c>
    </row>
    <row r="284" spans="1:21" x14ac:dyDescent="0.3">
      <c r="A284">
        <v>283</v>
      </c>
      <c r="B284">
        <v>0</v>
      </c>
      <c r="C284" s="9">
        <v>323708</v>
      </c>
      <c r="D284">
        <v>723</v>
      </c>
      <c r="E284" s="1">
        <v>1640061</v>
      </c>
      <c r="F284">
        <v>31</v>
      </c>
      <c r="G284">
        <v>21047.439999999999</v>
      </c>
      <c r="H284">
        <v>21.2</v>
      </c>
      <c r="I284">
        <v>14</v>
      </c>
      <c r="J284">
        <v>546782</v>
      </c>
      <c r="K284">
        <v>924242</v>
      </c>
      <c r="L284" t="s">
        <v>29</v>
      </c>
      <c r="M284" t="s">
        <v>326</v>
      </c>
      <c r="N284" t="s">
        <v>26</v>
      </c>
      <c r="O284" t="s">
        <v>34</v>
      </c>
      <c r="P284" t="s">
        <v>22</v>
      </c>
      <c r="Q284" t="s">
        <v>23</v>
      </c>
      <c r="R284" t="b">
        <f>OR(Таблица1[[#This Row],[Ежемесячный платеж]]&lt;$AC$5, Таблица1[[#This Row],[Ежемесячный платеж]]&gt;$AC$6)</f>
        <v>0</v>
      </c>
      <c r="S284" s="9">
        <f>(Таблица1[[#This Row],[Размер кредита]]-21824)/(789096-21824)</f>
        <v>0.39345108383988991</v>
      </c>
      <c r="T284" s="9">
        <f>(Таблица1[[#This Row],[Кредитный рейтинг]]-586)/(751-586)</f>
        <v>0.83030303030303032</v>
      </c>
      <c r="U284" s="9">
        <f>Таблица1[[#This Row],[Ежемесячный платеж]]/(Таблица1[[#This Row],[Годовой доход]]/12)</f>
        <v>0.15399993049039029</v>
      </c>
    </row>
    <row r="285" spans="1:21" x14ac:dyDescent="0.3">
      <c r="A285">
        <v>284</v>
      </c>
      <c r="B285">
        <v>0</v>
      </c>
      <c r="C285" s="9">
        <v>88528</v>
      </c>
      <c r="D285">
        <v>696</v>
      </c>
      <c r="E285" s="1">
        <v>993833</v>
      </c>
      <c r="F285">
        <v>35</v>
      </c>
      <c r="G285">
        <v>2550.94</v>
      </c>
      <c r="H285">
        <v>20.8</v>
      </c>
      <c r="I285">
        <v>11</v>
      </c>
      <c r="J285">
        <v>38532</v>
      </c>
      <c r="K285">
        <v>241142</v>
      </c>
      <c r="L285" t="s">
        <v>41</v>
      </c>
      <c r="M285" t="s">
        <v>327</v>
      </c>
      <c r="N285" t="s">
        <v>26</v>
      </c>
      <c r="O285" t="s">
        <v>34</v>
      </c>
      <c r="P285" t="s">
        <v>22</v>
      </c>
      <c r="Q285" t="s">
        <v>36</v>
      </c>
      <c r="R285" t="b">
        <f>OR(Таблица1[[#This Row],[Ежемесячный платеж]]&lt;$AC$5, Таблица1[[#This Row],[Ежемесячный платеж]]&gt;$AC$6)</f>
        <v>0</v>
      </c>
      <c r="S285" s="9">
        <f>(Таблица1[[#This Row],[Размер кредита]]-21824)/(789096-21824)</f>
        <v>8.6936575295332039E-2</v>
      </c>
      <c r="T285" s="9">
        <f>(Таблица1[[#This Row],[Кредитный рейтинг]]-586)/(751-586)</f>
        <v>0.66666666666666663</v>
      </c>
      <c r="U285" s="9">
        <f>Таблица1[[#This Row],[Ежемесячный платеж]]/(Таблица1[[#This Row],[Годовой доход]]/12)</f>
        <v>3.0801231192765784E-2</v>
      </c>
    </row>
    <row r="286" spans="1:21" x14ac:dyDescent="0.3">
      <c r="A286">
        <v>285</v>
      </c>
      <c r="B286">
        <v>0</v>
      </c>
      <c r="C286" s="9">
        <v>249568</v>
      </c>
      <c r="D286">
        <f>$Y$13</f>
        <v>723</v>
      </c>
      <c r="E286">
        <f>$AB$13</f>
        <v>1168044</v>
      </c>
      <c r="F286">
        <v>0</v>
      </c>
      <c r="G286">
        <v>12209.21</v>
      </c>
      <c r="H286">
        <v>14.1</v>
      </c>
      <c r="I286">
        <v>17</v>
      </c>
      <c r="J286">
        <v>300048</v>
      </c>
      <c r="K286">
        <v>569536</v>
      </c>
      <c r="L286" t="s">
        <v>29</v>
      </c>
      <c r="M286" t="s">
        <v>328</v>
      </c>
      <c r="N286" t="s">
        <v>26</v>
      </c>
      <c r="O286" t="s">
        <v>21</v>
      </c>
      <c r="P286" t="s">
        <v>22</v>
      </c>
      <c r="Q286" t="s">
        <v>23</v>
      </c>
      <c r="R286" t="b">
        <f>OR(Таблица1[[#This Row],[Ежемесячный платеж]]&lt;$AC$5, Таблица1[[#This Row],[Ежемесячный платеж]]&gt;$AC$6)</f>
        <v>0</v>
      </c>
      <c r="S286" s="9">
        <f>(Таблица1[[#This Row],[Размер кредита]]-21824)/(789096-21824)</f>
        <v>0.29682303016400963</v>
      </c>
      <c r="T286" s="9">
        <f>(Таблица1[[#This Row],[Кредитный рейтинг]]-586)/(751-586)</f>
        <v>0.83030303030303032</v>
      </c>
      <c r="U286" s="9">
        <f>Таблица1[[#This Row],[Ежемесячный платеж]]/(Таблица1[[#This Row],[Годовой доход]]/12)</f>
        <v>0.12543236384930703</v>
      </c>
    </row>
    <row r="287" spans="1:21" x14ac:dyDescent="0.3">
      <c r="A287">
        <v>286</v>
      </c>
      <c r="B287">
        <v>1</v>
      </c>
      <c r="D287">
        <v>713</v>
      </c>
      <c r="E287" s="1">
        <v>606290</v>
      </c>
      <c r="F287">
        <v>0</v>
      </c>
      <c r="G287">
        <v>9145.08</v>
      </c>
      <c r="H287">
        <v>14.7</v>
      </c>
      <c r="I287">
        <v>11</v>
      </c>
      <c r="J287">
        <v>39026</v>
      </c>
      <c r="K287">
        <v>122144</v>
      </c>
      <c r="L287" t="s">
        <v>52</v>
      </c>
      <c r="M287" t="s">
        <v>329</v>
      </c>
      <c r="N287" t="s">
        <v>26</v>
      </c>
      <c r="O287" t="s">
        <v>34</v>
      </c>
      <c r="P287" t="s">
        <v>22</v>
      </c>
      <c r="Q287" t="s">
        <v>23</v>
      </c>
      <c r="R287" t="b">
        <f>OR(Таблица1[[#This Row],[Ежемесячный платеж]]&lt;$AC$5, Таблица1[[#This Row],[Ежемесячный платеж]]&gt;$AC$6)</f>
        <v>0</v>
      </c>
      <c r="T287" s="9">
        <f>(Таблица1[[#This Row],[Кредитный рейтинг]]-586)/(751-586)</f>
        <v>0.76969696969696966</v>
      </c>
      <c r="U287" s="9">
        <f>Таблица1[[#This Row],[Ежемесячный платеж]]/(Таблица1[[#This Row],[Годовой доход]]/12)</f>
        <v>0.18100407395800691</v>
      </c>
    </row>
    <row r="288" spans="1:21" x14ac:dyDescent="0.3">
      <c r="A288">
        <v>287</v>
      </c>
      <c r="B288">
        <v>0</v>
      </c>
      <c r="C288" s="9">
        <v>416834</v>
      </c>
      <c r="D288">
        <f>$Y$13</f>
        <v>723</v>
      </c>
      <c r="E288">
        <f>$AB$13</f>
        <v>1168044</v>
      </c>
      <c r="F288">
        <v>0</v>
      </c>
      <c r="G288">
        <v>17525.79</v>
      </c>
      <c r="H288">
        <v>9.6999999999999993</v>
      </c>
      <c r="I288">
        <v>13</v>
      </c>
      <c r="J288">
        <v>219849</v>
      </c>
      <c r="K288">
        <v>587884</v>
      </c>
      <c r="L288" t="s">
        <v>18</v>
      </c>
      <c r="M288" t="s">
        <v>330</v>
      </c>
      <c r="N288" t="s">
        <v>26</v>
      </c>
      <c r="O288" t="s">
        <v>28</v>
      </c>
      <c r="P288" t="s">
        <v>22</v>
      </c>
      <c r="Q288" t="s">
        <v>23</v>
      </c>
      <c r="R288" t="b">
        <f>OR(Таблица1[[#This Row],[Ежемесячный платеж]]&lt;$AC$5, Таблица1[[#This Row],[Ежемесячный платеж]]&gt;$AC$6)</f>
        <v>0</v>
      </c>
      <c r="S288" s="9">
        <f>(Таблица1[[#This Row],[Размер кредита]]-21824)/(789096-21824)</f>
        <v>0.51482394770042439</v>
      </c>
      <c r="T288" s="9">
        <f>(Таблица1[[#This Row],[Кредитный рейтинг]]-586)/(751-586)</f>
        <v>0.83030303030303032</v>
      </c>
      <c r="U288" s="9">
        <f>Таблица1[[#This Row],[Ежемесячный платеж]]/(Таблица1[[#This Row],[Годовой доход]]/12)</f>
        <v>0.18005270349404648</v>
      </c>
    </row>
    <row r="289" spans="1:21" x14ac:dyDescent="0.3">
      <c r="A289">
        <v>288</v>
      </c>
      <c r="B289">
        <v>0</v>
      </c>
      <c r="C289" s="9">
        <v>110902</v>
      </c>
      <c r="D289">
        <v>697</v>
      </c>
      <c r="E289" s="1">
        <v>2202917</v>
      </c>
      <c r="F289">
        <v>0</v>
      </c>
      <c r="G289">
        <v>30290.18</v>
      </c>
      <c r="H289">
        <v>11.5</v>
      </c>
      <c r="I289">
        <v>20</v>
      </c>
      <c r="J289">
        <v>104291</v>
      </c>
      <c r="K289">
        <v>377366</v>
      </c>
      <c r="L289" t="s">
        <v>32</v>
      </c>
      <c r="M289" t="s">
        <v>331</v>
      </c>
      <c r="N289" t="s">
        <v>26</v>
      </c>
      <c r="O289" t="s">
        <v>34</v>
      </c>
      <c r="P289" t="s">
        <v>22</v>
      </c>
      <c r="Q289" t="s">
        <v>23</v>
      </c>
      <c r="R289" t="b">
        <f>OR(Таблица1[[#This Row],[Ежемесячный платеж]]&lt;$AC$5, Таблица1[[#This Row],[Ежемесячный платеж]]&gt;$AC$6)</f>
        <v>0</v>
      </c>
      <c r="S289" s="9">
        <f>(Таблица1[[#This Row],[Размер кредита]]-21824)/(789096-21824)</f>
        <v>0.11609702947585732</v>
      </c>
      <c r="T289" s="9">
        <f>(Таблица1[[#This Row],[Кредитный рейтинг]]-586)/(751-586)</f>
        <v>0.67272727272727273</v>
      </c>
      <c r="U289" s="9">
        <f>Таблица1[[#This Row],[Ежемесячный платеж]]/(Таблица1[[#This Row],[Годовой доход]]/12)</f>
        <v>0.1650003881217495</v>
      </c>
    </row>
    <row r="290" spans="1:21" x14ac:dyDescent="0.3">
      <c r="A290">
        <v>289</v>
      </c>
      <c r="B290">
        <v>0</v>
      </c>
      <c r="C290" s="9">
        <v>132022</v>
      </c>
      <c r="D290">
        <v>727</v>
      </c>
      <c r="E290" s="1">
        <v>855095</v>
      </c>
      <c r="F290">
        <v>55</v>
      </c>
      <c r="G290">
        <v>14180.08</v>
      </c>
      <c r="H290">
        <v>17.600000000000001</v>
      </c>
      <c r="I290">
        <v>10</v>
      </c>
      <c r="J290">
        <v>130131</v>
      </c>
      <c r="K290">
        <v>251108</v>
      </c>
      <c r="L290" t="s">
        <v>52</v>
      </c>
      <c r="M290" t="s">
        <v>332</v>
      </c>
      <c r="N290" t="s">
        <v>26</v>
      </c>
      <c r="O290" t="s">
        <v>34</v>
      </c>
      <c r="P290" t="s">
        <v>22</v>
      </c>
      <c r="Q290" t="s">
        <v>23</v>
      </c>
      <c r="R290" t="b">
        <f>OR(Таблица1[[#This Row],[Ежемесячный платеж]]&lt;$AC$5, Таблица1[[#This Row],[Ежемесячный платеж]]&gt;$AC$6)</f>
        <v>0</v>
      </c>
      <c r="S290" s="9">
        <f>(Таблица1[[#This Row],[Размер кредита]]-21824)/(789096-21824)</f>
        <v>0.14362312191765111</v>
      </c>
      <c r="T290" s="9">
        <f>(Таблица1[[#This Row],[Кредитный рейтинг]]-586)/(751-586)</f>
        <v>0.8545454545454545</v>
      </c>
      <c r="U290" s="9">
        <f>Таблица1[[#This Row],[Ежемесячный платеж]]/(Таблица1[[#This Row],[Годовой доход]]/12)</f>
        <v>0.19899655593822907</v>
      </c>
    </row>
    <row r="291" spans="1:21" x14ac:dyDescent="0.3">
      <c r="A291">
        <v>290</v>
      </c>
      <c r="B291">
        <v>1</v>
      </c>
      <c r="C291" s="9">
        <v>277948</v>
      </c>
      <c r="D291">
        <v>707</v>
      </c>
      <c r="E291" s="1">
        <v>1118948</v>
      </c>
      <c r="F291">
        <v>63</v>
      </c>
      <c r="G291">
        <v>29465.58</v>
      </c>
      <c r="H291">
        <v>15.7</v>
      </c>
      <c r="I291">
        <v>11</v>
      </c>
      <c r="J291">
        <v>66994</v>
      </c>
      <c r="K291">
        <v>129294</v>
      </c>
      <c r="L291" t="s">
        <v>24</v>
      </c>
      <c r="M291" t="s">
        <v>333</v>
      </c>
      <c r="N291" t="s">
        <v>26</v>
      </c>
      <c r="O291" t="s">
        <v>34</v>
      </c>
      <c r="P291" t="s">
        <v>22</v>
      </c>
      <c r="Q291" t="s">
        <v>23</v>
      </c>
      <c r="R291" t="b">
        <f>OR(Таблица1[[#This Row],[Ежемесячный платеж]]&lt;$AC$5, Таблица1[[#This Row],[Ежемесячный платеж]]&gt;$AC$6)</f>
        <v>0</v>
      </c>
      <c r="S291" s="9">
        <f>(Таблица1[[#This Row],[Размер кредита]]-21824)/(789096-21824)</f>
        <v>0.33381121688267001</v>
      </c>
      <c r="T291" s="9">
        <f>(Таблица1[[#This Row],[Кредитный рейтинг]]-586)/(751-586)</f>
        <v>0.73333333333333328</v>
      </c>
      <c r="U291" s="9">
        <f>Таблица1[[#This Row],[Ежемесячный платеж]]/(Таблица1[[#This Row],[Годовой доход]]/12)</f>
        <v>0.3159994566324798</v>
      </c>
    </row>
    <row r="292" spans="1:21" x14ac:dyDescent="0.3">
      <c r="A292">
        <v>291</v>
      </c>
      <c r="B292">
        <v>0</v>
      </c>
      <c r="C292" s="9">
        <v>219186</v>
      </c>
      <c r="D292">
        <v>748</v>
      </c>
      <c r="E292" s="1">
        <v>2233697</v>
      </c>
      <c r="F292">
        <v>37</v>
      </c>
      <c r="G292">
        <v>14779.72</v>
      </c>
      <c r="H292">
        <v>20.6</v>
      </c>
      <c r="I292">
        <v>11</v>
      </c>
      <c r="J292">
        <v>281618</v>
      </c>
      <c r="K292">
        <v>939708</v>
      </c>
      <c r="L292" t="s">
        <v>29</v>
      </c>
      <c r="M292" t="s">
        <v>334</v>
      </c>
      <c r="N292" t="s">
        <v>26</v>
      </c>
      <c r="O292" t="s">
        <v>21</v>
      </c>
      <c r="P292" t="s">
        <v>22</v>
      </c>
      <c r="Q292" t="s">
        <v>23</v>
      </c>
      <c r="R292" t="b">
        <f>OR(Таблица1[[#This Row],[Ежемесячный платеж]]&lt;$AC$5, Таблица1[[#This Row],[Ежемесячный платеж]]&gt;$AC$6)</f>
        <v>0</v>
      </c>
      <c r="S292" s="9">
        <f>(Таблица1[[#This Row],[Размер кредита]]-21824)/(789096-21824)</f>
        <v>0.25722559926597088</v>
      </c>
      <c r="T292" s="9">
        <f>(Таблица1[[#This Row],[Кредитный рейтинг]]-586)/(751-586)</f>
        <v>0.98181818181818181</v>
      </c>
      <c r="U292" s="9">
        <f>Таблица1[[#This Row],[Ежемесячный платеж]]/(Таблица1[[#This Row],[Годовой доход]]/12)</f>
        <v>7.9400491651284849E-2</v>
      </c>
    </row>
    <row r="293" spans="1:21" x14ac:dyDescent="0.3">
      <c r="A293">
        <v>292</v>
      </c>
      <c r="B293">
        <v>0</v>
      </c>
      <c r="C293" s="9">
        <v>178684</v>
      </c>
      <c r="D293">
        <v>739</v>
      </c>
      <c r="E293" s="1">
        <v>1176727</v>
      </c>
      <c r="F293">
        <v>45</v>
      </c>
      <c r="G293">
        <v>19514.14</v>
      </c>
      <c r="H293">
        <v>20.7</v>
      </c>
      <c r="I293">
        <v>11</v>
      </c>
      <c r="J293">
        <v>192337</v>
      </c>
      <c r="K293">
        <v>281534</v>
      </c>
      <c r="L293" t="s">
        <v>41</v>
      </c>
      <c r="M293" t="s">
        <v>335</v>
      </c>
      <c r="N293" t="s">
        <v>26</v>
      </c>
      <c r="O293" t="s">
        <v>34</v>
      </c>
      <c r="P293" t="s">
        <v>22</v>
      </c>
      <c r="Q293" t="s">
        <v>23</v>
      </c>
      <c r="R293" t="b">
        <f>OR(Таблица1[[#This Row],[Ежемесячный платеж]]&lt;$AC$5, Таблица1[[#This Row],[Ежемесячный платеж]]&gt;$AC$6)</f>
        <v>0</v>
      </c>
      <c r="S293" s="9">
        <f>(Таблица1[[#This Row],[Размер кредита]]-21824)/(789096-21824)</f>
        <v>0.20443858240623924</v>
      </c>
      <c r="T293" s="9">
        <f>(Таблица1[[#This Row],[Кредитный рейтинг]]-586)/(751-586)</f>
        <v>0.92727272727272725</v>
      </c>
      <c r="U293" s="9">
        <f>Таблица1[[#This Row],[Ежемесячный платеж]]/(Таблица1[[#This Row],[Годовой доход]]/12)</f>
        <v>0.19900085576348636</v>
      </c>
    </row>
    <row r="294" spans="1:21" x14ac:dyDescent="0.3">
      <c r="A294">
        <v>293</v>
      </c>
      <c r="B294">
        <v>1</v>
      </c>
      <c r="C294" s="9">
        <v>108526</v>
      </c>
      <c r="D294">
        <v>743</v>
      </c>
      <c r="E294" s="1">
        <v>1312045</v>
      </c>
      <c r="F294">
        <v>56</v>
      </c>
      <c r="G294">
        <v>7380.17</v>
      </c>
      <c r="H294">
        <v>19</v>
      </c>
      <c r="I294">
        <v>10</v>
      </c>
      <c r="J294">
        <v>71953</v>
      </c>
      <c r="K294">
        <v>108504</v>
      </c>
      <c r="L294" t="s">
        <v>52</v>
      </c>
      <c r="M294" t="s">
        <v>336</v>
      </c>
      <c r="N294" t="s">
        <v>68</v>
      </c>
      <c r="O294" t="s">
        <v>21</v>
      </c>
      <c r="P294" t="s">
        <v>22</v>
      </c>
      <c r="Q294" t="s">
        <v>23</v>
      </c>
      <c r="R294" t="b">
        <f>OR(Таблица1[[#This Row],[Ежемесячный платеж]]&lt;$AC$5, Таблица1[[#This Row],[Ежемесячный платеж]]&gt;$AC$6)</f>
        <v>0</v>
      </c>
      <c r="S294" s="9">
        <f>(Таблица1[[#This Row],[Размер кредита]]-21824)/(789096-21824)</f>
        <v>0.11300034407615553</v>
      </c>
      <c r="T294" s="9">
        <f>(Таблица1[[#This Row],[Кредитный рейтинг]]-586)/(751-586)</f>
        <v>0.95151515151515154</v>
      </c>
      <c r="U294" s="9">
        <f>Таблица1[[#This Row],[Ежемесячный платеж]]/(Таблица1[[#This Row],[Годовой доход]]/12)</f>
        <v>6.7499239736441966E-2</v>
      </c>
    </row>
    <row r="295" spans="1:21" x14ac:dyDescent="0.3">
      <c r="A295">
        <v>294</v>
      </c>
      <c r="B295">
        <v>0</v>
      </c>
      <c r="C295" s="9">
        <v>222156</v>
      </c>
      <c r="D295">
        <f>$Y$13</f>
        <v>723</v>
      </c>
      <c r="E295">
        <f>$AB$13</f>
        <v>1168044</v>
      </c>
      <c r="F295">
        <v>0</v>
      </c>
      <c r="G295">
        <v>16960.54</v>
      </c>
      <c r="H295">
        <v>15.9</v>
      </c>
      <c r="I295">
        <v>7</v>
      </c>
      <c r="J295">
        <v>170563</v>
      </c>
      <c r="K295">
        <v>339922</v>
      </c>
      <c r="L295" t="s">
        <v>24</v>
      </c>
      <c r="M295" t="s">
        <v>337</v>
      </c>
      <c r="N295" t="s">
        <v>20</v>
      </c>
      <c r="O295" t="s">
        <v>21</v>
      </c>
      <c r="P295" t="s">
        <v>22</v>
      </c>
      <c r="Q295" t="s">
        <v>23</v>
      </c>
      <c r="R295" t="b">
        <f>OR(Таблица1[[#This Row],[Ежемесячный платеж]]&lt;$AC$5, Таблица1[[#This Row],[Ежемесячный платеж]]&gt;$AC$6)</f>
        <v>0</v>
      </c>
      <c r="S295" s="9">
        <f>(Таблица1[[#This Row],[Размер кредита]]-21824)/(789096-21824)</f>
        <v>0.26109645601559811</v>
      </c>
      <c r="T295" s="9">
        <f>(Таблица1[[#This Row],[Кредитный рейтинг]]-586)/(751-586)</f>
        <v>0.83030303030303032</v>
      </c>
      <c r="U295" s="9">
        <f>Таблица1[[#This Row],[Ежемесячный платеж]]/(Таблица1[[#This Row],[Годовой доход]]/12)</f>
        <v>0.17424555924263127</v>
      </c>
    </row>
    <row r="296" spans="1:21" x14ac:dyDescent="0.3">
      <c r="A296">
        <v>295</v>
      </c>
      <c r="B296">
        <v>0</v>
      </c>
      <c r="C296" s="9">
        <v>205524</v>
      </c>
      <c r="D296">
        <v>676</v>
      </c>
      <c r="E296" s="1">
        <v>1167132</v>
      </c>
      <c r="F296">
        <v>41</v>
      </c>
      <c r="G296">
        <v>18479.59</v>
      </c>
      <c r="H296">
        <v>22.5</v>
      </c>
      <c r="I296">
        <v>19</v>
      </c>
      <c r="J296">
        <v>592249</v>
      </c>
      <c r="K296">
        <v>864754</v>
      </c>
      <c r="L296" t="s">
        <v>24</v>
      </c>
      <c r="M296" t="s">
        <v>338</v>
      </c>
      <c r="N296" t="s">
        <v>26</v>
      </c>
      <c r="O296" t="s">
        <v>21</v>
      </c>
      <c r="P296" t="s">
        <v>22</v>
      </c>
      <c r="Q296" t="s">
        <v>23</v>
      </c>
      <c r="R296" t="b">
        <f>OR(Таблица1[[#This Row],[Ежемесячный платеж]]&lt;$AC$5, Таблица1[[#This Row],[Ежемесячный платеж]]&gt;$AC$6)</f>
        <v>0</v>
      </c>
      <c r="S296" s="9">
        <f>(Таблица1[[#This Row],[Размер кредита]]-21824)/(789096-21824)</f>
        <v>0.23941965821768552</v>
      </c>
      <c r="T296" s="9">
        <f>(Таблица1[[#This Row],[Кредитный рейтинг]]-586)/(751-586)</f>
        <v>0.54545454545454541</v>
      </c>
      <c r="U296" s="9">
        <f>Таблица1[[#This Row],[Ежемесячный платеж]]/(Таблица1[[#This Row],[Годовой доход]]/12)</f>
        <v>0.19</v>
      </c>
    </row>
    <row r="297" spans="1:21" x14ac:dyDescent="0.3">
      <c r="A297">
        <v>296</v>
      </c>
      <c r="B297">
        <v>0</v>
      </c>
      <c r="C297" s="9">
        <v>134618</v>
      </c>
      <c r="D297">
        <v>746</v>
      </c>
      <c r="E297" s="1">
        <v>968905</v>
      </c>
      <c r="F297">
        <v>0</v>
      </c>
      <c r="G297">
        <v>16196.74</v>
      </c>
      <c r="H297">
        <v>17</v>
      </c>
      <c r="I297">
        <v>17</v>
      </c>
      <c r="J297">
        <v>202540</v>
      </c>
      <c r="K297">
        <v>1061170</v>
      </c>
      <c r="L297" t="s">
        <v>37</v>
      </c>
      <c r="M297" t="s">
        <v>339</v>
      </c>
      <c r="N297" t="s">
        <v>26</v>
      </c>
      <c r="O297" t="s">
        <v>34</v>
      </c>
      <c r="P297" t="s">
        <v>22</v>
      </c>
      <c r="Q297" t="s">
        <v>36</v>
      </c>
      <c r="R297" t="b">
        <f>OR(Таблица1[[#This Row],[Ежемесячный платеж]]&lt;$AC$5, Таблица1[[#This Row],[Ежемесячный платеж]]&gt;$AC$6)</f>
        <v>0</v>
      </c>
      <c r="S297" s="9">
        <f>(Таблица1[[#This Row],[Размер кредита]]-21824)/(789096-21824)</f>
        <v>0.14700653744695494</v>
      </c>
      <c r="T297" s="9">
        <f>(Таблица1[[#This Row],[Кредитный рейтинг]]-586)/(751-586)</f>
        <v>0.96969696969696972</v>
      </c>
      <c r="U297" s="9">
        <f>Таблица1[[#This Row],[Ежемесячный платеж]]/(Таблица1[[#This Row],[Годовой доход]]/12)</f>
        <v>0.20059849004804395</v>
      </c>
    </row>
    <row r="298" spans="1:21" x14ac:dyDescent="0.3">
      <c r="A298">
        <v>297</v>
      </c>
      <c r="B298">
        <v>0</v>
      </c>
      <c r="C298" s="9">
        <v>94974</v>
      </c>
      <c r="D298">
        <v>694</v>
      </c>
      <c r="E298" s="1">
        <v>301093</v>
      </c>
      <c r="F298">
        <v>0</v>
      </c>
      <c r="G298">
        <v>4842.53</v>
      </c>
      <c r="H298">
        <v>9.3000000000000007</v>
      </c>
      <c r="I298">
        <v>7</v>
      </c>
      <c r="J298">
        <v>162564</v>
      </c>
      <c r="K298">
        <v>341000</v>
      </c>
      <c r="L298" t="s">
        <v>63</v>
      </c>
      <c r="M298" t="s">
        <v>340</v>
      </c>
      <c r="N298" t="s">
        <v>26</v>
      </c>
      <c r="O298" t="s">
        <v>34</v>
      </c>
      <c r="P298" t="s">
        <v>22</v>
      </c>
      <c r="Q298" t="s">
        <v>23</v>
      </c>
      <c r="R298" t="b">
        <f>OR(Таблица1[[#This Row],[Ежемесячный платеж]]&lt;$AC$5, Таблица1[[#This Row],[Ежемесячный платеж]]&gt;$AC$6)</f>
        <v>0</v>
      </c>
      <c r="S298" s="9">
        <f>(Таблица1[[#This Row],[Размер кредита]]-21824)/(789096-21824)</f>
        <v>9.533776809267118E-2</v>
      </c>
      <c r="T298" s="9">
        <f>(Таблица1[[#This Row],[Кредитный рейтинг]]-586)/(751-586)</f>
        <v>0.65454545454545454</v>
      </c>
      <c r="U298" s="9">
        <f>Таблица1[[#This Row],[Ежемесячный платеж]]/(Таблица1[[#This Row],[Годовой доход]]/12)</f>
        <v>0.192998043793778</v>
      </c>
    </row>
    <row r="299" spans="1:21" x14ac:dyDescent="0.3">
      <c r="A299">
        <v>298</v>
      </c>
      <c r="B299">
        <v>0</v>
      </c>
      <c r="C299" s="9">
        <v>523248</v>
      </c>
      <c r="D299">
        <v>668</v>
      </c>
      <c r="E299" s="1">
        <v>1468662</v>
      </c>
      <c r="F299">
        <v>0</v>
      </c>
      <c r="G299">
        <v>39286.68</v>
      </c>
      <c r="H299">
        <v>14.8</v>
      </c>
      <c r="I299">
        <v>9</v>
      </c>
      <c r="J299">
        <v>621585</v>
      </c>
      <c r="K299">
        <v>906466</v>
      </c>
      <c r="L299" t="s">
        <v>18</v>
      </c>
      <c r="M299" t="s">
        <v>341</v>
      </c>
      <c r="N299" t="s">
        <v>26</v>
      </c>
      <c r="O299" t="s">
        <v>28</v>
      </c>
      <c r="P299" t="s">
        <v>31</v>
      </c>
      <c r="Q299" t="s">
        <v>23</v>
      </c>
      <c r="R299" t="b">
        <f>OR(Таблица1[[#This Row],[Ежемесячный платеж]]&lt;$AC$5, Таблица1[[#This Row],[Ежемесячный платеж]]&gt;$AC$6)</f>
        <v>0</v>
      </c>
      <c r="S299" s="9">
        <f>(Таблица1[[#This Row],[Размер кредита]]-21824)/(789096-21824)</f>
        <v>0.65351531138892072</v>
      </c>
      <c r="T299" s="9">
        <f>(Таблица1[[#This Row],[Кредитный рейтинг]]-586)/(751-586)</f>
        <v>0.49696969696969695</v>
      </c>
      <c r="U299" s="9">
        <f>Таблица1[[#This Row],[Ежемесячный платеж]]/(Таблица1[[#This Row],[Годовой доход]]/12)</f>
        <v>0.32099976713498407</v>
      </c>
    </row>
    <row r="300" spans="1:21" x14ac:dyDescent="0.3">
      <c r="A300">
        <v>299</v>
      </c>
      <c r="B300">
        <v>0</v>
      </c>
      <c r="C300" s="9">
        <v>588544</v>
      </c>
      <c r="D300">
        <v>687</v>
      </c>
      <c r="E300" s="1">
        <v>1491158</v>
      </c>
      <c r="F300">
        <v>71</v>
      </c>
      <c r="G300">
        <v>15284.36</v>
      </c>
      <c r="H300">
        <v>16.3</v>
      </c>
      <c r="I300">
        <v>17</v>
      </c>
      <c r="J300">
        <v>428963</v>
      </c>
      <c r="K300">
        <v>1118722</v>
      </c>
      <c r="L300" t="s">
        <v>32</v>
      </c>
      <c r="M300" t="s">
        <v>342</v>
      </c>
      <c r="N300" t="s">
        <v>26</v>
      </c>
      <c r="O300" t="s">
        <v>21</v>
      </c>
      <c r="P300" t="s">
        <v>31</v>
      </c>
      <c r="Q300" t="s">
        <v>23</v>
      </c>
      <c r="R300" t="b">
        <f>OR(Таблица1[[#This Row],[Ежемесячный платеж]]&lt;$AC$5, Таблица1[[#This Row],[Ежемесячный платеж]]&gt;$AC$6)</f>
        <v>0</v>
      </c>
      <c r="S300" s="9">
        <f>(Таблица1[[#This Row],[Размер кредита]]-21824)/(789096-21824)</f>
        <v>0.73861681385479983</v>
      </c>
      <c r="T300" s="9">
        <f>(Таблица1[[#This Row],[Кредитный рейтинг]]-586)/(751-586)</f>
        <v>0.61212121212121207</v>
      </c>
      <c r="U300" s="9">
        <f>Таблица1[[#This Row],[Ежемесячный платеж]]/(Таблица1[[#This Row],[Годовой доход]]/12)</f>
        <v>0.1229999235493489</v>
      </c>
    </row>
    <row r="301" spans="1:21" x14ac:dyDescent="0.3">
      <c r="A301">
        <v>300</v>
      </c>
      <c r="B301">
        <v>0</v>
      </c>
      <c r="D301">
        <v>725</v>
      </c>
      <c r="E301" s="1">
        <v>2229137</v>
      </c>
      <c r="F301">
        <v>8</v>
      </c>
      <c r="G301">
        <v>14656.6</v>
      </c>
      <c r="H301">
        <v>19.899999999999999</v>
      </c>
      <c r="I301">
        <v>6</v>
      </c>
      <c r="J301">
        <v>125742</v>
      </c>
      <c r="K301">
        <v>224334</v>
      </c>
      <c r="L301" t="s">
        <v>37</v>
      </c>
      <c r="M301" t="s">
        <v>343</v>
      </c>
      <c r="N301" t="s">
        <v>26</v>
      </c>
      <c r="O301" t="s">
        <v>34</v>
      </c>
      <c r="P301" t="s">
        <v>22</v>
      </c>
      <c r="Q301" t="s">
        <v>23</v>
      </c>
      <c r="R301" t="b">
        <f>OR(Таблица1[[#This Row],[Ежемесячный платеж]]&lt;$AC$5, Таблица1[[#This Row],[Ежемесячный платеж]]&gt;$AC$6)</f>
        <v>0</v>
      </c>
      <c r="T301" s="9">
        <f>(Таблица1[[#This Row],[Кредитный рейтинг]]-586)/(751-586)</f>
        <v>0.84242424242424241</v>
      </c>
      <c r="U301" s="9">
        <f>Таблица1[[#This Row],[Ежемесячный платеж]]/(Таблица1[[#This Row],[Годовой доход]]/12)</f>
        <v>7.8900130409212177E-2</v>
      </c>
    </row>
    <row r="302" spans="1:21" x14ac:dyDescent="0.3">
      <c r="A302">
        <v>301</v>
      </c>
      <c r="B302">
        <v>2</v>
      </c>
      <c r="C302" s="9">
        <v>319330</v>
      </c>
      <c r="D302">
        <f>$Y$13</f>
        <v>723</v>
      </c>
      <c r="E302">
        <f>$AB$13</f>
        <v>1168044</v>
      </c>
      <c r="F302">
        <v>69</v>
      </c>
      <c r="G302">
        <v>35750.400000000001</v>
      </c>
      <c r="H302">
        <v>42.4</v>
      </c>
      <c r="I302">
        <v>17</v>
      </c>
      <c r="J302">
        <v>381995</v>
      </c>
      <c r="K302">
        <v>785598</v>
      </c>
      <c r="L302" t="s">
        <v>24</v>
      </c>
      <c r="M302" t="s">
        <v>344</v>
      </c>
      <c r="N302" t="s">
        <v>26</v>
      </c>
      <c r="O302" t="s">
        <v>21</v>
      </c>
      <c r="P302" t="s">
        <v>22</v>
      </c>
      <c r="Q302" t="s">
        <v>23</v>
      </c>
      <c r="R302" t="b">
        <f>OR(Таблица1[[#This Row],[Ежемесячный платеж]]&lt;$AC$5, Таблица1[[#This Row],[Ежемесячный платеж]]&gt;$AC$6)</f>
        <v>0</v>
      </c>
      <c r="S302" s="9">
        <f>(Таблица1[[#This Row],[Размер кредита]]-21824)/(789096-21824)</f>
        <v>0.38774515426080974</v>
      </c>
      <c r="T302" s="9">
        <f>(Таблица1[[#This Row],[Кредитный рейтинг]]-586)/(751-586)</f>
        <v>0.83030303030303032</v>
      </c>
      <c r="U302" s="9">
        <f>Таблица1[[#This Row],[Ежемесячный платеж]]/(Таблица1[[#This Row],[Годовой доход]]/12)</f>
        <v>0.36728479406597697</v>
      </c>
    </row>
    <row r="303" spans="1:21" x14ac:dyDescent="0.3">
      <c r="A303">
        <v>302</v>
      </c>
      <c r="B303">
        <v>0</v>
      </c>
      <c r="C303" s="9">
        <v>391468</v>
      </c>
      <c r="D303">
        <v>742</v>
      </c>
      <c r="E303" s="1">
        <v>629850</v>
      </c>
      <c r="F303">
        <v>14</v>
      </c>
      <c r="G303">
        <v>10025.16</v>
      </c>
      <c r="H303">
        <v>17.8</v>
      </c>
      <c r="I303">
        <v>8</v>
      </c>
      <c r="J303">
        <v>57570</v>
      </c>
      <c r="K303">
        <v>169620</v>
      </c>
      <c r="L303" t="s">
        <v>37</v>
      </c>
      <c r="M303" t="s">
        <v>345</v>
      </c>
      <c r="N303" t="s">
        <v>26</v>
      </c>
      <c r="O303" t="s">
        <v>34</v>
      </c>
      <c r="P303" t="s">
        <v>22</v>
      </c>
      <c r="Q303" t="s">
        <v>23</v>
      </c>
      <c r="R303" t="b">
        <f>OR(Таблица1[[#This Row],[Ежемесячный платеж]]&lt;$AC$5, Таблица1[[#This Row],[Ежемесячный платеж]]&gt;$AC$6)</f>
        <v>0</v>
      </c>
      <c r="S303" s="9">
        <f>(Таблица1[[#This Row],[Размер кредита]]-21824)/(789096-21824)</f>
        <v>0.48176396375731162</v>
      </c>
      <c r="T303" s="9">
        <f>(Таблица1[[#This Row],[Кредитный рейтинг]]-586)/(751-586)</f>
        <v>0.94545454545454544</v>
      </c>
      <c r="U303" s="9">
        <f>Таблица1[[#This Row],[Ежемесячный платеж]]/(Таблица1[[#This Row],[Годовой доход]]/12)</f>
        <v>0.19100090497737557</v>
      </c>
    </row>
    <row r="304" spans="1:21" x14ac:dyDescent="0.3">
      <c r="A304">
        <v>303</v>
      </c>
      <c r="B304">
        <v>0</v>
      </c>
      <c r="D304">
        <v>737</v>
      </c>
      <c r="E304" s="1">
        <v>1054937</v>
      </c>
      <c r="F304">
        <v>53</v>
      </c>
      <c r="G304">
        <v>15472.27</v>
      </c>
      <c r="H304">
        <v>22.8</v>
      </c>
      <c r="I304">
        <v>11</v>
      </c>
      <c r="J304">
        <v>480434</v>
      </c>
      <c r="K304">
        <v>881606</v>
      </c>
      <c r="L304" t="s">
        <v>24</v>
      </c>
      <c r="M304" t="s">
        <v>346</v>
      </c>
      <c r="N304" t="s">
        <v>26</v>
      </c>
      <c r="O304" t="s">
        <v>28</v>
      </c>
      <c r="P304" t="s">
        <v>22</v>
      </c>
      <c r="Q304" t="s">
        <v>23</v>
      </c>
      <c r="R304" t="b">
        <f>OR(Таблица1[[#This Row],[Ежемесячный платеж]]&lt;$AC$5, Таблица1[[#This Row],[Ежемесячный платеж]]&gt;$AC$6)</f>
        <v>0</v>
      </c>
      <c r="T304" s="9">
        <f>(Таблица1[[#This Row],[Кредитный рейтинг]]-586)/(751-586)</f>
        <v>0.91515151515151516</v>
      </c>
      <c r="U304" s="9">
        <f>Таблица1[[#This Row],[Ежемесячный платеж]]/(Таблица1[[#This Row],[Годовой доход]]/12)</f>
        <v>0.17599841507123173</v>
      </c>
    </row>
    <row r="305" spans="1:21" x14ac:dyDescent="0.3">
      <c r="A305">
        <v>304</v>
      </c>
      <c r="B305">
        <v>0</v>
      </c>
      <c r="C305" s="9">
        <v>432168</v>
      </c>
      <c r="D305">
        <v>736</v>
      </c>
      <c r="E305" s="1">
        <v>1343642</v>
      </c>
      <c r="F305">
        <v>0</v>
      </c>
      <c r="G305">
        <v>21386.400000000001</v>
      </c>
      <c r="H305">
        <v>35</v>
      </c>
      <c r="I305">
        <v>16</v>
      </c>
      <c r="J305">
        <v>351329</v>
      </c>
      <c r="K305">
        <v>799216</v>
      </c>
      <c r="L305" t="s">
        <v>24</v>
      </c>
      <c r="M305" t="s">
        <v>347</v>
      </c>
      <c r="N305" t="s">
        <v>26</v>
      </c>
      <c r="O305" t="s">
        <v>34</v>
      </c>
      <c r="P305" t="s">
        <v>22</v>
      </c>
      <c r="Q305" t="s">
        <v>36</v>
      </c>
      <c r="R305" t="b">
        <f>OR(Таблица1[[#This Row],[Ежемесячный платеж]]&lt;$AC$5, Таблица1[[#This Row],[Ежемесячный платеж]]&gt;$AC$6)</f>
        <v>0</v>
      </c>
      <c r="S305" s="9">
        <f>(Таблица1[[#This Row],[Размер кредита]]-21824)/(789096-21824)</f>
        <v>0.53480903773368504</v>
      </c>
      <c r="T305" s="9">
        <f>(Таблица1[[#This Row],[Кредитный рейтинг]]-586)/(751-586)</f>
        <v>0.90909090909090906</v>
      </c>
      <c r="U305" s="9">
        <f>Таблица1[[#This Row],[Ежемесячный платеж]]/(Таблица1[[#This Row],[Годовой доход]]/12)</f>
        <v>0.19100087672162674</v>
      </c>
    </row>
    <row r="306" spans="1:21" x14ac:dyDescent="0.3">
      <c r="A306">
        <v>305</v>
      </c>
      <c r="B306">
        <v>0</v>
      </c>
      <c r="C306" s="9">
        <v>628474</v>
      </c>
      <c r="D306">
        <v>676</v>
      </c>
      <c r="E306" s="1">
        <v>1235741</v>
      </c>
      <c r="F306">
        <v>7</v>
      </c>
      <c r="G306">
        <v>26568.46</v>
      </c>
      <c r="H306">
        <v>26.5</v>
      </c>
      <c r="I306">
        <v>12</v>
      </c>
      <c r="J306">
        <v>252871</v>
      </c>
      <c r="K306">
        <v>603702</v>
      </c>
      <c r="L306" t="s">
        <v>24</v>
      </c>
      <c r="M306" t="s">
        <v>348</v>
      </c>
      <c r="N306" t="s">
        <v>26</v>
      </c>
      <c r="O306" t="s">
        <v>21</v>
      </c>
      <c r="P306" t="s">
        <v>31</v>
      </c>
      <c r="Q306" t="s">
        <v>23</v>
      </c>
      <c r="R306" t="b">
        <f>OR(Таблица1[[#This Row],[Ежемесячный платеж]]&lt;$AC$5, Таблица1[[#This Row],[Ежемесячный платеж]]&gt;$AC$6)</f>
        <v>0</v>
      </c>
      <c r="S306" s="9">
        <f>(Таблица1[[#This Row],[Размер кредита]]-21824)/(789096-21824)</f>
        <v>0.79065833237756622</v>
      </c>
      <c r="T306" s="9">
        <f>(Таблица1[[#This Row],[Кредитный рейтинг]]-586)/(751-586)</f>
        <v>0.54545454545454541</v>
      </c>
      <c r="U306" s="9">
        <f>Таблица1[[#This Row],[Ежемесячный платеж]]/(Таблица1[[#This Row],[Годовой доход]]/12)</f>
        <v>0.2580002767570227</v>
      </c>
    </row>
    <row r="307" spans="1:21" x14ac:dyDescent="0.3">
      <c r="A307">
        <v>306</v>
      </c>
      <c r="B307">
        <v>0</v>
      </c>
      <c r="C307" s="9">
        <v>513524</v>
      </c>
      <c r="D307">
        <v>659</v>
      </c>
      <c r="E307" s="1">
        <v>1115718</v>
      </c>
      <c r="F307">
        <v>0</v>
      </c>
      <c r="G307">
        <v>28543.7</v>
      </c>
      <c r="H307">
        <v>12.5</v>
      </c>
      <c r="I307">
        <v>11</v>
      </c>
      <c r="J307">
        <v>469604</v>
      </c>
      <c r="K307">
        <v>849618</v>
      </c>
      <c r="L307" t="s">
        <v>47</v>
      </c>
      <c r="M307" t="s">
        <v>349</v>
      </c>
      <c r="N307" t="s">
        <v>26</v>
      </c>
      <c r="O307" t="s">
        <v>34</v>
      </c>
      <c r="P307" t="s">
        <v>31</v>
      </c>
      <c r="Q307" t="s">
        <v>36</v>
      </c>
      <c r="R307" t="b">
        <f>OR(Таблица1[[#This Row],[Ежемесячный платеж]]&lt;$AC$5, Таблица1[[#This Row],[Ежемесячный платеж]]&gt;$AC$6)</f>
        <v>0</v>
      </c>
      <c r="S307" s="9">
        <f>(Таблица1[[#This Row],[Размер кредита]]-21824)/(789096-21824)</f>
        <v>0.64084183966051156</v>
      </c>
      <c r="T307" s="9">
        <f>(Таблица1[[#This Row],[Кредитный рейтинг]]-586)/(751-586)</f>
        <v>0.44242424242424244</v>
      </c>
      <c r="U307" s="9">
        <f>Таблица1[[#This Row],[Ежемесячный платеж]]/(Таблица1[[#This Row],[Годовой доход]]/12)</f>
        <v>0.3069990804127925</v>
      </c>
    </row>
    <row r="308" spans="1:21" x14ac:dyDescent="0.3">
      <c r="A308">
        <v>307</v>
      </c>
      <c r="B308">
        <v>0</v>
      </c>
      <c r="C308" s="9">
        <v>765006</v>
      </c>
      <c r="D308">
        <v>736</v>
      </c>
      <c r="E308" s="1">
        <v>6606775</v>
      </c>
      <c r="F308">
        <v>43</v>
      </c>
      <c r="G308">
        <v>5780.94</v>
      </c>
      <c r="H308">
        <v>24.1</v>
      </c>
      <c r="I308">
        <v>11</v>
      </c>
      <c r="J308">
        <v>369170</v>
      </c>
      <c r="K308">
        <v>1978966</v>
      </c>
      <c r="L308" t="s">
        <v>52</v>
      </c>
      <c r="M308" t="s">
        <v>350</v>
      </c>
      <c r="N308" t="s">
        <v>26</v>
      </c>
      <c r="O308" t="s">
        <v>28</v>
      </c>
      <c r="P308" t="s">
        <v>31</v>
      </c>
      <c r="Q308" t="s">
        <v>36</v>
      </c>
      <c r="R308" t="b">
        <f>OR(Таблица1[[#This Row],[Ежемесячный платеж]]&lt;$AC$5, Таблица1[[#This Row],[Ежемесячный платеж]]&gt;$AC$6)</f>
        <v>0</v>
      </c>
      <c r="S308" s="9">
        <f>(Таблица1[[#This Row],[Размер кредита]]-21824)/(789096-21824)</f>
        <v>0.968603050808579</v>
      </c>
      <c r="T308" s="9">
        <f>(Таблица1[[#This Row],[Кредитный рейтинг]]-586)/(751-586)</f>
        <v>0.90909090909090906</v>
      </c>
      <c r="U308" s="9">
        <f>Таблица1[[#This Row],[Ежемесячный платеж]]/(Таблица1[[#This Row],[Годовой доход]]/12)</f>
        <v>1.0500021568768421E-2</v>
      </c>
    </row>
    <row r="309" spans="1:21" x14ac:dyDescent="0.3">
      <c r="A309">
        <v>308</v>
      </c>
      <c r="B309">
        <v>0</v>
      </c>
      <c r="C309" s="9">
        <v>141636</v>
      </c>
      <c r="D309">
        <v>716</v>
      </c>
      <c r="E309" s="1">
        <v>1051175</v>
      </c>
      <c r="F309">
        <v>18</v>
      </c>
      <c r="G309">
        <v>13227.04</v>
      </c>
      <c r="H309">
        <v>12.5</v>
      </c>
      <c r="I309">
        <v>12</v>
      </c>
      <c r="J309">
        <v>151791</v>
      </c>
      <c r="K309">
        <v>201322</v>
      </c>
      <c r="L309" t="s">
        <v>63</v>
      </c>
      <c r="M309" t="s">
        <v>351</v>
      </c>
      <c r="N309" t="s">
        <v>26</v>
      </c>
      <c r="O309" t="s">
        <v>21</v>
      </c>
      <c r="P309" t="s">
        <v>22</v>
      </c>
      <c r="Q309" t="s">
        <v>36</v>
      </c>
      <c r="R309" t="b">
        <f>OR(Таблица1[[#This Row],[Ежемесячный платеж]]&lt;$AC$5, Таблица1[[#This Row],[Ежемесячный платеж]]&gt;$AC$6)</f>
        <v>0</v>
      </c>
      <c r="S309" s="9">
        <f>(Таблица1[[#This Row],[Размер кредита]]-21824)/(789096-21824)</f>
        <v>0.15615322858125932</v>
      </c>
      <c r="T309" s="9">
        <f>(Таблица1[[#This Row],[Кредитный рейтинг]]-586)/(751-586)</f>
        <v>0.78787878787878785</v>
      </c>
      <c r="U309" s="9">
        <f>Таблица1[[#This Row],[Ежемесячный платеж]]/(Таблица1[[#This Row],[Годовой доход]]/12)</f>
        <v>0.15099719837324899</v>
      </c>
    </row>
    <row r="310" spans="1:21" x14ac:dyDescent="0.3">
      <c r="A310">
        <v>309</v>
      </c>
      <c r="B310">
        <v>0</v>
      </c>
      <c r="D310">
        <v>750</v>
      </c>
      <c r="E310" s="1">
        <v>931095</v>
      </c>
      <c r="F310">
        <v>0</v>
      </c>
      <c r="G310">
        <v>2498.5</v>
      </c>
      <c r="H310">
        <v>15.5</v>
      </c>
      <c r="I310">
        <v>5</v>
      </c>
      <c r="J310">
        <v>71459</v>
      </c>
      <c r="K310">
        <v>220044</v>
      </c>
      <c r="L310" t="s">
        <v>47</v>
      </c>
      <c r="M310" t="s">
        <v>352</v>
      </c>
      <c r="N310" t="s">
        <v>68</v>
      </c>
      <c r="O310" t="s">
        <v>34</v>
      </c>
      <c r="P310" t="s">
        <v>22</v>
      </c>
      <c r="Q310" t="s">
        <v>23</v>
      </c>
      <c r="R310" t="b">
        <f>OR(Таблица1[[#This Row],[Ежемесячный платеж]]&lt;$AC$5, Таблица1[[#This Row],[Ежемесячный платеж]]&gt;$AC$6)</f>
        <v>0</v>
      </c>
      <c r="T310" s="9">
        <f>(Таблица1[[#This Row],[Кредитный рейтинг]]-586)/(751-586)</f>
        <v>0.9939393939393939</v>
      </c>
      <c r="U310" s="9">
        <f>Таблица1[[#This Row],[Ежемесячный платеж]]/(Таблица1[[#This Row],[Годовой доход]]/12)</f>
        <v>3.2200795837159471E-2</v>
      </c>
    </row>
    <row r="311" spans="1:21" x14ac:dyDescent="0.3">
      <c r="A311">
        <v>310</v>
      </c>
      <c r="B311">
        <v>0</v>
      </c>
      <c r="C311" s="9">
        <v>130328</v>
      </c>
      <c r="D311">
        <v>740</v>
      </c>
      <c r="E311" s="1">
        <v>1707207</v>
      </c>
      <c r="F311">
        <v>0</v>
      </c>
      <c r="G311">
        <v>12647.73</v>
      </c>
      <c r="H311">
        <v>23</v>
      </c>
      <c r="I311">
        <v>12</v>
      </c>
      <c r="J311">
        <v>445721</v>
      </c>
      <c r="K311">
        <v>757834</v>
      </c>
      <c r="L311" t="s">
        <v>41</v>
      </c>
      <c r="M311" t="s">
        <v>353</v>
      </c>
      <c r="N311" t="s">
        <v>76</v>
      </c>
      <c r="O311" t="s">
        <v>34</v>
      </c>
      <c r="P311" t="s">
        <v>22</v>
      </c>
      <c r="Q311" t="s">
        <v>23</v>
      </c>
      <c r="R311" t="b">
        <f>OR(Таблица1[[#This Row],[Ежемесячный платеж]]&lt;$AC$5, Таблица1[[#This Row],[Ежемесячный платеж]]&gt;$AC$6)</f>
        <v>0</v>
      </c>
      <c r="S311" s="9">
        <f>(Таблица1[[#This Row],[Размер кредита]]-21824)/(789096-21824)</f>
        <v>0.14141529991971558</v>
      </c>
      <c r="T311" s="9">
        <f>(Таблица1[[#This Row],[Кредитный рейтинг]]-586)/(751-586)</f>
        <v>0.93333333333333335</v>
      </c>
      <c r="U311" s="9">
        <f>Таблица1[[#This Row],[Ежемесячный платеж]]/(Таблица1[[#This Row],[Годовой доход]]/12)</f>
        <v>8.8901205301993247E-2</v>
      </c>
    </row>
    <row r="312" spans="1:21" x14ac:dyDescent="0.3">
      <c r="A312">
        <v>311</v>
      </c>
      <c r="B312">
        <v>0</v>
      </c>
      <c r="C312" s="9">
        <v>268664</v>
      </c>
      <c r="D312">
        <v>718</v>
      </c>
      <c r="E312" s="1">
        <v>1160178</v>
      </c>
      <c r="F312">
        <v>0</v>
      </c>
      <c r="G312">
        <v>16049.11</v>
      </c>
      <c r="H312">
        <v>13.3</v>
      </c>
      <c r="I312">
        <v>9</v>
      </c>
      <c r="J312">
        <v>318839</v>
      </c>
      <c r="K312">
        <v>818576</v>
      </c>
      <c r="L312" t="s">
        <v>37</v>
      </c>
      <c r="M312" t="s">
        <v>354</v>
      </c>
      <c r="N312" t="s">
        <v>26</v>
      </c>
      <c r="O312" t="s">
        <v>34</v>
      </c>
      <c r="P312" t="s">
        <v>31</v>
      </c>
      <c r="Q312" t="s">
        <v>23</v>
      </c>
      <c r="R312" t="b">
        <f>OR(Таблица1[[#This Row],[Ежемесячный платеж]]&lt;$AC$5, Таблица1[[#This Row],[Ежемесячный платеж]]&gt;$AC$6)</f>
        <v>0</v>
      </c>
      <c r="S312" s="9">
        <f>(Таблица1[[#This Row],[Размер кредита]]-21824)/(789096-21824)</f>
        <v>0.32171120541346487</v>
      </c>
      <c r="T312" s="9">
        <f>(Таблица1[[#This Row],[Кредитный рейтинг]]-586)/(751-586)</f>
        <v>0.8</v>
      </c>
      <c r="U312" s="9">
        <f>Таблица1[[#This Row],[Ежемесячный платеж]]/(Таблица1[[#This Row],[Годовой доход]]/12)</f>
        <v>0.16599980347843177</v>
      </c>
    </row>
    <row r="313" spans="1:21" x14ac:dyDescent="0.3">
      <c r="A313">
        <v>312</v>
      </c>
      <c r="B313">
        <v>0</v>
      </c>
      <c r="C313" s="9">
        <v>753368</v>
      </c>
      <c r="D313">
        <f>$Y$13</f>
        <v>723</v>
      </c>
      <c r="E313">
        <f>$AB$13</f>
        <v>1168044</v>
      </c>
      <c r="F313">
        <v>0</v>
      </c>
      <c r="G313">
        <v>75878.02</v>
      </c>
      <c r="H313">
        <v>43.3</v>
      </c>
      <c r="I313">
        <v>19</v>
      </c>
      <c r="J313">
        <v>834784</v>
      </c>
      <c r="K313">
        <v>1378872</v>
      </c>
      <c r="L313" t="s">
        <v>52</v>
      </c>
      <c r="M313" t="s">
        <v>355</v>
      </c>
      <c r="N313" t="s">
        <v>68</v>
      </c>
      <c r="O313" t="s">
        <v>21</v>
      </c>
      <c r="P313" t="s">
        <v>22</v>
      </c>
      <c r="Q313" t="s">
        <v>23</v>
      </c>
      <c r="R313" t="b">
        <f>OR(Таблица1[[#This Row],[Ежемесячный платеж]]&lt;$AC$5, Таблица1[[#This Row],[Ежемесячный платеж]]&gt;$AC$6)</f>
        <v>1</v>
      </c>
      <c r="S313" s="9">
        <f>(Таблица1[[#This Row],[Размер кредита]]-21824)/(789096-21824)</f>
        <v>0.95343502695263216</v>
      </c>
      <c r="T313" s="9">
        <f>(Таблица1[[#This Row],[Кредитный рейтинг]]-586)/(751-586)</f>
        <v>0.83030303030303032</v>
      </c>
      <c r="U313" s="9">
        <f>Таблица1[[#This Row],[Ежемесячный платеж]]/(Таблица1[[#This Row],[Годовой доход]]/12)</f>
        <v>0.7795393324224088</v>
      </c>
    </row>
    <row r="314" spans="1:21" x14ac:dyDescent="0.3">
      <c r="A314">
        <v>313</v>
      </c>
      <c r="B314">
        <v>2</v>
      </c>
      <c r="C314" s="9">
        <v>448712</v>
      </c>
      <c r="D314">
        <v>696</v>
      </c>
      <c r="E314" s="1">
        <v>1264602</v>
      </c>
      <c r="F314">
        <v>22</v>
      </c>
      <c r="G314">
        <v>33722.910000000003</v>
      </c>
      <c r="H314">
        <v>16.7</v>
      </c>
      <c r="I314">
        <v>28</v>
      </c>
      <c r="J314">
        <v>328054</v>
      </c>
      <c r="K314">
        <v>895906</v>
      </c>
      <c r="L314" t="s">
        <v>24</v>
      </c>
      <c r="M314" t="s">
        <v>356</v>
      </c>
      <c r="N314" t="s">
        <v>26</v>
      </c>
      <c r="O314" t="s">
        <v>21</v>
      </c>
      <c r="P314" t="s">
        <v>31</v>
      </c>
      <c r="Q314" t="s">
        <v>23</v>
      </c>
      <c r="R314" t="b">
        <f>OR(Таблица1[[#This Row],[Ежемесячный платеж]]&lt;$AC$5, Таблица1[[#This Row],[Ежемесячный платеж]]&gt;$AC$6)</f>
        <v>0</v>
      </c>
      <c r="S314" s="9">
        <f>(Таблица1[[#This Row],[Размер кредита]]-21824)/(789096-21824)</f>
        <v>0.5563711434797568</v>
      </c>
      <c r="T314" s="9">
        <f>(Таблица1[[#This Row],[Кредитный рейтинг]]-586)/(751-586)</f>
        <v>0.66666666666666663</v>
      </c>
      <c r="U314" s="9">
        <f>Таблица1[[#This Row],[Ежемесячный платеж]]/(Таблица1[[#This Row],[Годовой доход]]/12)</f>
        <v>0.32000180293879027</v>
      </c>
    </row>
    <row r="315" spans="1:21" x14ac:dyDescent="0.3">
      <c r="A315">
        <v>314</v>
      </c>
      <c r="B315">
        <v>0</v>
      </c>
      <c r="C315" s="9">
        <v>334686</v>
      </c>
      <c r="D315">
        <v>742</v>
      </c>
      <c r="E315" s="1">
        <v>963490</v>
      </c>
      <c r="F315">
        <v>58</v>
      </c>
      <c r="G315">
        <v>12284.45</v>
      </c>
      <c r="H315">
        <v>20.5</v>
      </c>
      <c r="I315">
        <v>15</v>
      </c>
      <c r="J315">
        <v>406220</v>
      </c>
      <c r="K315">
        <v>863060</v>
      </c>
      <c r="L315" t="s">
        <v>24</v>
      </c>
      <c r="M315" t="s">
        <v>357</v>
      </c>
      <c r="N315" t="s">
        <v>26</v>
      </c>
      <c r="O315" t="s">
        <v>21</v>
      </c>
      <c r="P315" t="s">
        <v>22</v>
      </c>
      <c r="Q315" t="s">
        <v>23</v>
      </c>
      <c r="R315" t="b">
        <f>OR(Таблица1[[#This Row],[Ежемесячный платеж]]&lt;$AC$5, Таблица1[[#This Row],[Ежемесячный платеж]]&gt;$AC$6)</f>
        <v>0</v>
      </c>
      <c r="S315" s="9">
        <f>(Таблица1[[#This Row],[Размер кредита]]-21824)/(789096-21824)</f>
        <v>0.40775891730703062</v>
      </c>
      <c r="T315" s="9">
        <f>(Таблица1[[#This Row],[Кредитный рейтинг]]-586)/(751-586)</f>
        <v>0.94545454545454544</v>
      </c>
      <c r="U315" s="9">
        <f>Таблица1[[#This Row],[Ежемесячный платеж]]/(Таблица1[[#This Row],[Годовой доход]]/12)</f>
        <v>0.15299940840070994</v>
      </c>
    </row>
    <row r="316" spans="1:21" x14ac:dyDescent="0.3">
      <c r="A316">
        <v>315</v>
      </c>
      <c r="B316">
        <v>1</v>
      </c>
      <c r="C316" s="9">
        <v>125004</v>
      </c>
      <c r="D316">
        <f>$Y$13</f>
        <v>723</v>
      </c>
      <c r="E316">
        <f>$AB$13</f>
        <v>1168044</v>
      </c>
      <c r="F316">
        <v>31</v>
      </c>
      <c r="G316">
        <v>27041.75</v>
      </c>
      <c r="H316">
        <v>19.5</v>
      </c>
      <c r="I316">
        <v>18</v>
      </c>
      <c r="J316">
        <v>247342</v>
      </c>
      <c r="K316">
        <v>667568</v>
      </c>
      <c r="L316" t="s">
        <v>32</v>
      </c>
      <c r="M316" t="s">
        <v>358</v>
      </c>
      <c r="N316" t="s">
        <v>68</v>
      </c>
      <c r="O316" t="s">
        <v>34</v>
      </c>
      <c r="P316" t="s">
        <v>22</v>
      </c>
      <c r="Q316" t="s">
        <v>23</v>
      </c>
      <c r="R316" t="b">
        <f>OR(Таблица1[[#This Row],[Ежемесячный платеж]]&lt;$AC$5, Таблица1[[#This Row],[Ежемесячный платеж]]&gt;$AC$6)</f>
        <v>0</v>
      </c>
      <c r="S316" s="9">
        <f>(Таблица1[[#This Row],[Размер кредита]]-21824)/(789096-21824)</f>
        <v>0.1344764307833467</v>
      </c>
      <c r="T316" s="9">
        <f>(Таблица1[[#This Row],[Кредитный рейтинг]]-586)/(751-586)</f>
        <v>0.83030303030303032</v>
      </c>
      <c r="U316" s="9">
        <f>Таблица1[[#This Row],[Ежемесячный платеж]]/(Таблица1[[#This Row],[Годовой доход]]/12)</f>
        <v>0.2778157329689635</v>
      </c>
    </row>
    <row r="317" spans="1:21" x14ac:dyDescent="0.3">
      <c r="A317">
        <v>316</v>
      </c>
      <c r="B317">
        <v>0</v>
      </c>
      <c r="D317">
        <v>728</v>
      </c>
      <c r="E317" s="1">
        <v>311372</v>
      </c>
      <c r="F317">
        <v>0</v>
      </c>
      <c r="G317">
        <v>1873.4</v>
      </c>
      <c r="H317">
        <v>10.5</v>
      </c>
      <c r="I317">
        <v>3</v>
      </c>
      <c r="J317">
        <v>92378</v>
      </c>
      <c r="K317">
        <v>122958</v>
      </c>
      <c r="L317" t="s">
        <v>37</v>
      </c>
      <c r="M317" t="s">
        <v>359</v>
      </c>
      <c r="N317" t="s">
        <v>26</v>
      </c>
      <c r="O317" t="s">
        <v>34</v>
      </c>
      <c r="P317" t="s">
        <v>22</v>
      </c>
      <c r="Q317" t="s">
        <v>23</v>
      </c>
      <c r="R317" t="b">
        <f>OR(Таблица1[[#This Row],[Ежемесячный платеж]]&lt;$AC$5, Таблица1[[#This Row],[Ежемесячный платеж]]&gt;$AC$6)</f>
        <v>0</v>
      </c>
      <c r="T317" s="9">
        <f>(Таблица1[[#This Row],[Кредитный рейтинг]]-586)/(751-586)</f>
        <v>0.8606060606060606</v>
      </c>
      <c r="U317" s="9">
        <f>Таблица1[[#This Row],[Ежемесячный платеж]]/(Таблица1[[#This Row],[Годовой доход]]/12)</f>
        <v>7.2199170124481321E-2</v>
      </c>
    </row>
    <row r="318" spans="1:21" x14ac:dyDescent="0.3">
      <c r="A318">
        <v>317</v>
      </c>
      <c r="B318">
        <v>0</v>
      </c>
      <c r="C318" s="9">
        <v>242616</v>
      </c>
      <c r="D318">
        <f>$Y$13</f>
        <v>723</v>
      </c>
      <c r="E318">
        <f>$AB$13</f>
        <v>1168044</v>
      </c>
      <c r="F318">
        <v>0</v>
      </c>
      <c r="G318">
        <v>41396.25</v>
      </c>
      <c r="H318">
        <v>18</v>
      </c>
      <c r="I318">
        <v>9</v>
      </c>
      <c r="J318">
        <v>522690</v>
      </c>
      <c r="K318">
        <v>745338</v>
      </c>
      <c r="L318" t="s">
        <v>47</v>
      </c>
      <c r="M318" t="s">
        <v>360</v>
      </c>
      <c r="N318" t="s">
        <v>26</v>
      </c>
      <c r="O318" t="s">
        <v>21</v>
      </c>
      <c r="P318" t="s">
        <v>22</v>
      </c>
      <c r="Q318" t="s">
        <v>36</v>
      </c>
      <c r="R318" t="b">
        <f>OR(Таблица1[[#This Row],[Ежемесячный платеж]]&lt;$AC$5, Таблица1[[#This Row],[Ежемесячный платеж]]&gt;$AC$6)</f>
        <v>0</v>
      </c>
      <c r="S318" s="9">
        <f>(Таблица1[[#This Row],[Размер кредита]]-21824)/(789096-21824)</f>
        <v>0.28776235806858586</v>
      </c>
      <c r="T318" s="9">
        <f>(Таблица1[[#This Row],[Кредитный рейтинг]]-586)/(751-586)</f>
        <v>0.83030303030303032</v>
      </c>
      <c r="U318" s="9">
        <f>Таблица1[[#This Row],[Ежемесячный платеж]]/(Таблица1[[#This Row],[Годовой доход]]/12)</f>
        <v>0.42528791723599452</v>
      </c>
    </row>
    <row r="319" spans="1:21" x14ac:dyDescent="0.3">
      <c r="A319">
        <v>318</v>
      </c>
      <c r="B319">
        <v>0</v>
      </c>
      <c r="C319" s="9">
        <v>175076</v>
      </c>
      <c r="D319">
        <v>742</v>
      </c>
      <c r="E319" s="1">
        <v>748486</v>
      </c>
      <c r="F319">
        <v>0</v>
      </c>
      <c r="G319">
        <v>7983.8</v>
      </c>
      <c r="H319">
        <v>36.4</v>
      </c>
      <c r="I319">
        <v>7</v>
      </c>
      <c r="J319">
        <v>184490</v>
      </c>
      <c r="K319">
        <v>240856</v>
      </c>
      <c r="L319" t="s">
        <v>18</v>
      </c>
      <c r="M319" t="s">
        <v>361</v>
      </c>
      <c r="N319" t="s">
        <v>68</v>
      </c>
      <c r="O319" t="s">
        <v>34</v>
      </c>
      <c r="P319" t="s">
        <v>22</v>
      </c>
      <c r="Q319" t="s">
        <v>23</v>
      </c>
      <c r="R319" t="b">
        <f>OR(Таблица1[[#This Row],[Ежемесячный платеж]]&lt;$AC$5, Таблица1[[#This Row],[Ежемесячный платеж]]&gt;$AC$6)</f>
        <v>0</v>
      </c>
      <c r="S319" s="9">
        <f>(Таблица1[[#This Row],[Размер кредита]]-21824)/(789096-21824)</f>
        <v>0.19973620828076613</v>
      </c>
      <c r="T319" s="9">
        <f>(Таблица1[[#This Row],[Кредитный рейтинг]]-586)/(751-586)</f>
        <v>0.94545454545454544</v>
      </c>
      <c r="U319" s="9">
        <f>Таблица1[[#This Row],[Ежемесячный платеж]]/(Таблица1[[#This Row],[Годовой доход]]/12)</f>
        <v>0.12799918769355739</v>
      </c>
    </row>
    <row r="320" spans="1:21" x14ac:dyDescent="0.3">
      <c r="A320">
        <v>319</v>
      </c>
      <c r="B320">
        <v>0</v>
      </c>
      <c r="C320" s="9">
        <v>107712</v>
      </c>
      <c r="D320">
        <v>744</v>
      </c>
      <c r="E320" s="1">
        <v>576688</v>
      </c>
      <c r="F320">
        <v>0</v>
      </c>
      <c r="G320">
        <v>7256.67</v>
      </c>
      <c r="H320">
        <v>13.5</v>
      </c>
      <c r="I320">
        <v>15</v>
      </c>
      <c r="J320">
        <v>263321</v>
      </c>
      <c r="K320">
        <v>671572</v>
      </c>
      <c r="L320" t="s">
        <v>24</v>
      </c>
      <c r="M320" t="s">
        <v>362</v>
      </c>
      <c r="N320" t="s">
        <v>26</v>
      </c>
      <c r="O320" t="s">
        <v>34</v>
      </c>
      <c r="P320" t="s">
        <v>22</v>
      </c>
      <c r="Q320" t="s">
        <v>36</v>
      </c>
      <c r="R320" t="b">
        <f>OR(Таблица1[[#This Row],[Ежемесячный платеж]]&lt;$AC$5, Таблица1[[#This Row],[Ежемесячный платеж]]&gt;$AC$6)</f>
        <v>0</v>
      </c>
      <c r="S320" s="9">
        <f>(Таблица1[[#This Row],[Размер кредита]]-21824)/(789096-21824)</f>
        <v>0.11193944259662805</v>
      </c>
      <c r="T320" s="9">
        <f>(Таблица1[[#This Row],[Кредитный рейтинг]]-586)/(751-586)</f>
        <v>0.95757575757575752</v>
      </c>
      <c r="U320" s="9">
        <f>Таблица1[[#This Row],[Ежемесячный платеж]]/(Таблица1[[#This Row],[Годовой доход]]/12)</f>
        <v>0.15100026357406432</v>
      </c>
    </row>
    <row r="321" spans="1:21" x14ac:dyDescent="0.3">
      <c r="A321">
        <v>320</v>
      </c>
      <c r="B321">
        <v>0</v>
      </c>
      <c r="C321" s="9">
        <v>155210</v>
      </c>
      <c r="D321">
        <v>744</v>
      </c>
      <c r="E321" s="1">
        <v>1053265</v>
      </c>
      <c r="F321">
        <v>0</v>
      </c>
      <c r="G321">
        <v>17466.509999999998</v>
      </c>
      <c r="H321">
        <v>13.3</v>
      </c>
      <c r="I321">
        <v>8</v>
      </c>
      <c r="J321">
        <v>492841</v>
      </c>
      <c r="K321">
        <v>640464</v>
      </c>
      <c r="L321" t="s">
        <v>69</v>
      </c>
      <c r="M321" t="s">
        <v>363</v>
      </c>
      <c r="N321" t="s">
        <v>26</v>
      </c>
      <c r="O321" t="s">
        <v>21</v>
      </c>
      <c r="P321" t="s">
        <v>22</v>
      </c>
      <c r="Q321" t="s">
        <v>23</v>
      </c>
      <c r="R321" t="b">
        <f>OR(Таблица1[[#This Row],[Ежемесячный платеж]]&lt;$AC$5, Таблица1[[#This Row],[Ежемесячный платеж]]&gt;$AC$6)</f>
        <v>0</v>
      </c>
      <c r="S321" s="9">
        <f>(Таблица1[[#This Row],[Размер кредита]]-21824)/(789096-21824)</f>
        <v>0.17384447757770385</v>
      </c>
      <c r="T321" s="9">
        <f>(Таблица1[[#This Row],[Кредитный рейтинг]]-586)/(751-586)</f>
        <v>0.95757575757575752</v>
      </c>
      <c r="U321" s="9">
        <f>Таблица1[[#This Row],[Ежемесячный платеж]]/(Таблица1[[#This Row],[Годовой доход]]/12)</f>
        <v>0.1989984666726797</v>
      </c>
    </row>
    <row r="322" spans="1:21" x14ac:dyDescent="0.3">
      <c r="A322">
        <v>321</v>
      </c>
      <c r="B322">
        <v>0</v>
      </c>
      <c r="D322">
        <v>747</v>
      </c>
      <c r="E322" s="1">
        <v>914432</v>
      </c>
      <c r="F322">
        <v>0</v>
      </c>
      <c r="G322">
        <v>15088.09</v>
      </c>
      <c r="H322">
        <v>16.600000000000001</v>
      </c>
      <c r="I322">
        <v>8</v>
      </c>
      <c r="J322">
        <v>202084</v>
      </c>
      <c r="K322">
        <v>403458</v>
      </c>
      <c r="L322" t="s">
        <v>18</v>
      </c>
      <c r="M322" t="s">
        <v>364</v>
      </c>
      <c r="N322" t="s">
        <v>26</v>
      </c>
      <c r="O322" t="s">
        <v>21</v>
      </c>
      <c r="P322" t="s">
        <v>22</v>
      </c>
      <c r="Q322" t="s">
        <v>23</v>
      </c>
      <c r="R322" t="b">
        <f>OR(Таблица1[[#This Row],[Ежемесячный платеж]]&lt;$AC$5, Таблица1[[#This Row],[Ежемесячный платеж]]&gt;$AC$6)</f>
        <v>0</v>
      </c>
      <c r="T322" s="9">
        <f>(Таблица1[[#This Row],[Кредитный рейтинг]]-586)/(751-586)</f>
        <v>0.97575757575757571</v>
      </c>
      <c r="U322" s="9">
        <f>Таблица1[[#This Row],[Ежемесячный платеж]]/(Таблица1[[#This Row],[Годовой доход]]/12)</f>
        <v>0.19799950132978722</v>
      </c>
    </row>
    <row r="323" spans="1:21" x14ac:dyDescent="0.3">
      <c r="A323">
        <v>322</v>
      </c>
      <c r="B323">
        <v>1</v>
      </c>
      <c r="C323" s="9">
        <v>712404</v>
      </c>
      <c r="D323">
        <v>618</v>
      </c>
      <c r="E323" s="1">
        <v>6283072</v>
      </c>
      <c r="F323">
        <v>45</v>
      </c>
      <c r="G323">
        <v>20262.93</v>
      </c>
      <c r="H323">
        <v>14.7</v>
      </c>
      <c r="I323">
        <v>10</v>
      </c>
      <c r="J323">
        <v>135641</v>
      </c>
      <c r="K323">
        <v>358556</v>
      </c>
      <c r="L323" t="s">
        <v>41</v>
      </c>
      <c r="M323" t="s">
        <v>365</v>
      </c>
      <c r="N323" t="s">
        <v>68</v>
      </c>
      <c r="O323" t="s">
        <v>34</v>
      </c>
      <c r="P323" t="s">
        <v>31</v>
      </c>
      <c r="Q323" t="s">
        <v>23</v>
      </c>
      <c r="R323" t="b">
        <f>OR(Таблица1[[#This Row],[Ежемесячный платеж]]&lt;$AC$5, Таблица1[[#This Row],[Ежемесячный платеж]]&gt;$AC$6)</f>
        <v>0</v>
      </c>
      <c r="S323" s="9">
        <f>(Таблица1[[#This Row],[Размер кредита]]-21824)/(789096-21824)</f>
        <v>0.90004587682073633</v>
      </c>
      <c r="T323" s="9">
        <f>(Таблица1[[#This Row],[Кредитный рейтинг]]-586)/(751-586)</f>
        <v>0.19393939393939394</v>
      </c>
      <c r="U323" s="9">
        <f>Таблица1[[#This Row],[Ежемесячный платеж]]/(Таблица1[[#This Row],[Годовой доход]]/12)</f>
        <v>3.8700043545577704E-2</v>
      </c>
    </row>
    <row r="324" spans="1:21" x14ac:dyDescent="0.3">
      <c r="A324">
        <v>323</v>
      </c>
      <c r="B324">
        <v>0</v>
      </c>
      <c r="C324" s="9">
        <v>753610</v>
      </c>
      <c r="D324">
        <v>676</v>
      </c>
      <c r="E324" s="1">
        <v>2212835</v>
      </c>
      <c r="F324">
        <v>0</v>
      </c>
      <c r="G324">
        <v>35221.06</v>
      </c>
      <c r="H324">
        <v>17.2</v>
      </c>
      <c r="I324">
        <v>17</v>
      </c>
      <c r="J324">
        <v>579158</v>
      </c>
      <c r="K324">
        <v>1086866</v>
      </c>
      <c r="L324" t="s">
        <v>24</v>
      </c>
      <c r="M324" t="s">
        <v>366</v>
      </c>
      <c r="N324" t="s">
        <v>26</v>
      </c>
      <c r="O324" t="s">
        <v>21</v>
      </c>
      <c r="P324" t="s">
        <v>31</v>
      </c>
      <c r="Q324" t="s">
        <v>23</v>
      </c>
      <c r="R324" t="b">
        <f>OR(Таблица1[[#This Row],[Ежемесячный платеж]]&lt;$AC$5, Таблица1[[#This Row],[Ежемесячный платеж]]&gt;$AC$6)</f>
        <v>0</v>
      </c>
      <c r="S324" s="9">
        <f>(Таблица1[[#This Row],[Размер кредита]]-21824)/(789096-21824)</f>
        <v>0.95375043009519445</v>
      </c>
      <c r="T324" s="9">
        <f>(Таблица1[[#This Row],[Кредитный рейтинг]]-586)/(751-586)</f>
        <v>0.54545454545454541</v>
      </c>
      <c r="U324" s="9">
        <f>Таблица1[[#This Row],[Ежемесячный платеж]]/(Таблица1[[#This Row],[Годовой доход]]/12)</f>
        <v>0.19100055810758595</v>
      </c>
    </row>
    <row r="325" spans="1:21" x14ac:dyDescent="0.3">
      <c r="A325">
        <v>324</v>
      </c>
      <c r="B325">
        <v>0</v>
      </c>
      <c r="C325" s="9">
        <v>154748</v>
      </c>
      <c r="D325">
        <v>748</v>
      </c>
      <c r="E325" s="1">
        <v>1603657</v>
      </c>
      <c r="F325">
        <v>0</v>
      </c>
      <c r="G325">
        <v>8539.5499999999993</v>
      </c>
      <c r="H325">
        <v>29.2</v>
      </c>
      <c r="I325">
        <v>11</v>
      </c>
      <c r="J325">
        <v>9842</v>
      </c>
      <c r="K325">
        <v>1425820</v>
      </c>
      <c r="L325" t="s">
        <v>18</v>
      </c>
      <c r="M325" t="s">
        <v>367</v>
      </c>
      <c r="N325" t="s">
        <v>68</v>
      </c>
      <c r="O325" t="s">
        <v>21</v>
      </c>
      <c r="P325" t="s">
        <v>22</v>
      </c>
      <c r="Q325" t="s">
        <v>23</v>
      </c>
      <c r="R325" t="b">
        <f>OR(Таблица1[[#This Row],[Ежемесячный платеж]]&lt;$AC$5, Таблица1[[#This Row],[Ежемесячный платеж]]&gt;$AC$6)</f>
        <v>0</v>
      </c>
      <c r="S325" s="9">
        <f>(Таблица1[[#This Row],[Размер кредита]]-21824)/(789096-21824)</f>
        <v>0.17324234430553961</v>
      </c>
      <c r="T325" s="9">
        <f>(Таблица1[[#This Row],[Кредитный рейтинг]]-586)/(751-586)</f>
        <v>0.98181818181818181</v>
      </c>
      <c r="U325" s="9">
        <f>Таблица1[[#This Row],[Ежемесячный платеж]]/(Таблица1[[#This Row],[Годовой доход]]/12)</f>
        <v>6.3900572254540711E-2</v>
      </c>
    </row>
    <row r="326" spans="1:21" x14ac:dyDescent="0.3">
      <c r="A326">
        <v>325</v>
      </c>
      <c r="B326">
        <v>0</v>
      </c>
      <c r="C326" s="9">
        <v>251416</v>
      </c>
      <c r="D326">
        <v>720</v>
      </c>
      <c r="E326" s="1">
        <v>1057293</v>
      </c>
      <c r="F326">
        <v>0</v>
      </c>
      <c r="G326">
        <v>13480.5</v>
      </c>
      <c r="H326">
        <v>9</v>
      </c>
      <c r="I326">
        <v>12</v>
      </c>
      <c r="J326">
        <v>138377</v>
      </c>
      <c r="K326">
        <v>222838</v>
      </c>
      <c r="L326" t="s">
        <v>69</v>
      </c>
      <c r="M326" t="s">
        <v>368</v>
      </c>
      <c r="N326" t="s">
        <v>76</v>
      </c>
      <c r="O326" t="s">
        <v>21</v>
      </c>
      <c r="P326" t="s">
        <v>22</v>
      </c>
      <c r="Q326" t="s">
        <v>36</v>
      </c>
      <c r="R326" t="b">
        <f>OR(Таблица1[[#This Row],[Ежемесячный платеж]]&lt;$AC$5, Таблица1[[#This Row],[Ежемесячный платеж]]&gt;$AC$6)</f>
        <v>0</v>
      </c>
      <c r="S326" s="9">
        <f>(Таблица1[[#This Row],[Размер кредита]]-21824)/(789096-21824)</f>
        <v>0.29923156325266659</v>
      </c>
      <c r="T326" s="9">
        <f>(Таблица1[[#This Row],[Кредитный рейтинг]]-586)/(751-586)</f>
        <v>0.81212121212121213</v>
      </c>
      <c r="U326" s="9">
        <f>Таблица1[[#This Row],[Ежемесячный платеж]]/(Таблица1[[#This Row],[Годовой доход]]/12)</f>
        <v>0.15300016173378619</v>
      </c>
    </row>
    <row r="327" spans="1:21" x14ac:dyDescent="0.3">
      <c r="A327">
        <v>326</v>
      </c>
      <c r="B327">
        <v>0</v>
      </c>
      <c r="C327" s="9">
        <v>764390</v>
      </c>
      <c r="D327">
        <v>705</v>
      </c>
      <c r="E327" s="1">
        <v>1603220</v>
      </c>
      <c r="F327">
        <v>50</v>
      </c>
      <c r="G327">
        <v>34869.75</v>
      </c>
      <c r="H327">
        <v>30.6</v>
      </c>
      <c r="I327">
        <v>15</v>
      </c>
      <c r="J327">
        <v>425448</v>
      </c>
      <c r="K327">
        <v>1089902</v>
      </c>
      <c r="L327" t="s">
        <v>41</v>
      </c>
      <c r="M327" t="s">
        <v>369</v>
      </c>
      <c r="N327" t="s">
        <v>26</v>
      </c>
      <c r="O327" t="s">
        <v>21</v>
      </c>
      <c r="P327" t="s">
        <v>31</v>
      </c>
      <c r="Q327" t="s">
        <v>23</v>
      </c>
      <c r="R327" t="b">
        <f>OR(Таблица1[[#This Row],[Ежемесячный платеж]]&lt;$AC$5, Таблица1[[#This Row],[Ежемесячный платеж]]&gt;$AC$6)</f>
        <v>0</v>
      </c>
      <c r="S327" s="9">
        <f>(Таблица1[[#This Row],[Размер кредита]]-21824)/(789096-21824)</f>
        <v>0.96780020644569331</v>
      </c>
      <c r="T327" s="9">
        <f>(Таблица1[[#This Row],[Кредитный рейтинг]]-586)/(751-586)</f>
        <v>0.72121212121212119</v>
      </c>
      <c r="U327" s="9">
        <f>Таблица1[[#This Row],[Ежемесячный платеж]]/(Таблица1[[#This Row],[Годовой доход]]/12)</f>
        <v>0.26099786679307896</v>
      </c>
    </row>
    <row r="328" spans="1:21" x14ac:dyDescent="0.3">
      <c r="A328">
        <v>327</v>
      </c>
      <c r="B328">
        <v>0</v>
      </c>
      <c r="C328" s="9">
        <v>215006</v>
      </c>
      <c r="D328">
        <f>$Y$13</f>
        <v>723</v>
      </c>
      <c r="E328">
        <f>$AB$13</f>
        <v>1168044</v>
      </c>
      <c r="F328">
        <v>74</v>
      </c>
      <c r="G328">
        <v>20639.13</v>
      </c>
      <c r="H328">
        <v>11.9</v>
      </c>
      <c r="I328">
        <v>9</v>
      </c>
      <c r="J328">
        <v>76551</v>
      </c>
      <c r="K328">
        <v>284130</v>
      </c>
      <c r="L328" t="s">
        <v>41</v>
      </c>
      <c r="M328" t="s">
        <v>370</v>
      </c>
      <c r="N328" t="s">
        <v>26</v>
      </c>
      <c r="O328" t="s">
        <v>34</v>
      </c>
      <c r="P328" t="s">
        <v>22</v>
      </c>
      <c r="Q328" t="s">
        <v>36</v>
      </c>
      <c r="R328" t="b">
        <f>OR(Таблица1[[#This Row],[Ежемесячный платеж]]&lt;$AC$5, Таблица1[[#This Row],[Ежемесячный платеж]]&gt;$AC$6)</f>
        <v>0</v>
      </c>
      <c r="S328" s="9">
        <f>(Таблица1[[#This Row],[Размер кредита]]-21824)/(789096-21824)</f>
        <v>0.2517777268035325</v>
      </c>
      <c r="T328" s="9">
        <f>(Таблица1[[#This Row],[Кредитный рейтинг]]-586)/(751-586)</f>
        <v>0.83030303030303032</v>
      </c>
      <c r="U328" s="9">
        <f>Таблица1[[#This Row],[Ежемесячный платеж]]/(Таблица1[[#This Row],[Годовой доход]]/12)</f>
        <v>0.21203786843646302</v>
      </c>
    </row>
    <row r="329" spans="1:21" x14ac:dyDescent="0.3">
      <c r="A329">
        <v>328</v>
      </c>
      <c r="B329">
        <v>0</v>
      </c>
      <c r="C329" s="9">
        <v>616902</v>
      </c>
      <c r="D329">
        <v>647</v>
      </c>
      <c r="E329" s="1">
        <v>1405772</v>
      </c>
      <c r="F329">
        <v>64</v>
      </c>
      <c r="G329">
        <v>18626.27</v>
      </c>
      <c r="H329">
        <v>17.899999999999999</v>
      </c>
      <c r="I329">
        <v>4</v>
      </c>
      <c r="J329">
        <v>317338</v>
      </c>
      <c r="K329">
        <v>433818</v>
      </c>
      <c r="L329" t="s">
        <v>37</v>
      </c>
      <c r="M329" t="s">
        <v>371</v>
      </c>
      <c r="N329" t="s">
        <v>26</v>
      </c>
      <c r="O329" t="s">
        <v>28</v>
      </c>
      <c r="P329" t="s">
        <v>31</v>
      </c>
      <c r="Q329" t="s">
        <v>23</v>
      </c>
      <c r="R329" t="b">
        <f>OR(Таблица1[[#This Row],[Ежемесячный платеж]]&lt;$AC$5, Таблица1[[#This Row],[Ежемесячный платеж]]&gt;$AC$6)</f>
        <v>0</v>
      </c>
      <c r="S329" s="9">
        <f>(Таблица1[[#This Row],[Размер кредита]]-21824)/(789096-21824)</f>
        <v>0.7755763275605001</v>
      </c>
      <c r="T329" s="9">
        <f>(Таблица1[[#This Row],[Кредитный рейтинг]]-586)/(751-586)</f>
        <v>0.36969696969696969</v>
      </c>
      <c r="U329" s="9">
        <f>Таблица1[[#This Row],[Ежемесячный платеж]]/(Таблица1[[#This Row],[Годовой доход]]/12)</f>
        <v>0.15899821592690705</v>
      </c>
    </row>
    <row r="330" spans="1:21" x14ac:dyDescent="0.3">
      <c r="A330">
        <v>329</v>
      </c>
      <c r="B330">
        <v>0</v>
      </c>
      <c r="D330">
        <v>716</v>
      </c>
      <c r="E330" s="1">
        <v>2848575</v>
      </c>
      <c r="F330">
        <v>10</v>
      </c>
      <c r="G330">
        <v>23263.41</v>
      </c>
      <c r="H330">
        <v>31.5</v>
      </c>
      <c r="I330">
        <v>14</v>
      </c>
      <c r="J330">
        <v>371051</v>
      </c>
      <c r="K330">
        <v>1053052</v>
      </c>
      <c r="L330" t="s">
        <v>37</v>
      </c>
      <c r="M330" t="s">
        <v>372</v>
      </c>
      <c r="N330" t="s">
        <v>20</v>
      </c>
      <c r="O330" t="s">
        <v>21</v>
      </c>
      <c r="P330" t="s">
        <v>22</v>
      </c>
      <c r="Q330" t="s">
        <v>23</v>
      </c>
      <c r="R330" t="b">
        <f>OR(Таблица1[[#This Row],[Ежемесячный платеж]]&lt;$AC$5, Таблица1[[#This Row],[Ежемесячный платеж]]&gt;$AC$6)</f>
        <v>0</v>
      </c>
      <c r="T330" s="9">
        <f>(Таблица1[[#This Row],[Кредитный рейтинг]]-586)/(751-586)</f>
        <v>0.78787878787878785</v>
      </c>
      <c r="U330" s="9">
        <f>Таблица1[[#This Row],[Ежемесячный платеж]]/(Таблица1[[#This Row],[Годовой доход]]/12)</f>
        <v>9.8000200100050019E-2</v>
      </c>
    </row>
    <row r="331" spans="1:21" x14ac:dyDescent="0.3">
      <c r="A331">
        <v>330</v>
      </c>
      <c r="B331">
        <v>0</v>
      </c>
      <c r="D331">
        <v>743</v>
      </c>
      <c r="E331" s="1">
        <v>773300</v>
      </c>
      <c r="F331">
        <v>0</v>
      </c>
      <c r="G331">
        <v>16174.89</v>
      </c>
      <c r="H331">
        <v>14.1</v>
      </c>
      <c r="I331">
        <v>19</v>
      </c>
      <c r="J331">
        <v>450908</v>
      </c>
      <c r="K331">
        <v>1549284</v>
      </c>
      <c r="L331" t="s">
        <v>24</v>
      </c>
      <c r="M331" t="s">
        <v>373</v>
      </c>
      <c r="N331" t="s">
        <v>26</v>
      </c>
      <c r="O331" t="s">
        <v>28</v>
      </c>
      <c r="P331" t="s">
        <v>22</v>
      </c>
      <c r="Q331" t="s">
        <v>23</v>
      </c>
      <c r="R331" t="b">
        <f>OR(Таблица1[[#This Row],[Ежемесячный платеж]]&lt;$AC$5, Таблица1[[#This Row],[Ежемесячный платеж]]&gt;$AC$6)</f>
        <v>0</v>
      </c>
      <c r="T331" s="9">
        <f>(Таблица1[[#This Row],[Кредитный рейтинг]]-586)/(751-586)</f>
        <v>0.95151515151515154</v>
      </c>
      <c r="U331" s="9">
        <f>Таблица1[[#This Row],[Ежемесячный платеж]]/(Таблица1[[#This Row],[Годовой доход]]/12)</f>
        <v>0.25100049140049141</v>
      </c>
    </row>
    <row r="332" spans="1:21" x14ac:dyDescent="0.3">
      <c r="A332">
        <v>331</v>
      </c>
      <c r="B332">
        <v>0</v>
      </c>
      <c r="C332" s="9">
        <v>447788</v>
      </c>
      <c r="D332">
        <f>$Y$13</f>
        <v>723</v>
      </c>
      <c r="E332">
        <f>$AB$13</f>
        <v>1168044</v>
      </c>
      <c r="F332">
        <v>8</v>
      </c>
      <c r="G332">
        <v>6497.05</v>
      </c>
      <c r="H332">
        <v>21.2</v>
      </c>
      <c r="I332">
        <v>5</v>
      </c>
      <c r="J332">
        <v>806379</v>
      </c>
      <c r="K332">
        <v>2074886</v>
      </c>
      <c r="L332" t="s">
        <v>41</v>
      </c>
      <c r="M332" t="s">
        <v>374</v>
      </c>
      <c r="N332" t="s">
        <v>26</v>
      </c>
      <c r="O332" t="s">
        <v>21</v>
      </c>
      <c r="P332" t="s">
        <v>22</v>
      </c>
      <c r="Q332" t="s">
        <v>23</v>
      </c>
      <c r="R332" t="b">
        <f>OR(Таблица1[[#This Row],[Ежемесячный платеж]]&lt;$AC$5, Таблица1[[#This Row],[Ежемесячный платеж]]&gt;$AC$6)</f>
        <v>0</v>
      </c>
      <c r="S332" s="9">
        <f>(Таблица1[[#This Row],[Размер кредита]]-21824)/(789096-21824)</f>
        <v>0.55516687693542832</v>
      </c>
      <c r="T332" s="9">
        <f>(Таблица1[[#This Row],[Кредитный рейтинг]]-586)/(751-586)</f>
        <v>0.83030303030303032</v>
      </c>
      <c r="U332" s="9">
        <f>Таблица1[[#This Row],[Ежемесячный платеж]]/(Таблица1[[#This Row],[Годовой доход]]/12)</f>
        <v>6.6747999219207502E-2</v>
      </c>
    </row>
    <row r="333" spans="1:21" x14ac:dyDescent="0.3">
      <c r="A333">
        <v>332</v>
      </c>
      <c r="B333">
        <v>0</v>
      </c>
      <c r="C333" s="9">
        <v>170962</v>
      </c>
      <c r="D333">
        <v>710</v>
      </c>
      <c r="E333" s="1">
        <v>598082</v>
      </c>
      <c r="F333">
        <v>5</v>
      </c>
      <c r="G333">
        <v>7426.15</v>
      </c>
      <c r="H333">
        <v>12.8</v>
      </c>
      <c r="I333">
        <v>14</v>
      </c>
      <c r="J333">
        <v>117211</v>
      </c>
      <c r="K333">
        <v>622534</v>
      </c>
      <c r="L333" t="s">
        <v>69</v>
      </c>
      <c r="M333" s="2" t="s">
        <v>375</v>
      </c>
      <c r="N333" t="s">
        <v>26</v>
      </c>
      <c r="O333" t="s">
        <v>34</v>
      </c>
      <c r="P333" t="s">
        <v>22</v>
      </c>
      <c r="Q333" t="s">
        <v>23</v>
      </c>
      <c r="R333" t="b">
        <f>OR(Таблица1[[#This Row],[Ежемесячный платеж]]&lt;$AC$5, Таблица1[[#This Row],[Ежемесячный платеж]]&gt;$AC$6)</f>
        <v>0</v>
      </c>
      <c r="S333" s="9">
        <f>(Таблица1[[#This Row],[Размер кредита]]-21824)/(789096-21824)</f>
        <v>0.19437435485720839</v>
      </c>
      <c r="T333" s="9">
        <f>(Таблица1[[#This Row],[Кредитный рейтинг]]-586)/(751-586)</f>
        <v>0.75151515151515147</v>
      </c>
      <c r="U333" s="9">
        <f>Таблица1[[#This Row],[Ежемесячный платеж]]/(Таблица1[[#This Row],[Годовой доход]]/12)</f>
        <v>0.14899930109918039</v>
      </c>
    </row>
    <row r="334" spans="1:21" x14ac:dyDescent="0.3">
      <c r="A334">
        <v>333</v>
      </c>
      <c r="B334">
        <v>0</v>
      </c>
      <c r="D334">
        <v>704</v>
      </c>
      <c r="E334" s="1">
        <v>1160862</v>
      </c>
      <c r="F334">
        <v>13</v>
      </c>
      <c r="G334">
        <v>25442.14</v>
      </c>
      <c r="H334">
        <v>14.8</v>
      </c>
      <c r="I334">
        <v>9</v>
      </c>
      <c r="J334">
        <v>607202</v>
      </c>
      <c r="K334">
        <v>730092</v>
      </c>
      <c r="L334" t="s">
        <v>69</v>
      </c>
      <c r="M334" t="s">
        <v>376</v>
      </c>
      <c r="N334" t="s">
        <v>26</v>
      </c>
      <c r="O334" t="s">
        <v>21</v>
      </c>
      <c r="P334" t="s">
        <v>22</v>
      </c>
      <c r="Q334" t="s">
        <v>23</v>
      </c>
      <c r="R334" t="b">
        <f>OR(Таблица1[[#This Row],[Ежемесячный платеж]]&lt;$AC$5, Таблица1[[#This Row],[Ежемесячный платеж]]&gt;$AC$6)</f>
        <v>0</v>
      </c>
      <c r="T334" s="9">
        <f>(Таблица1[[#This Row],[Кредитный рейтинг]]-586)/(751-586)</f>
        <v>0.7151515151515152</v>
      </c>
      <c r="U334" s="9">
        <f>Таблица1[[#This Row],[Ежемесячный платеж]]/(Таблица1[[#This Row],[Годовой доход]]/12)</f>
        <v>0.2629991161740155</v>
      </c>
    </row>
    <row r="335" spans="1:21" x14ac:dyDescent="0.3">
      <c r="A335">
        <v>334</v>
      </c>
      <c r="B335">
        <v>0</v>
      </c>
      <c r="C335" s="9">
        <v>340362</v>
      </c>
      <c r="D335">
        <f>$Y$13</f>
        <v>723</v>
      </c>
      <c r="E335">
        <f>$AB$13</f>
        <v>1168044</v>
      </c>
      <c r="F335">
        <v>35</v>
      </c>
      <c r="G335">
        <v>22936.799999999999</v>
      </c>
      <c r="H335">
        <v>23.3</v>
      </c>
      <c r="I335">
        <v>19</v>
      </c>
      <c r="J335">
        <v>427025</v>
      </c>
      <c r="K335">
        <v>1242340</v>
      </c>
      <c r="L335" t="s">
        <v>24</v>
      </c>
      <c r="M335" t="s">
        <v>377</v>
      </c>
      <c r="N335" t="s">
        <v>26</v>
      </c>
      <c r="O335" t="s">
        <v>34</v>
      </c>
      <c r="P335" t="s">
        <v>22</v>
      </c>
      <c r="Q335" t="s">
        <v>36</v>
      </c>
      <c r="R335" t="b">
        <f>OR(Таблица1[[#This Row],[Ежемесячный платеж]]&lt;$AC$5, Таблица1[[#This Row],[Ежемесячный платеж]]&gt;$AC$6)</f>
        <v>0</v>
      </c>
      <c r="S335" s="9">
        <f>(Таблица1[[#This Row],[Размер кредита]]-21824)/(789096-21824)</f>
        <v>0.41515655465076268</v>
      </c>
      <c r="T335" s="9">
        <f>(Таблица1[[#This Row],[Кредитный рейтинг]]-586)/(751-586)</f>
        <v>0.83030303030303032</v>
      </c>
      <c r="U335" s="9">
        <f>Таблица1[[#This Row],[Ежемесячный платеж]]/(Таблица1[[#This Row],[Годовой доход]]/12)</f>
        <v>0.23564317782549288</v>
      </c>
    </row>
    <row r="336" spans="1:21" x14ac:dyDescent="0.3">
      <c r="A336">
        <v>335</v>
      </c>
      <c r="B336">
        <v>0</v>
      </c>
      <c r="C336" s="9">
        <v>332222</v>
      </c>
      <c r="D336">
        <v>746</v>
      </c>
      <c r="E336" s="1">
        <v>891119</v>
      </c>
      <c r="F336">
        <v>42</v>
      </c>
      <c r="G336">
        <v>11733.07</v>
      </c>
      <c r="H336">
        <v>23.8</v>
      </c>
      <c r="I336">
        <v>9</v>
      </c>
      <c r="J336">
        <v>293683</v>
      </c>
      <c r="K336">
        <v>717420</v>
      </c>
      <c r="L336" t="s">
        <v>29</v>
      </c>
      <c r="M336" t="s">
        <v>378</v>
      </c>
      <c r="N336" t="s">
        <v>26</v>
      </c>
      <c r="O336" t="s">
        <v>34</v>
      </c>
      <c r="P336" t="s">
        <v>22</v>
      </c>
      <c r="Q336" t="s">
        <v>23</v>
      </c>
      <c r="R336" t="b">
        <f>OR(Таблица1[[#This Row],[Ежемесячный платеж]]&lt;$AC$5, Таблица1[[#This Row],[Ежемесячный платеж]]&gt;$AC$6)</f>
        <v>0</v>
      </c>
      <c r="S336" s="9">
        <f>(Таблица1[[#This Row],[Размер кредита]]-21824)/(789096-21824)</f>
        <v>0.40454753985548803</v>
      </c>
      <c r="T336" s="9">
        <f>(Таблица1[[#This Row],[Кредитный рейтинг]]-586)/(751-586)</f>
        <v>0.96969696969696972</v>
      </c>
      <c r="U336" s="9">
        <f>Таблица1[[#This Row],[Ежемесячный платеж]]/(Таблица1[[#This Row],[Годовой доход]]/12)</f>
        <v>0.15800004264301398</v>
      </c>
    </row>
    <row r="337" spans="1:21" x14ac:dyDescent="0.3">
      <c r="A337">
        <v>336</v>
      </c>
      <c r="B337">
        <v>0</v>
      </c>
      <c r="D337">
        <v>733</v>
      </c>
      <c r="E337" s="1">
        <v>1803936</v>
      </c>
      <c r="F337">
        <v>0</v>
      </c>
      <c r="G337">
        <v>10988.84</v>
      </c>
      <c r="H337">
        <v>24.5</v>
      </c>
      <c r="I337">
        <v>13</v>
      </c>
      <c r="J337">
        <v>418133</v>
      </c>
      <c r="K337">
        <v>1315666</v>
      </c>
      <c r="L337" t="s">
        <v>41</v>
      </c>
      <c r="M337" t="s">
        <v>379</v>
      </c>
      <c r="N337" t="s">
        <v>26</v>
      </c>
      <c r="O337" t="s">
        <v>21</v>
      </c>
      <c r="P337" t="s">
        <v>22</v>
      </c>
      <c r="Q337" t="s">
        <v>23</v>
      </c>
      <c r="R337" t="b">
        <f>OR(Таблица1[[#This Row],[Ежемесячный платеж]]&lt;$AC$5, Таблица1[[#This Row],[Ежемесячный платеж]]&gt;$AC$6)</f>
        <v>0</v>
      </c>
      <c r="T337" s="9">
        <f>(Таблица1[[#This Row],[Кредитный рейтинг]]-586)/(751-586)</f>
        <v>0.89090909090909087</v>
      </c>
      <c r="U337" s="9">
        <f>Таблица1[[#This Row],[Ежемесячный платеж]]/(Таблица1[[#This Row],[Годовой доход]]/12)</f>
        <v>7.3099089989888774E-2</v>
      </c>
    </row>
    <row r="338" spans="1:21" x14ac:dyDescent="0.3">
      <c r="A338">
        <v>337</v>
      </c>
      <c r="B338">
        <v>0</v>
      </c>
      <c r="D338">
        <v>743</v>
      </c>
      <c r="E338" s="1">
        <v>1496193</v>
      </c>
      <c r="F338">
        <v>33</v>
      </c>
      <c r="G338">
        <v>17081.57</v>
      </c>
      <c r="H338">
        <v>20.7</v>
      </c>
      <c r="I338">
        <v>11</v>
      </c>
      <c r="J338">
        <v>176567</v>
      </c>
      <c r="K338">
        <v>276298</v>
      </c>
      <c r="L338" t="s">
        <v>41</v>
      </c>
      <c r="M338" t="s">
        <v>380</v>
      </c>
      <c r="N338" t="s">
        <v>26</v>
      </c>
      <c r="O338" t="s">
        <v>21</v>
      </c>
      <c r="P338" t="s">
        <v>22</v>
      </c>
      <c r="Q338" t="s">
        <v>23</v>
      </c>
      <c r="R338" t="b">
        <f>OR(Таблица1[[#This Row],[Ежемесячный платеж]]&lt;$AC$5, Таблица1[[#This Row],[Ежемесячный платеж]]&gt;$AC$6)</f>
        <v>0</v>
      </c>
      <c r="T338" s="9">
        <f>(Таблица1[[#This Row],[Кредитный рейтинг]]-586)/(751-586)</f>
        <v>0.95151515151515154</v>
      </c>
      <c r="U338" s="9">
        <f>Таблица1[[#This Row],[Ежемесячный платеж]]/(Таблица1[[#This Row],[Годовой доход]]/12)</f>
        <v>0.13700026667682577</v>
      </c>
    </row>
    <row r="339" spans="1:21" x14ac:dyDescent="0.3">
      <c r="A339">
        <v>338</v>
      </c>
      <c r="B339">
        <v>0</v>
      </c>
      <c r="C339" s="9">
        <v>440132</v>
      </c>
      <c r="D339">
        <v>676</v>
      </c>
      <c r="E339" s="1">
        <v>1292380</v>
      </c>
      <c r="F339">
        <v>69</v>
      </c>
      <c r="G339">
        <v>4157.2</v>
      </c>
      <c r="H339">
        <v>15.6</v>
      </c>
      <c r="I339">
        <v>3</v>
      </c>
      <c r="J339">
        <v>150822</v>
      </c>
      <c r="K339">
        <v>219956</v>
      </c>
      <c r="L339" t="s">
        <v>69</v>
      </c>
      <c r="M339" t="s">
        <v>381</v>
      </c>
      <c r="N339" t="s">
        <v>26</v>
      </c>
      <c r="O339" t="s">
        <v>21</v>
      </c>
      <c r="P339" t="s">
        <v>31</v>
      </c>
      <c r="Q339" t="s">
        <v>23</v>
      </c>
      <c r="R339" t="b">
        <f>OR(Таблица1[[#This Row],[Ежемесячный платеж]]&lt;$AC$5, Таблица1[[#This Row],[Ежемесячный платеж]]&gt;$AC$6)</f>
        <v>0</v>
      </c>
      <c r="S339" s="9">
        <f>(Таблица1[[#This Row],[Размер кредита]]-21824)/(789096-21824)</f>
        <v>0.54518866842527813</v>
      </c>
      <c r="T339" s="9">
        <f>(Таблица1[[#This Row],[Кредитный рейтинг]]-586)/(751-586)</f>
        <v>0.54545454545454541</v>
      </c>
      <c r="U339" s="9">
        <f>Таблица1[[#This Row],[Ежемесячный платеж]]/(Таблица1[[#This Row],[Годовой доход]]/12)</f>
        <v>3.8600411643634223E-2</v>
      </c>
    </row>
    <row r="340" spans="1:21" x14ac:dyDescent="0.3">
      <c r="A340">
        <v>339</v>
      </c>
      <c r="B340">
        <v>0</v>
      </c>
      <c r="C340" s="9">
        <v>403414</v>
      </c>
      <c r="D340">
        <f>$Y$13</f>
        <v>723</v>
      </c>
      <c r="E340">
        <f>$AB$13</f>
        <v>1168044</v>
      </c>
      <c r="F340">
        <v>51</v>
      </c>
      <c r="G340">
        <v>14597.13</v>
      </c>
      <c r="H340">
        <v>20.7</v>
      </c>
      <c r="I340">
        <v>11</v>
      </c>
      <c r="J340">
        <v>71212</v>
      </c>
      <c r="K340">
        <v>91916</v>
      </c>
      <c r="L340" t="s">
        <v>69</v>
      </c>
      <c r="M340" t="s">
        <v>382</v>
      </c>
      <c r="N340" t="s">
        <v>26</v>
      </c>
      <c r="O340" t="s">
        <v>21</v>
      </c>
      <c r="P340" t="s">
        <v>31</v>
      </c>
      <c r="Q340" t="s">
        <v>36</v>
      </c>
      <c r="R340" t="b">
        <f>OR(Таблица1[[#This Row],[Ежемесячный платеж]]&lt;$AC$5, Таблица1[[#This Row],[Ежемесячный платеж]]&gt;$AC$6)</f>
        <v>0</v>
      </c>
      <c r="S340" s="9">
        <f>(Таблица1[[#This Row],[Размер кредита]]-21824)/(789096-21824)</f>
        <v>0.49733340979470125</v>
      </c>
      <c r="T340" s="9">
        <f>(Таблица1[[#This Row],[Кредитный рейтинг]]-586)/(751-586)</f>
        <v>0.83030303030303032</v>
      </c>
      <c r="U340" s="9">
        <f>Таблица1[[#This Row],[Ежемесячный платеж]]/(Таблица1[[#This Row],[Годовой доход]]/12)</f>
        <v>0.14996486433730236</v>
      </c>
    </row>
    <row r="341" spans="1:21" x14ac:dyDescent="0.3">
      <c r="A341">
        <v>340</v>
      </c>
      <c r="B341">
        <v>0</v>
      </c>
      <c r="C341" s="9">
        <v>112574</v>
      </c>
      <c r="D341">
        <v>729</v>
      </c>
      <c r="E341" s="1">
        <v>1555416</v>
      </c>
      <c r="F341">
        <v>40</v>
      </c>
      <c r="G341">
        <v>10706.5</v>
      </c>
      <c r="H341">
        <v>13.7</v>
      </c>
      <c r="I341">
        <v>13</v>
      </c>
      <c r="J341">
        <v>86507</v>
      </c>
      <c r="K341">
        <v>770440</v>
      </c>
      <c r="L341" t="s">
        <v>24</v>
      </c>
      <c r="M341" t="s">
        <v>383</v>
      </c>
      <c r="N341" t="s">
        <v>103</v>
      </c>
      <c r="O341" t="s">
        <v>21</v>
      </c>
      <c r="P341" t="s">
        <v>22</v>
      </c>
      <c r="Q341" t="s">
        <v>23</v>
      </c>
      <c r="R341" t="b">
        <f>OR(Таблица1[[#This Row],[Ежемесячный платеж]]&lt;$AC$5, Таблица1[[#This Row],[Ежемесячный платеж]]&gt;$AC$6)</f>
        <v>0</v>
      </c>
      <c r="S341" s="9">
        <f>(Таблица1[[#This Row],[Размер кредита]]-21824)/(789096-21824)</f>
        <v>0.11827617846083266</v>
      </c>
      <c r="T341" s="9">
        <f>(Таблица1[[#This Row],[Кредитный рейтинг]]-586)/(751-586)</f>
        <v>0.8666666666666667</v>
      </c>
      <c r="U341" s="9">
        <f>Таблица1[[#This Row],[Ежемесячный платеж]]/(Таблица1[[#This Row],[Годовой доход]]/12)</f>
        <v>8.260041043682205E-2</v>
      </c>
    </row>
    <row r="342" spans="1:21" x14ac:dyDescent="0.3">
      <c r="A342">
        <v>341</v>
      </c>
      <c r="B342">
        <v>0</v>
      </c>
      <c r="C342" s="9">
        <v>88198</v>
      </c>
      <c r="D342">
        <v>741</v>
      </c>
      <c r="E342" s="1">
        <v>825968</v>
      </c>
      <c r="F342">
        <v>0</v>
      </c>
      <c r="G342">
        <v>3407.08</v>
      </c>
      <c r="H342">
        <v>14.2</v>
      </c>
      <c r="I342">
        <v>9</v>
      </c>
      <c r="J342">
        <v>112727</v>
      </c>
      <c r="K342">
        <v>725098</v>
      </c>
      <c r="L342" t="s">
        <v>37</v>
      </c>
      <c r="M342" t="s">
        <v>384</v>
      </c>
      <c r="N342" t="s">
        <v>26</v>
      </c>
      <c r="O342" t="s">
        <v>21</v>
      </c>
      <c r="P342" t="s">
        <v>22</v>
      </c>
      <c r="Q342" t="s">
        <v>23</v>
      </c>
      <c r="R342" t="b">
        <f>OR(Таблица1[[#This Row],[Ежемесячный платеж]]&lt;$AC$5, Таблица1[[#This Row],[Ежемесячный платеж]]&gt;$AC$6)</f>
        <v>0</v>
      </c>
      <c r="S342" s="9">
        <f>(Таблица1[[#This Row],[Размер кредита]]-21824)/(789096-21824)</f>
        <v>8.6506480100929012E-2</v>
      </c>
      <c r="T342" s="9">
        <f>(Таблица1[[#This Row],[Кредитный рейтинг]]-586)/(751-586)</f>
        <v>0.93939393939393945</v>
      </c>
      <c r="U342" s="9">
        <f>Таблица1[[#This Row],[Ежемесячный платеж]]/(Таблица1[[#This Row],[Годовой доход]]/12)</f>
        <v>4.9499447920500546E-2</v>
      </c>
    </row>
    <row r="343" spans="1:21" x14ac:dyDescent="0.3">
      <c r="A343">
        <v>342</v>
      </c>
      <c r="B343">
        <v>1</v>
      </c>
      <c r="C343" s="9">
        <v>764544</v>
      </c>
      <c r="D343">
        <v>703</v>
      </c>
      <c r="E343" s="1">
        <v>1697859</v>
      </c>
      <c r="F343">
        <v>31</v>
      </c>
      <c r="G343">
        <v>17685.96</v>
      </c>
      <c r="H343">
        <v>25.5</v>
      </c>
      <c r="I343">
        <v>10</v>
      </c>
      <c r="J343">
        <v>300789</v>
      </c>
      <c r="K343">
        <v>657118</v>
      </c>
      <c r="L343" t="s">
        <v>69</v>
      </c>
      <c r="M343" t="s">
        <v>385</v>
      </c>
      <c r="N343" t="s">
        <v>20</v>
      </c>
      <c r="O343" t="s">
        <v>21</v>
      </c>
      <c r="P343" t="s">
        <v>31</v>
      </c>
      <c r="Q343" t="s">
        <v>23</v>
      </c>
      <c r="R343" t="b">
        <f>OR(Таблица1[[#This Row],[Ежемесячный платеж]]&lt;$AC$5, Таблица1[[#This Row],[Ежемесячный платеж]]&gt;$AC$6)</f>
        <v>0</v>
      </c>
      <c r="S343" s="9">
        <f>(Таблица1[[#This Row],[Размер кредита]]-21824)/(789096-21824)</f>
        <v>0.96800091753641471</v>
      </c>
      <c r="T343" s="9">
        <f>(Таблица1[[#This Row],[Кредитный рейтинг]]-586)/(751-586)</f>
        <v>0.70909090909090911</v>
      </c>
      <c r="U343" s="9">
        <f>Таблица1[[#This Row],[Ежемесячный платеж]]/(Таблица1[[#This Row],[Годовой доход]]/12)</f>
        <v>0.12499949642461476</v>
      </c>
    </row>
    <row r="344" spans="1:21" x14ac:dyDescent="0.3">
      <c r="A344">
        <v>343</v>
      </c>
      <c r="B344">
        <v>0</v>
      </c>
      <c r="C344" s="9">
        <v>224642</v>
      </c>
      <c r="D344">
        <v>741</v>
      </c>
      <c r="E344" s="1">
        <v>1056039</v>
      </c>
      <c r="F344">
        <v>0</v>
      </c>
      <c r="G344">
        <v>14080.33</v>
      </c>
      <c r="H344">
        <v>38.5</v>
      </c>
      <c r="I344">
        <v>7</v>
      </c>
      <c r="J344">
        <v>252320</v>
      </c>
      <c r="K344">
        <v>1047200</v>
      </c>
      <c r="L344" t="s">
        <v>41</v>
      </c>
      <c r="M344" t="s">
        <v>386</v>
      </c>
      <c r="N344" t="s">
        <v>26</v>
      </c>
      <c r="O344" t="s">
        <v>34</v>
      </c>
      <c r="P344" t="s">
        <v>22</v>
      </c>
      <c r="Q344" t="s">
        <v>23</v>
      </c>
      <c r="R344" t="b">
        <f>OR(Таблица1[[#This Row],[Ежемесячный платеж]]&lt;$AC$5, Таблица1[[#This Row],[Ежемесячный платеж]]&gt;$AC$6)</f>
        <v>0</v>
      </c>
      <c r="S344" s="9">
        <f>(Таблица1[[#This Row],[Размер кредита]]-21824)/(789096-21824)</f>
        <v>0.26433650648010093</v>
      </c>
      <c r="T344" s="9">
        <f>(Таблица1[[#This Row],[Кредитный рейтинг]]-586)/(751-586)</f>
        <v>0.93939393939393945</v>
      </c>
      <c r="U344" s="9">
        <f>Таблица1[[#This Row],[Ежемесячный платеж]]/(Таблица1[[#This Row],[Годовой доход]]/12)</f>
        <v>0.15999784098882711</v>
      </c>
    </row>
    <row r="345" spans="1:21" x14ac:dyDescent="0.3">
      <c r="A345">
        <v>344</v>
      </c>
      <c r="B345">
        <v>1</v>
      </c>
      <c r="C345" s="9">
        <v>446336</v>
      </c>
      <c r="D345">
        <v>683</v>
      </c>
      <c r="E345" s="1">
        <v>1117865</v>
      </c>
      <c r="F345">
        <v>36</v>
      </c>
      <c r="G345">
        <v>7573.59</v>
      </c>
      <c r="H345">
        <v>15.9</v>
      </c>
      <c r="I345">
        <v>4</v>
      </c>
      <c r="J345">
        <v>148960</v>
      </c>
      <c r="K345">
        <v>238898</v>
      </c>
      <c r="L345" t="s">
        <v>52</v>
      </c>
      <c r="M345" t="s">
        <v>387</v>
      </c>
      <c r="N345" t="s">
        <v>26</v>
      </c>
      <c r="O345" t="s">
        <v>21</v>
      </c>
      <c r="P345" t="s">
        <v>31</v>
      </c>
      <c r="Q345" t="s">
        <v>23</v>
      </c>
      <c r="R345" t="b">
        <f>OR(Таблица1[[#This Row],[Ежемесячный платеж]]&lt;$AC$5, Таблица1[[#This Row],[Ежемесячный платеж]]&gt;$AC$6)</f>
        <v>0</v>
      </c>
      <c r="S345" s="9">
        <f>(Таблица1[[#This Row],[Размер кредита]]-21824)/(789096-21824)</f>
        <v>0.55327445808005504</v>
      </c>
      <c r="T345" s="9">
        <f>(Таблица1[[#This Row],[Кредитный рейтинг]]-586)/(751-586)</f>
        <v>0.58787878787878789</v>
      </c>
      <c r="U345" s="9">
        <f>Таблица1[[#This Row],[Ежемесячный платеж]]/(Таблица1[[#This Row],[Годовой доход]]/12)</f>
        <v>8.1300586385654794E-2</v>
      </c>
    </row>
    <row r="346" spans="1:21" x14ac:dyDescent="0.3">
      <c r="A346">
        <v>345</v>
      </c>
      <c r="B346">
        <v>0</v>
      </c>
      <c r="C346" s="9">
        <v>447656</v>
      </c>
      <c r="D346">
        <v>732</v>
      </c>
      <c r="E346" s="1">
        <v>1585113</v>
      </c>
      <c r="F346">
        <v>0</v>
      </c>
      <c r="G346">
        <v>20342.16</v>
      </c>
      <c r="H346">
        <v>17.399999999999999</v>
      </c>
      <c r="I346">
        <v>8</v>
      </c>
      <c r="J346">
        <v>309054</v>
      </c>
      <c r="K346">
        <v>503316</v>
      </c>
      <c r="L346" t="s">
        <v>24</v>
      </c>
      <c r="M346" t="s">
        <v>388</v>
      </c>
      <c r="N346" t="s">
        <v>26</v>
      </c>
      <c r="O346" t="s">
        <v>21</v>
      </c>
      <c r="P346" t="s">
        <v>22</v>
      </c>
      <c r="Q346" t="s">
        <v>36</v>
      </c>
      <c r="R346" t="b">
        <f>OR(Таблица1[[#This Row],[Ежемесячный платеж]]&lt;$AC$5, Таблица1[[#This Row],[Ежемесячный платеж]]&gt;$AC$6)</f>
        <v>0</v>
      </c>
      <c r="S346" s="9">
        <f>(Таблица1[[#This Row],[Размер кредита]]-21824)/(789096-21824)</f>
        <v>0.55499483885766721</v>
      </c>
      <c r="T346" s="9">
        <f>(Таблица1[[#This Row],[Кредитный рейтинг]]-586)/(751-586)</f>
        <v>0.88484848484848488</v>
      </c>
      <c r="U346" s="9">
        <f>Таблица1[[#This Row],[Ежемесячный платеж]]/(Таблица1[[#This Row],[Годовой доход]]/12)</f>
        <v>0.15399906505088282</v>
      </c>
    </row>
    <row r="347" spans="1:21" x14ac:dyDescent="0.3">
      <c r="A347">
        <v>346</v>
      </c>
      <c r="B347">
        <v>1</v>
      </c>
      <c r="C347" s="9">
        <v>261910</v>
      </c>
      <c r="D347">
        <v>675</v>
      </c>
      <c r="E347" s="1">
        <v>1438509</v>
      </c>
      <c r="F347">
        <v>0</v>
      </c>
      <c r="G347">
        <v>24334.82</v>
      </c>
      <c r="H347">
        <v>15.6</v>
      </c>
      <c r="I347">
        <v>9</v>
      </c>
      <c r="J347">
        <v>74214</v>
      </c>
      <c r="K347">
        <v>767272</v>
      </c>
      <c r="L347" t="s">
        <v>69</v>
      </c>
      <c r="M347" t="s">
        <v>389</v>
      </c>
      <c r="N347" t="s">
        <v>68</v>
      </c>
      <c r="O347" t="s">
        <v>28</v>
      </c>
      <c r="P347" t="s">
        <v>22</v>
      </c>
      <c r="Q347" t="s">
        <v>36</v>
      </c>
      <c r="R347" t="b">
        <f>OR(Таблица1[[#This Row],[Ежемесячный платеж]]&lt;$AC$5, Таблица1[[#This Row],[Ежемесячный платеж]]&gt;$AC$6)</f>
        <v>0</v>
      </c>
      <c r="S347" s="9">
        <f>(Таблица1[[#This Row],[Размер кредита]]-21824)/(789096-21824)</f>
        <v>0.31290859043468289</v>
      </c>
      <c r="T347" s="9">
        <f>(Таблица1[[#This Row],[Кредитный рейтинг]]-586)/(751-586)</f>
        <v>0.53939393939393943</v>
      </c>
      <c r="U347" s="9">
        <f>Таблица1[[#This Row],[Ежемесячный платеж]]/(Таблица1[[#This Row],[Годовой доход]]/12)</f>
        <v>0.20300035661924951</v>
      </c>
    </row>
    <row r="348" spans="1:21" x14ac:dyDescent="0.3">
      <c r="A348">
        <v>347</v>
      </c>
      <c r="B348">
        <v>0</v>
      </c>
      <c r="C348" s="9">
        <v>746372</v>
      </c>
      <c r="D348">
        <v>715</v>
      </c>
      <c r="E348" s="1">
        <v>2302116</v>
      </c>
      <c r="F348">
        <v>0</v>
      </c>
      <c r="G348">
        <v>40670.639999999999</v>
      </c>
      <c r="H348">
        <v>24.4</v>
      </c>
      <c r="I348">
        <v>14</v>
      </c>
      <c r="J348">
        <v>620996</v>
      </c>
      <c r="K348">
        <v>1461482</v>
      </c>
      <c r="L348" t="s">
        <v>24</v>
      </c>
      <c r="M348" t="s">
        <v>390</v>
      </c>
      <c r="N348" t="s">
        <v>26</v>
      </c>
      <c r="O348" t="s">
        <v>21</v>
      </c>
      <c r="P348" t="s">
        <v>31</v>
      </c>
      <c r="Q348" t="s">
        <v>23</v>
      </c>
      <c r="R348" t="b">
        <f>OR(Таблица1[[#This Row],[Ежемесячный платеж]]&lt;$AC$5, Таблица1[[#This Row],[Ежемесячный платеж]]&gt;$AC$6)</f>
        <v>0</v>
      </c>
      <c r="S348" s="9">
        <f>(Таблица1[[#This Row],[Размер кредита]]-21824)/(789096-21824)</f>
        <v>0.944317008831288</v>
      </c>
      <c r="T348" s="9">
        <f>(Таблица1[[#This Row],[Кредитный рейтинг]]-586)/(751-586)</f>
        <v>0.78181818181818186</v>
      </c>
      <c r="U348" s="9">
        <f>Таблица1[[#This Row],[Ежемесячный платеж]]/(Таблица1[[#This Row],[Годовой доход]]/12)</f>
        <v>0.21199960384272556</v>
      </c>
    </row>
    <row r="349" spans="1:21" x14ac:dyDescent="0.3">
      <c r="A349">
        <v>348</v>
      </c>
      <c r="B349">
        <v>0</v>
      </c>
      <c r="C349" s="9">
        <v>146982</v>
      </c>
      <c r="D349">
        <v>670</v>
      </c>
      <c r="E349" s="1">
        <v>981578</v>
      </c>
      <c r="F349">
        <v>76</v>
      </c>
      <c r="G349">
        <v>25030.22</v>
      </c>
      <c r="H349">
        <v>22.5</v>
      </c>
      <c r="I349">
        <v>19</v>
      </c>
      <c r="J349">
        <v>532589</v>
      </c>
      <c r="K349">
        <v>828872</v>
      </c>
      <c r="L349" t="s">
        <v>24</v>
      </c>
      <c r="M349" t="s">
        <v>391</v>
      </c>
      <c r="N349" t="s">
        <v>26</v>
      </c>
      <c r="O349" t="s">
        <v>34</v>
      </c>
      <c r="P349" t="s">
        <v>22</v>
      </c>
      <c r="Q349" t="s">
        <v>23</v>
      </c>
      <c r="R349" t="b">
        <f>OR(Таблица1[[#This Row],[Ежемесячный платеж]]&lt;$AC$5, Таблица1[[#This Row],[Ежемесячный платеж]]&gt;$AC$6)</f>
        <v>0</v>
      </c>
      <c r="S349" s="9">
        <f>(Таблица1[[#This Row],[Размер кредита]]-21824)/(789096-21824)</f>
        <v>0.16312077073058837</v>
      </c>
      <c r="T349" s="9">
        <f>(Таблица1[[#This Row],[Кредитный рейтинг]]-586)/(751-586)</f>
        <v>0.50909090909090904</v>
      </c>
      <c r="U349" s="9">
        <f>Таблица1[[#This Row],[Ежемесячный платеж]]/(Таблица1[[#This Row],[Годовой доход]]/12)</f>
        <v>0.30599976772095544</v>
      </c>
    </row>
    <row r="350" spans="1:21" x14ac:dyDescent="0.3">
      <c r="A350">
        <v>349</v>
      </c>
      <c r="B350">
        <v>0</v>
      </c>
      <c r="C350" s="9">
        <v>533698</v>
      </c>
      <c r="D350">
        <v>699</v>
      </c>
      <c r="E350" s="1">
        <v>1853298</v>
      </c>
      <c r="F350">
        <v>72</v>
      </c>
      <c r="G350">
        <v>30270.61</v>
      </c>
      <c r="H350">
        <v>21.6</v>
      </c>
      <c r="I350">
        <v>18</v>
      </c>
      <c r="J350">
        <v>342209</v>
      </c>
      <c r="K350">
        <v>589644</v>
      </c>
      <c r="L350" t="s">
        <v>63</v>
      </c>
      <c r="M350" t="s">
        <v>392</v>
      </c>
      <c r="N350" t="s">
        <v>26</v>
      </c>
      <c r="O350" t="s">
        <v>34</v>
      </c>
      <c r="P350" t="s">
        <v>31</v>
      </c>
      <c r="Q350" t="s">
        <v>23</v>
      </c>
      <c r="R350" t="b">
        <f>OR(Таблица1[[#This Row],[Ежемесячный платеж]]&lt;$AC$5, Таблица1[[#This Row],[Ежемесячный платеж]]&gt;$AC$6)</f>
        <v>0</v>
      </c>
      <c r="S350" s="9">
        <f>(Таблица1[[#This Row],[Размер кредита]]-21824)/(789096-21824)</f>
        <v>0.66713499254501663</v>
      </c>
      <c r="T350" s="9">
        <f>(Таблица1[[#This Row],[Кредитный рейтинг]]-586)/(751-586)</f>
        <v>0.68484848484848482</v>
      </c>
      <c r="U350" s="9">
        <f>Таблица1[[#This Row],[Ежемесячный платеж]]/(Таблица1[[#This Row],[Годовой доход]]/12)</f>
        <v>0.19600049209571263</v>
      </c>
    </row>
    <row r="351" spans="1:21" x14ac:dyDescent="0.3">
      <c r="A351">
        <v>350</v>
      </c>
      <c r="B351">
        <v>0</v>
      </c>
      <c r="C351" s="9">
        <v>316514</v>
      </c>
      <c r="D351">
        <f>$Y$13</f>
        <v>723</v>
      </c>
      <c r="E351">
        <f>$AB$13</f>
        <v>1168044</v>
      </c>
      <c r="F351">
        <v>0</v>
      </c>
      <c r="G351">
        <v>12437.59</v>
      </c>
      <c r="H351">
        <v>16.899999999999999</v>
      </c>
      <c r="I351">
        <v>13</v>
      </c>
      <c r="J351">
        <v>413060</v>
      </c>
      <c r="K351">
        <v>582560</v>
      </c>
      <c r="L351" t="s">
        <v>37</v>
      </c>
      <c r="M351" t="s">
        <v>393</v>
      </c>
      <c r="N351" t="s">
        <v>26</v>
      </c>
      <c r="O351" t="s">
        <v>34</v>
      </c>
      <c r="P351" t="s">
        <v>22</v>
      </c>
      <c r="Q351" t="s">
        <v>23</v>
      </c>
      <c r="R351" t="b">
        <f>OR(Таблица1[[#This Row],[Ежемесячный платеж]]&lt;$AC$5, Таблица1[[#This Row],[Ежемесячный платеж]]&gt;$AC$6)</f>
        <v>0</v>
      </c>
      <c r="S351" s="9">
        <f>(Таблица1[[#This Row],[Размер кредита]]-21824)/(789096-21824)</f>
        <v>0.38407500860190391</v>
      </c>
      <c r="T351" s="9">
        <f>(Таблица1[[#This Row],[Кредитный рейтинг]]-586)/(751-586)</f>
        <v>0.83030303030303032</v>
      </c>
      <c r="U351" s="9">
        <f>Таблица1[[#This Row],[Ежемесячный платеж]]/(Таблица1[[#This Row],[Годовой доход]]/12)</f>
        <v>0.12777864532500488</v>
      </c>
    </row>
    <row r="352" spans="1:21" x14ac:dyDescent="0.3">
      <c r="A352">
        <v>351</v>
      </c>
      <c r="B352">
        <v>0</v>
      </c>
      <c r="C352" s="9">
        <v>563068</v>
      </c>
      <c r="D352">
        <v>623</v>
      </c>
      <c r="E352" s="1">
        <v>2094807</v>
      </c>
      <c r="F352">
        <v>0</v>
      </c>
      <c r="G352">
        <v>35960.92</v>
      </c>
      <c r="H352">
        <v>12.1</v>
      </c>
      <c r="I352">
        <v>17</v>
      </c>
      <c r="J352">
        <v>580203</v>
      </c>
      <c r="K352">
        <v>917774</v>
      </c>
      <c r="L352" t="s">
        <v>37</v>
      </c>
      <c r="M352" t="s">
        <v>394</v>
      </c>
      <c r="N352" t="s">
        <v>26</v>
      </c>
      <c r="O352" t="s">
        <v>34</v>
      </c>
      <c r="P352" t="s">
        <v>31</v>
      </c>
      <c r="Q352" t="s">
        <v>36</v>
      </c>
      <c r="R352" t="b">
        <f>OR(Таблица1[[#This Row],[Ежемесячный платеж]]&lt;$AC$5, Таблица1[[#This Row],[Ежемесячный платеж]]&gt;$AC$6)</f>
        <v>0</v>
      </c>
      <c r="S352" s="9">
        <f>(Таблица1[[#This Row],[Размер кредита]]-21824)/(789096-21824)</f>
        <v>0.70541346484688616</v>
      </c>
      <c r="T352" s="9">
        <f>(Таблица1[[#This Row],[Кредитный рейтинг]]-586)/(751-586)</f>
        <v>0.22424242424242424</v>
      </c>
      <c r="U352" s="9">
        <f>Таблица1[[#This Row],[Ежемесячный платеж]]/(Таблица1[[#This Row],[Годовой доход]]/12)</f>
        <v>0.20600038094201517</v>
      </c>
    </row>
    <row r="353" spans="1:21" x14ac:dyDescent="0.3">
      <c r="A353">
        <v>352</v>
      </c>
      <c r="B353">
        <v>0</v>
      </c>
      <c r="C353" s="9">
        <v>163482</v>
      </c>
      <c r="D353">
        <v>711</v>
      </c>
      <c r="E353" s="1">
        <v>564756</v>
      </c>
      <c r="F353">
        <v>0</v>
      </c>
      <c r="G353">
        <v>6447.65</v>
      </c>
      <c r="H353">
        <v>12.4</v>
      </c>
      <c r="I353">
        <v>9</v>
      </c>
      <c r="J353">
        <v>216809</v>
      </c>
      <c r="K353">
        <v>318186</v>
      </c>
      <c r="L353" t="s">
        <v>24</v>
      </c>
      <c r="M353" t="s">
        <v>395</v>
      </c>
      <c r="N353" t="s">
        <v>76</v>
      </c>
      <c r="O353" t="s">
        <v>34</v>
      </c>
      <c r="P353" t="s">
        <v>22</v>
      </c>
      <c r="Q353" t="s">
        <v>23</v>
      </c>
      <c r="R353" t="b">
        <f>OR(Таблица1[[#This Row],[Ежемесячный платеж]]&lt;$AC$5, Таблица1[[#This Row],[Ежемесячный платеж]]&gt;$AC$6)</f>
        <v>0</v>
      </c>
      <c r="S353" s="9">
        <f>(Таблица1[[#This Row],[Размер кредита]]-21824)/(789096-21824)</f>
        <v>0.18462553045073976</v>
      </c>
      <c r="T353" s="9">
        <f>(Таблица1[[#This Row],[Кредитный рейтинг]]-586)/(751-586)</f>
        <v>0.75757575757575757</v>
      </c>
      <c r="U353" s="9">
        <f>Таблица1[[#This Row],[Ежемесячный платеж]]/(Таблица1[[#This Row],[Годовой доход]]/12)</f>
        <v>0.13700040371417035</v>
      </c>
    </row>
    <row r="354" spans="1:21" x14ac:dyDescent="0.3">
      <c r="A354">
        <v>353</v>
      </c>
      <c r="B354">
        <v>0</v>
      </c>
      <c r="C354" s="9">
        <v>173316</v>
      </c>
      <c r="D354">
        <v>744</v>
      </c>
      <c r="E354" s="1">
        <v>954275</v>
      </c>
      <c r="F354">
        <v>0</v>
      </c>
      <c r="G354">
        <v>6457.15</v>
      </c>
      <c r="H354">
        <v>13.2</v>
      </c>
      <c r="I354">
        <v>5</v>
      </c>
      <c r="J354">
        <v>327541</v>
      </c>
      <c r="K354">
        <v>780384</v>
      </c>
      <c r="L354" t="s">
        <v>41</v>
      </c>
      <c r="M354" t="s">
        <v>396</v>
      </c>
      <c r="N354" t="s">
        <v>26</v>
      </c>
      <c r="O354" t="s">
        <v>21</v>
      </c>
      <c r="P354" t="s">
        <v>22</v>
      </c>
      <c r="Q354" t="s">
        <v>23</v>
      </c>
      <c r="R354" t="b">
        <f>OR(Таблица1[[#This Row],[Ежемесячный платеж]]&lt;$AC$5, Таблица1[[#This Row],[Ежемесячный платеж]]&gt;$AC$6)</f>
        <v>0</v>
      </c>
      <c r="S354" s="9">
        <f>(Таблица1[[#This Row],[Размер кредита]]-21824)/(789096-21824)</f>
        <v>0.19744236724395001</v>
      </c>
      <c r="T354" s="9">
        <f>(Таблица1[[#This Row],[Кредитный рейтинг]]-586)/(751-586)</f>
        <v>0.95757575757575752</v>
      </c>
      <c r="U354" s="9">
        <f>Таблица1[[#This Row],[Ежемесячный платеж]]/(Таблица1[[#This Row],[Годовой доход]]/12)</f>
        <v>8.1198606271776996E-2</v>
      </c>
    </row>
    <row r="355" spans="1:21" x14ac:dyDescent="0.3">
      <c r="A355">
        <v>354</v>
      </c>
      <c r="B355">
        <v>0</v>
      </c>
      <c r="C355" s="9">
        <v>133936</v>
      </c>
      <c r="D355">
        <v>639</v>
      </c>
      <c r="E355" s="1">
        <v>347035</v>
      </c>
      <c r="F355">
        <v>22</v>
      </c>
      <c r="G355">
        <v>6969.39</v>
      </c>
      <c r="H355">
        <v>15.4</v>
      </c>
      <c r="I355">
        <v>10</v>
      </c>
      <c r="J355">
        <v>68742</v>
      </c>
      <c r="K355">
        <v>151910</v>
      </c>
      <c r="L355" t="s">
        <v>63</v>
      </c>
      <c r="M355" t="s">
        <v>397</v>
      </c>
      <c r="N355" t="s">
        <v>20</v>
      </c>
      <c r="O355" t="s">
        <v>21</v>
      </c>
      <c r="P355" t="s">
        <v>22</v>
      </c>
      <c r="Q355" t="s">
        <v>36</v>
      </c>
      <c r="R355" t="b">
        <f>OR(Таблица1[[#This Row],[Ежемесячный платеж]]&lt;$AC$5, Таблица1[[#This Row],[Ежемесячный платеж]]&gt;$AC$6)</f>
        <v>0</v>
      </c>
      <c r="S355" s="9">
        <f>(Таблица1[[#This Row],[Размер кредита]]-21824)/(789096-21824)</f>
        <v>0.14611767404518866</v>
      </c>
      <c r="T355" s="9">
        <f>(Таблица1[[#This Row],[Кредитный рейтинг]]-586)/(751-586)</f>
        <v>0.32121212121212123</v>
      </c>
      <c r="U355" s="9">
        <f>Таблица1[[#This Row],[Ежемесячный платеж]]/(Таблица1[[#This Row],[Годовой доход]]/12)</f>
        <v>0.24099206131946346</v>
      </c>
    </row>
    <row r="356" spans="1:21" x14ac:dyDescent="0.3">
      <c r="A356">
        <v>355</v>
      </c>
      <c r="B356">
        <v>0</v>
      </c>
      <c r="C356" s="9">
        <v>64526</v>
      </c>
      <c r="D356">
        <v>747</v>
      </c>
      <c r="E356" s="1">
        <v>185782</v>
      </c>
      <c r="F356">
        <v>0</v>
      </c>
      <c r="G356">
        <v>4799.3999999999996</v>
      </c>
      <c r="H356">
        <v>10.1</v>
      </c>
      <c r="I356">
        <v>8</v>
      </c>
      <c r="J356">
        <v>72257</v>
      </c>
      <c r="K356">
        <v>172128</v>
      </c>
      <c r="L356" t="s">
        <v>37</v>
      </c>
      <c r="M356" t="s">
        <v>398</v>
      </c>
      <c r="N356" t="s">
        <v>26</v>
      </c>
      <c r="O356" t="s">
        <v>34</v>
      </c>
      <c r="P356" t="s">
        <v>22</v>
      </c>
      <c r="Q356" t="s">
        <v>23</v>
      </c>
      <c r="R356" t="b">
        <f>OR(Таблица1[[#This Row],[Ежемесячный платеж]]&lt;$AC$5, Таблица1[[#This Row],[Ежемесячный платеж]]&gt;$AC$6)</f>
        <v>0</v>
      </c>
      <c r="S356" s="9">
        <f>(Таблица1[[#This Row],[Размер кредита]]-21824)/(789096-21824)</f>
        <v>5.5654318155751809E-2</v>
      </c>
      <c r="T356" s="9">
        <f>(Таблица1[[#This Row],[Кредитный рейтинг]]-586)/(751-586)</f>
        <v>0.97575757575757571</v>
      </c>
      <c r="U356" s="9">
        <f>Таблица1[[#This Row],[Ежемесячный платеж]]/(Таблица1[[#This Row],[Годовой доход]]/12)</f>
        <v>0.31000204540805887</v>
      </c>
    </row>
    <row r="357" spans="1:21" x14ac:dyDescent="0.3">
      <c r="A357">
        <v>356</v>
      </c>
      <c r="B357">
        <v>0</v>
      </c>
      <c r="C357" s="9">
        <v>47806</v>
      </c>
      <c r="D357">
        <v>671</v>
      </c>
      <c r="E357" s="1">
        <v>835620</v>
      </c>
      <c r="F357">
        <v>12</v>
      </c>
      <c r="G357">
        <v>3070.97</v>
      </c>
      <c r="H357">
        <v>12.8</v>
      </c>
      <c r="I357">
        <v>10</v>
      </c>
      <c r="J357">
        <v>48051</v>
      </c>
      <c r="K357">
        <v>60764</v>
      </c>
      <c r="L357" t="s">
        <v>41</v>
      </c>
      <c r="M357" t="s">
        <v>399</v>
      </c>
      <c r="N357" t="s">
        <v>68</v>
      </c>
      <c r="O357" t="s">
        <v>34</v>
      </c>
      <c r="P357" t="s">
        <v>22</v>
      </c>
      <c r="Q357" t="s">
        <v>36</v>
      </c>
      <c r="R357" t="b">
        <f>OR(Таблица1[[#This Row],[Ежемесячный платеж]]&lt;$AC$5, Таблица1[[#This Row],[Ежемесячный платеж]]&gt;$AC$6)</f>
        <v>0</v>
      </c>
      <c r="S357" s="9">
        <f>(Таблица1[[#This Row],[Размер кредита]]-21824)/(789096-21824)</f>
        <v>3.3862828305998391E-2</v>
      </c>
      <c r="T357" s="9">
        <f>(Таблица1[[#This Row],[Кредитный рейтинг]]-586)/(751-586)</f>
        <v>0.51515151515151514</v>
      </c>
      <c r="U357" s="9">
        <f>Таблица1[[#This Row],[Ежемесячный платеж]]/(Таблица1[[#This Row],[Годовой доход]]/12)</f>
        <v>4.4100954979536151E-2</v>
      </c>
    </row>
    <row r="358" spans="1:21" x14ac:dyDescent="0.3">
      <c r="A358">
        <v>357</v>
      </c>
      <c r="B358">
        <v>0</v>
      </c>
      <c r="C358" s="9">
        <v>131934</v>
      </c>
      <c r="D358">
        <f>$Y$13</f>
        <v>723</v>
      </c>
      <c r="E358">
        <f>$AB$13</f>
        <v>1168044</v>
      </c>
      <c r="F358">
        <v>47</v>
      </c>
      <c r="G358">
        <v>10640.95</v>
      </c>
      <c r="H358">
        <v>16.7</v>
      </c>
      <c r="I358">
        <v>7</v>
      </c>
      <c r="J358">
        <v>136154</v>
      </c>
      <c r="K358">
        <v>248270</v>
      </c>
      <c r="L358" t="s">
        <v>24</v>
      </c>
      <c r="M358" t="s">
        <v>400</v>
      </c>
      <c r="N358" t="s">
        <v>26</v>
      </c>
      <c r="O358" t="s">
        <v>34</v>
      </c>
      <c r="P358" t="s">
        <v>22</v>
      </c>
      <c r="Q358" t="s">
        <v>23</v>
      </c>
      <c r="R358" t="b">
        <f>OR(Таблица1[[#This Row],[Ежемесячный платеж]]&lt;$AC$5, Таблица1[[#This Row],[Ежемесячный платеж]]&gt;$AC$6)</f>
        <v>0</v>
      </c>
      <c r="S358" s="9">
        <f>(Таблица1[[#This Row],[Размер кредита]]-21824)/(789096-21824)</f>
        <v>0.14350842986581031</v>
      </c>
      <c r="T358" s="9">
        <f>(Таблица1[[#This Row],[Кредитный рейтинг]]-586)/(751-586)</f>
        <v>0.83030303030303032</v>
      </c>
      <c r="U358" s="9">
        <f>Таблица1[[#This Row],[Ежемесячный платеж]]/(Таблица1[[#This Row],[Годовой доход]]/12)</f>
        <v>0.109320710521179</v>
      </c>
    </row>
    <row r="359" spans="1:21" x14ac:dyDescent="0.3">
      <c r="A359">
        <v>358</v>
      </c>
      <c r="B359">
        <v>0</v>
      </c>
      <c r="C359" s="9">
        <v>147576</v>
      </c>
      <c r="D359">
        <v>748</v>
      </c>
      <c r="E359" s="1">
        <v>463429</v>
      </c>
      <c r="F359">
        <v>36</v>
      </c>
      <c r="G359">
        <v>8573.56</v>
      </c>
      <c r="H359">
        <v>12.9</v>
      </c>
      <c r="I359">
        <v>20</v>
      </c>
      <c r="J359">
        <v>88939</v>
      </c>
      <c r="K359">
        <v>357588</v>
      </c>
      <c r="L359" t="s">
        <v>41</v>
      </c>
      <c r="M359" t="s">
        <v>401</v>
      </c>
      <c r="N359" t="s">
        <v>26</v>
      </c>
      <c r="O359" t="s">
        <v>34</v>
      </c>
      <c r="P359" t="s">
        <v>22</v>
      </c>
      <c r="Q359" t="s">
        <v>36</v>
      </c>
      <c r="R359" t="b">
        <f>OR(Таблица1[[#This Row],[Ежемесячный платеж]]&lt;$AC$5, Таблица1[[#This Row],[Ежемесячный платеж]]&gt;$AC$6)</f>
        <v>0</v>
      </c>
      <c r="S359" s="9">
        <f>(Таблица1[[#This Row],[Размер кредита]]-21824)/(789096-21824)</f>
        <v>0.16389494208051383</v>
      </c>
      <c r="T359" s="9">
        <f>(Таблица1[[#This Row],[Кредитный рейтинг]]-586)/(751-586)</f>
        <v>0.98181818181818181</v>
      </c>
      <c r="U359" s="9">
        <f>Таблица1[[#This Row],[Ежемесячный платеж]]/(Таблица1[[#This Row],[Годовой доход]]/12)</f>
        <v>0.22200319790086503</v>
      </c>
    </row>
    <row r="360" spans="1:21" x14ac:dyDescent="0.3">
      <c r="A360">
        <v>359</v>
      </c>
      <c r="B360">
        <v>0</v>
      </c>
      <c r="C360" s="9">
        <v>545160</v>
      </c>
      <c r="D360">
        <v>699</v>
      </c>
      <c r="E360" s="1">
        <v>3954888</v>
      </c>
      <c r="F360">
        <v>39</v>
      </c>
      <c r="G360">
        <v>27881.93</v>
      </c>
      <c r="H360">
        <v>18.100000000000001</v>
      </c>
      <c r="I360">
        <v>15</v>
      </c>
      <c r="J360">
        <v>163020</v>
      </c>
      <c r="K360">
        <v>215974</v>
      </c>
      <c r="L360" t="s">
        <v>24</v>
      </c>
      <c r="M360" t="s">
        <v>402</v>
      </c>
      <c r="N360" t="s">
        <v>26</v>
      </c>
      <c r="O360" t="s">
        <v>21</v>
      </c>
      <c r="P360" t="s">
        <v>31</v>
      </c>
      <c r="Q360" t="s">
        <v>23</v>
      </c>
      <c r="R360" t="b">
        <f>OR(Таблица1[[#This Row],[Ежемесячный платеж]]&lt;$AC$5, Таблица1[[#This Row],[Ежемесячный платеж]]&gt;$AC$6)</f>
        <v>0</v>
      </c>
      <c r="S360" s="9">
        <f>(Таблица1[[#This Row],[Размер кредита]]-21824)/(789096-21824)</f>
        <v>0.6820736322972818</v>
      </c>
      <c r="T360" s="9">
        <f>(Таблица1[[#This Row],[Кредитный рейтинг]]-586)/(751-586)</f>
        <v>0.68484848484848482</v>
      </c>
      <c r="U360" s="9">
        <f>Таблица1[[#This Row],[Ежемесячный платеж]]/(Таблица1[[#This Row],[Годовой доход]]/12)</f>
        <v>8.4599907759714058E-2</v>
      </c>
    </row>
    <row r="361" spans="1:21" x14ac:dyDescent="0.3">
      <c r="A361">
        <v>360</v>
      </c>
      <c r="B361">
        <v>0</v>
      </c>
      <c r="C361" s="9">
        <v>657294</v>
      </c>
      <c r="D361">
        <v>691</v>
      </c>
      <c r="E361" s="1">
        <v>2270652</v>
      </c>
      <c r="F361">
        <v>40</v>
      </c>
      <c r="G361">
        <v>24031.01</v>
      </c>
      <c r="H361">
        <v>11.3</v>
      </c>
      <c r="I361">
        <v>12</v>
      </c>
      <c r="J361">
        <v>405327</v>
      </c>
      <c r="K361">
        <v>811998</v>
      </c>
      <c r="L361" t="s">
        <v>47</v>
      </c>
      <c r="M361" t="s">
        <v>403</v>
      </c>
      <c r="N361" t="s">
        <v>26</v>
      </c>
      <c r="O361" t="s">
        <v>34</v>
      </c>
      <c r="P361" t="s">
        <v>22</v>
      </c>
      <c r="Q361" t="s">
        <v>23</v>
      </c>
      <c r="R361" t="b">
        <f>OR(Таблица1[[#This Row],[Ежемесячный платеж]]&lt;$AC$5, Таблица1[[#This Row],[Ежемесячный платеж]]&gt;$AC$6)</f>
        <v>0</v>
      </c>
      <c r="S361" s="9">
        <f>(Таблица1[[#This Row],[Размер кредита]]-21824)/(789096-21824)</f>
        <v>0.82821997935543068</v>
      </c>
      <c r="T361" s="9">
        <f>(Таблица1[[#This Row],[Кредитный рейтинг]]-586)/(751-586)</f>
        <v>0.63636363636363635</v>
      </c>
      <c r="U361" s="9">
        <f>Таблица1[[#This Row],[Ежемесячный платеж]]/(Таблица1[[#This Row],[Годовой доход]]/12)</f>
        <v>0.12699969876493622</v>
      </c>
    </row>
    <row r="362" spans="1:21" x14ac:dyDescent="0.3">
      <c r="A362">
        <v>361</v>
      </c>
      <c r="B362">
        <v>0</v>
      </c>
      <c r="C362" s="9">
        <v>780406</v>
      </c>
      <c r="D362">
        <v>715</v>
      </c>
      <c r="E362" s="1">
        <v>3369897</v>
      </c>
      <c r="F362">
        <v>0</v>
      </c>
      <c r="G362">
        <v>35945.53</v>
      </c>
      <c r="H362">
        <v>9.1999999999999993</v>
      </c>
      <c r="I362">
        <v>6</v>
      </c>
      <c r="J362">
        <v>457710</v>
      </c>
      <c r="K362">
        <v>1130008</v>
      </c>
      <c r="L362" t="s">
        <v>24</v>
      </c>
      <c r="M362" t="s">
        <v>404</v>
      </c>
      <c r="N362" t="s">
        <v>26</v>
      </c>
      <c r="O362" t="s">
        <v>21</v>
      </c>
      <c r="P362" t="s">
        <v>22</v>
      </c>
      <c r="Q362" t="s">
        <v>23</v>
      </c>
      <c r="R362" t="b">
        <f>OR(Таблица1[[#This Row],[Ежемесячный платеж]]&lt;$AC$5, Таблица1[[#This Row],[Ежемесячный платеж]]&gt;$AC$6)</f>
        <v>0</v>
      </c>
      <c r="S362" s="9">
        <f>(Таблица1[[#This Row],[Размер кредита]]-21824)/(789096-21824)</f>
        <v>0.98867415988072027</v>
      </c>
      <c r="T362" s="9">
        <f>(Таблица1[[#This Row],[Кредитный рейтинг]]-586)/(751-586)</f>
        <v>0.78181818181818186</v>
      </c>
      <c r="U362" s="9">
        <f>Таблица1[[#This Row],[Ежемесячный платеж]]/(Таблица1[[#This Row],[Годовой доход]]/12)</f>
        <v>0.12799986468429153</v>
      </c>
    </row>
    <row r="363" spans="1:21" x14ac:dyDescent="0.3">
      <c r="A363">
        <v>362</v>
      </c>
      <c r="B363">
        <v>0</v>
      </c>
      <c r="D363">
        <v>743</v>
      </c>
      <c r="E363" s="1">
        <v>2688462</v>
      </c>
      <c r="F363">
        <v>34</v>
      </c>
      <c r="G363">
        <v>32037.42</v>
      </c>
      <c r="H363">
        <v>20.5</v>
      </c>
      <c r="I363">
        <v>14</v>
      </c>
      <c r="J363">
        <v>198094</v>
      </c>
      <c r="K363">
        <v>749606</v>
      </c>
      <c r="L363" t="s">
        <v>63</v>
      </c>
      <c r="M363" t="s">
        <v>405</v>
      </c>
      <c r="N363" t="s">
        <v>26</v>
      </c>
      <c r="O363" t="s">
        <v>34</v>
      </c>
      <c r="P363" t="s">
        <v>22</v>
      </c>
      <c r="Q363" t="s">
        <v>23</v>
      </c>
      <c r="R363" t="b">
        <f>OR(Таблица1[[#This Row],[Ежемесячный платеж]]&lt;$AC$5, Таблица1[[#This Row],[Ежемесячный платеж]]&gt;$AC$6)</f>
        <v>0</v>
      </c>
      <c r="T363" s="9">
        <f>(Таблица1[[#This Row],[Кредитный рейтинг]]-586)/(751-586)</f>
        <v>0.95151515151515154</v>
      </c>
      <c r="U363" s="9">
        <f>Таблица1[[#This Row],[Ежемесячный платеж]]/(Таблица1[[#This Row],[Годовой доход]]/12)</f>
        <v>0.14299961836916422</v>
      </c>
    </row>
    <row r="364" spans="1:21" x14ac:dyDescent="0.3">
      <c r="A364">
        <v>363</v>
      </c>
      <c r="B364">
        <v>0</v>
      </c>
      <c r="C364" s="9">
        <v>43318</v>
      </c>
      <c r="D364">
        <v>708</v>
      </c>
      <c r="E364" s="1">
        <v>897769</v>
      </c>
      <c r="F364">
        <v>0</v>
      </c>
      <c r="G364">
        <v>7391.57</v>
      </c>
      <c r="H364">
        <v>17.899999999999999</v>
      </c>
      <c r="I364">
        <v>2</v>
      </c>
      <c r="J364">
        <v>3382</v>
      </c>
      <c r="K364">
        <v>4334</v>
      </c>
      <c r="L364" t="s">
        <v>47</v>
      </c>
      <c r="M364" t="s">
        <v>406</v>
      </c>
      <c r="N364" t="s">
        <v>68</v>
      </c>
      <c r="O364" t="s">
        <v>34</v>
      </c>
      <c r="P364" t="s">
        <v>22</v>
      </c>
      <c r="Q364" t="s">
        <v>23</v>
      </c>
      <c r="R364" t="b">
        <f>OR(Таблица1[[#This Row],[Ежемесячный платеж]]&lt;$AC$5, Таблица1[[#This Row],[Ежемесячный платеж]]&gt;$AC$6)</f>
        <v>0</v>
      </c>
      <c r="S364" s="9">
        <f>(Таблица1[[#This Row],[Размер кредита]]-21824)/(789096-21824)</f>
        <v>2.8013533662117215E-2</v>
      </c>
      <c r="T364" s="9">
        <f>(Таблица1[[#This Row],[Кредитный рейтинг]]-586)/(751-586)</f>
        <v>0.73939393939393938</v>
      </c>
      <c r="U364" s="9">
        <f>Таблица1[[#This Row],[Ежемесячный платеж]]/(Таблица1[[#This Row],[Годовой доход]]/12)</f>
        <v>9.8799178853357608E-2</v>
      </c>
    </row>
    <row r="365" spans="1:21" x14ac:dyDescent="0.3">
      <c r="A365">
        <v>364</v>
      </c>
      <c r="B365">
        <v>1</v>
      </c>
      <c r="C365" s="9">
        <v>44792</v>
      </c>
      <c r="D365">
        <v>723</v>
      </c>
      <c r="E365" s="1">
        <v>502892</v>
      </c>
      <c r="F365">
        <v>0</v>
      </c>
      <c r="G365">
        <v>7794.75</v>
      </c>
      <c r="H365">
        <v>7.5</v>
      </c>
      <c r="I365">
        <v>9</v>
      </c>
      <c r="J365">
        <v>193781</v>
      </c>
      <c r="K365">
        <v>358446</v>
      </c>
      <c r="L365" t="s">
        <v>52</v>
      </c>
      <c r="M365" t="s">
        <v>407</v>
      </c>
      <c r="N365" t="s">
        <v>68</v>
      </c>
      <c r="O365" t="s">
        <v>34</v>
      </c>
      <c r="P365" t="s">
        <v>22</v>
      </c>
      <c r="Q365" t="s">
        <v>23</v>
      </c>
      <c r="R365" t="b">
        <f>OR(Таблица1[[#This Row],[Ежемесячный платеж]]&lt;$AC$5, Таблица1[[#This Row],[Ежемесячный платеж]]&gt;$AC$6)</f>
        <v>0</v>
      </c>
      <c r="S365" s="9">
        <f>(Таблица1[[#This Row],[Размер кредита]]-21824)/(789096-21824)</f>
        <v>2.9934625530450738E-2</v>
      </c>
      <c r="T365" s="9">
        <f>(Таблица1[[#This Row],[Кредитный рейтинг]]-586)/(751-586)</f>
        <v>0.83030303030303032</v>
      </c>
      <c r="U365" s="9">
        <f>Таблица1[[#This Row],[Ежемесячный платеж]]/(Таблица1[[#This Row],[Годовой доход]]/12)</f>
        <v>0.18599818648934563</v>
      </c>
    </row>
    <row r="366" spans="1:21" x14ac:dyDescent="0.3">
      <c r="A366">
        <v>365</v>
      </c>
      <c r="B366">
        <v>0</v>
      </c>
      <c r="D366">
        <v>738</v>
      </c>
      <c r="E366" s="1">
        <v>992256</v>
      </c>
      <c r="F366">
        <v>14</v>
      </c>
      <c r="G366">
        <v>15793.37</v>
      </c>
      <c r="H366">
        <v>18.2</v>
      </c>
      <c r="I366">
        <v>11</v>
      </c>
      <c r="J366">
        <v>348878</v>
      </c>
      <c r="K366">
        <v>738496</v>
      </c>
      <c r="L366" t="s">
        <v>52</v>
      </c>
      <c r="M366" t="s">
        <v>408</v>
      </c>
      <c r="N366" t="s">
        <v>26</v>
      </c>
      <c r="O366" t="s">
        <v>34</v>
      </c>
      <c r="P366" t="s">
        <v>22</v>
      </c>
      <c r="Q366" t="s">
        <v>23</v>
      </c>
      <c r="R366" t="b">
        <f>OR(Таблица1[[#This Row],[Ежемесячный платеж]]&lt;$AC$5, Таблица1[[#This Row],[Ежемесячный платеж]]&gt;$AC$6)</f>
        <v>0</v>
      </c>
      <c r="T366" s="9">
        <f>(Таблица1[[#This Row],[Кредитный рейтинг]]-586)/(751-586)</f>
        <v>0.92121212121212126</v>
      </c>
      <c r="U366" s="9">
        <f>Таблица1[[#This Row],[Ежемесячный платеж]]/(Таблица1[[#This Row],[Годовой доход]]/12)</f>
        <v>0.19099954044117648</v>
      </c>
    </row>
    <row r="367" spans="1:21" x14ac:dyDescent="0.3">
      <c r="A367">
        <v>366</v>
      </c>
      <c r="B367">
        <v>0</v>
      </c>
      <c r="C367" s="9">
        <v>772772</v>
      </c>
      <c r="D367">
        <v>699</v>
      </c>
      <c r="E367" s="1">
        <v>3336970</v>
      </c>
      <c r="F367">
        <v>0</v>
      </c>
      <c r="G367">
        <v>41434.06</v>
      </c>
      <c r="H367">
        <v>14.6</v>
      </c>
      <c r="I367">
        <v>8</v>
      </c>
      <c r="J367">
        <v>91979</v>
      </c>
      <c r="K367">
        <v>132484</v>
      </c>
      <c r="L367" t="s">
        <v>50</v>
      </c>
      <c r="M367" t="s">
        <v>409</v>
      </c>
      <c r="N367" t="s">
        <v>26</v>
      </c>
      <c r="O367" t="s">
        <v>21</v>
      </c>
      <c r="P367" t="s">
        <v>31</v>
      </c>
      <c r="Q367" t="s">
        <v>36</v>
      </c>
      <c r="R367" t="b">
        <f>OR(Таблица1[[#This Row],[Ежемесячный платеж]]&lt;$AC$5, Таблица1[[#This Row],[Ежемесячный платеж]]&gt;$AC$6)</f>
        <v>0</v>
      </c>
      <c r="S367" s="9">
        <f>(Таблица1[[#This Row],[Размер кредита]]-21824)/(789096-21824)</f>
        <v>0.97872462438353025</v>
      </c>
      <c r="T367" s="9">
        <f>(Таблица1[[#This Row],[Кредитный рейтинг]]-586)/(751-586)</f>
        <v>0.68484848484848482</v>
      </c>
      <c r="U367" s="9">
        <f>Таблица1[[#This Row],[Ежемесячный платеж]]/(Таблица1[[#This Row],[Годовой доход]]/12)</f>
        <v>0.14900005693788076</v>
      </c>
    </row>
    <row r="368" spans="1:21" x14ac:dyDescent="0.3">
      <c r="A368">
        <v>367</v>
      </c>
      <c r="B368">
        <v>0</v>
      </c>
      <c r="C368" s="9">
        <v>268004</v>
      </c>
      <c r="D368">
        <v>750</v>
      </c>
      <c r="E368" s="1">
        <v>867996</v>
      </c>
      <c r="F368">
        <v>75</v>
      </c>
      <c r="G368">
        <v>21410.53</v>
      </c>
      <c r="H368">
        <v>23</v>
      </c>
      <c r="I368">
        <v>15</v>
      </c>
      <c r="J368">
        <v>309776</v>
      </c>
      <c r="K368">
        <v>1203664</v>
      </c>
      <c r="L368" t="s">
        <v>24</v>
      </c>
      <c r="M368" t="s">
        <v>410</v>
      </c>
      <c r="N368" t="s">
        <v>26</v>
      </c>
      <c r="O368" t="s">
        <v>34</v>
      </c>
      <c r="P368" t="s">
        <v>22</v>
      </c>
      <c r="Q368" t="s">
        <v>23</v>
      </c>
      <c r="R368" t="b">
        <f>OR(Таблица1[[#This Row],[Ежемесячный платеж]]&lt;$AC$5, Таблица1[[#This Row],[Ежемесячный платеж]]&gt;$AC$6)</f>
        <v>0</v>
      </c>
      <c r="S368" s="9">
        <f>(Таблица1[[#This Row],[Размер кредита]]-21824)/(789096-21824)</f>
        <v>0.32085101502465879</v>
      </c>
      <c r="T368" s="9">
        <f>(Таблица1[[#This Row],[Кредитный рейтинг]]-586)/(751-586)</f>
        <v>0.9939393939393939</v>
      </c>
      <c r="U368" s="9">
        <f>Таблица1[[#This Row],[Ежемесячный платеж]]/(Таблица1[[#This Row],[Годовой доход]]/12)</f>
        <v>0.29599947465195692</v>
      </c>
    </row>
    <row r="369" spans="1:21" x14ac:dyDescent="0.3">
      <c r="A369">
        <v>368</v>
      </c>
      <c r="B369">
        <v>1</v>
      </c>
      <c r="C369" s="9">
        <v>776864</v>
      </c>
      <c r="D369">
        <v>687</v>
      </c>
      <c r="E369" s="1">
        <v>1629383</v>
      </c>
      <c r="F369">
        <v>63</v>
      </c>
      <c r="G369">
        <v>34895.78</v>
      </c>
      <c r="H369">
        <v>19.600000000000001</v>
      </c>
      <c r="I369">
        <v>24</v>
      </c>
      <c r="J369">
        <v>481783</v>
      </c>
      <c r="K369">
        <v>950334</v>
      </c>
      <c r="L369" t="s">
        <v>24</v>
      </c>
      <c r="M369" t="s">
        <v>411</v>
      </c>
      <c r="N369" t="s">
        <v>26</v>
      </c>
      <c r="O369" t="s">
        <v>21</v>
      </c>
      <c r="P369" t="s">
        <v>22</v>
      </c>
      <c r="Q369" t="s">
        <v>23</v>
      </c>
      <c r="R369" t="b">
        <f>OR(Таблица1[[#This Row],[Ежемесячный платеж]]&lt;$AC$5, Таблица1[[#This Row],[Ежемесячный платеж]]&gt;$AC$6)</f>
        <v>0</v>
      </c>
      <c r="S369" s="9">
        <f>(Таблица1[[#This Row],[Размер кредита]]-21824)/(789096-21824)</f>
        <v>0.98405780479412774</v>
      </c>
      <c r="T369" s="9">
        <f>(Таблица1[[#This Row],[Кредитный рейтинг]]-586)/(751-586)</f>
        <v>0.61212121212121207</v>
      </c>
      <c r="U369" s="9">
        <f>Таблица1[[#This Row],[Ежемесячный платеж]]/(Таблица1[[#This Row],[Годовой доход]]/12)</f>
        <v>0.25699872896673159</v>
      </c>
    </row>
    <row r="370" spans="1:21" x14ac:dyDescent="0.3">
      <c r="A370">
        <v>369</v>
      </c>
      <c r="B370">
        <v>0</v>
      </c>
      <c r="C370" s="9">
        <v>273856</v>
      </c>
      <c r="D370">
        <v>614</v>
      </c>
      <c r="E370" s="1">
        <v>821826</v>
      </c>
      <c r="F370">
        <v>0</v>
      </c>
      <c r="G370">
        <v>8766.2199999999993</v>
      </c>
      <c r="H370">
        <v>16.399999999999999</v>
      </c>
      <c r="I370">
        <v>4</v>
      </c>
      <c r="J370">
        <v>146262</v>
      </c>
      <c r="K370">
        <v>234586</v>
      </c>
      <c r="L370" t="s">
        <v>24</v>
      </c>
      <c r="M370" t="s">
        <v>412</v>
      </c>
      <c r="N370" t="s">
        <v>26</v>
      </c>
      <c r="O370" t="s">
        <v>34</v>
      </c>
      <c r="P370" t="s">
        <v>31</v>
      </c>
      <c r="Q370" t="s">
        <v>23</v>
      </c>
      <c r="R370" t="b">
        <f>OR(Таблица1[[#This Row],[Ежемесячный платеж]]&lt;$AC$5, Таблица1[[#This Row],[Ежемесячный платеж]]&gt;$AC$6)</f>
        <v>0</v>
      </c>
      <c r="S370" s="9">
        <f>(Таблица1[[#This Row],[Размер кредита]]-21824)/(789096-21824)</f>
        <v>0.32847803647207247</v>
      </c>
      <c r="T370" s="9">
        <f>(Таблица1[[#This Row],[Кредитный рейтинг]]-586)/(751-586)</f>
        <v>0.16969696969696971</v>
      </c>
      <c r="U370" s="9">
        <f>Таблица1[[#This Row],[Ежемесячный платеж]]/(Таблица1[[#This Row],[Годовой доход]]/12)</f>
        <v>0.12800110972395615</v>
      </c>
    </row>
    <row r="371" spans="1:21" x14ac:dyDescent="0.3">
      <c r="A371">
        <v>370</v>
      </c>
      <c r="B371">
        <v>2</v>
      </c>
      <c r="C371" s="9">
        <v>33154</v>
      </c>
      <c r="D371">
        <v>713</v>
      </c>
      <c r="E371" s="1">
        <v>572793</v>
      </c>
      <c r="F371">
        <v>0</v>
      </c>
      <c r="G371">
        <v>13412.86</v>
      </c>
      <c r="H371">
        <v>11.8</v>
      </c>
      <c r="I371">
        <v>10</v>
      </c>
      <c r="J371">
        <v>49153</v>
      </c>
      <c r="K371">
        <v>178948</v>
      </c>
      <c r="L371" t="s">
        <v>24</v>
      </c>
      <c r="M371" t="s">
        <v>413</v>
      </c>
      <c r="N371" t="s">
        <v>103</v>
      </c>
      <c r="O371" t="s">
        <v>34</v>
      </c>
      <c r="P371" t="s">
        <v>22</v>
      </c>
      <c r="Q371" t="s">
        <v>23</v>
      </c>
      <c r="R371" t="b">
        <f>OR(Таблица1[[#This Row],[Ежемесячный платеж]]&lt;$AC$5, Таблица1[[#This Row],[Ежемесячный платеж]]&gt;$AC$6)</f>
        <v>0</v>
      </c>
      <c r="S371" s="9">
        <f>(Таблица1[[#This Row],[Размер кредита]]-21824)/(789096-21824)</f>
        <v>1.4766601674503957E-2</v>
      </c>
      <c r="T371" s="9">
        <f>(Таблица1[[#This Row],[Кредитный рейтинг]]-586)/(751-586)</f>
        <v>0.76969696969696966</v>
      </c>
      <c r="U371" s="9">
        <f>Таблица1[[#This Row],[Ежемесячный платеж]]/(Таблица1[[#This Row],[Годовой доход]]/12)</f>
        <v>0.2809991043884964</v>
      </c>
    </row>
    <row r="372" spans="1:21" x14ac:dyDescent="0.3">
      <c r="A372">
        <v>371</v>
      </c>
      <c r="B372">
        <v>0</v>
      </c>
      <c r="C372" s="9">
        <v>450384</v>
      </c>
      <c r="D372">
        <v>746</v>
      </c>
      <c r="E372" s="1">
        <v>1166904</v>
      </c>
      <c r="F372">
        <v>0</v>
      </c>
      <c r="G372">
        <v>31506.37</v>
      </c>
      <c r="H372">
        <v>20.2</v>
      </c>
      <c r="I372">
        <v>12</v>
      </c>
      <c r="J372">
        <v>332918</v>
      </c>
      <c r="K372">
        <v>687126</v>
      </c>
      <c r="L372" t="s">
        <v>24</v>
      </c>
      <c r="M372" t="s">
        <v>414</v>
      </c>
      <c r="N372" t="s">
        <v>20</v>
      </c>
      <c r="O372" t="s">
        <v>21</v>
      </c>
      <c r="P372" t="s">
        <v>22</v>
      </c>
      <c r="Q372" t="s">
        <v>23</v>
      </c>
      <c r="R372" t="b">
        <f>OR(Таблица1[[#This Row],[Ежемесячный платеж]]&lt;$AC$5, Таблица1[[#This Row],[Ежемесячный платеж]]&gt;$AC$6)</f>
        <v>0</v>
      </c>
      <c r="S372" s="9">
        <f>(Таблица1[[#This Row],[Размер кредита]]-21824)/(789096-21824)</f>
        <v>0.5585502924647322</v>
      </c>
      <c r="T372" s="9">
        <f>(Таблица1[[#This Row],[Кредитный рейтинг]]-586)/(751-586)</f>
        <v>0.96969696969696972</v>
      </c>
      <c r="U372" s="9">
        <f>Таблица1[[#This Row],[Ежемесячный платеж]]/(Таблица1[[#This Row],[Годовой доход]]/12)</f>
        <v>0.32399960922235249</v>
      </c>
    </row>
    <row r="373" spans="1:21" x14ac:dyDescent="0.3">
      <c r="A373">
        <v>372</v>
      </c>
      <c r="B373">
        <v>1</v>
      </c>
      <c r="C373" s="9">
        <v>662310</v>
      </c>
      <c r="D373">
        <v>699</v>
      </c>
      <c r="E373" s="1">
        <v>1258389</v>
      </c>
      <c r="F373">
        <v>64</v>
      </c>
      <c r="G373">
        <v>13213.17</v>
      </c>
      <c r="H373">
        <v>17.5</v>
      </c>
      <c r="I373">
        <v>8</v>
      </c>
      <c r="J373">
        <v>302309</v>
      </c>
      <c r="K373">
        <v>562782</v>
      </c>
      <c r="L373" t="s">
        <v>24</v>
      </c>
      <c r="M373" t="s">
        <v>415</v>
      </c>
      <c r="N373" t="s">
        <v>26</v>
      </c>
      <c r="O373" t="s">
        <v>21</v>
      </c>
      <c r="P373" t="s">
        <v>22</v>
      </c>
      <c r="Q373" t="s">
        <v>23</v>
      </c>
      <c r="R373" t="b">
        <f>OR(Таблица1[[#This Row],[Ежемесячный платеж]]&lt;$AC$5, Таблица1[[#This Row],[Ежемесячный платеж]]&gt;$AC$6)</f>
        <v>0</v>
      </c>
      <c r="S373" s="9">
        <f>(Таблица1[[#This Row],[Размер кредита]]-21824)/(789096-21824)</f>
        <v>0.83475742631035665</v>
      </c>
      <c r="T373" s="9">
        <f>(Таблица1[[#This Row],[Кредитный рейтинг]]-586)/(751-586)</f>
        <v>0.68484848484848482</v>
      </c>
      <c r="U373" s="9">
        <f>Таблица1[[#This Row],[Ежемесячный платеж]]/(Таблица1[[#This Row],[Годовой доход]]/12)</f>
        <v>0.12600081532816959</v>
      </c>
    </row>
    <row r="374" spans="1:21" x14ac:dyDescent="0.3">
      <c r="A374">
        <v>373</v>
      </c>
      <c r="B374">
        <v>0</v>
      </c>
      <c r="C374" s="9">
        <v>353232</v>
      </c>
      <c r="D374">
        <v>712</v>
      </c>
      <c r="E374" s="1">
        <v>823707</v>
      </c>
      <c r="F374">
        <v>41</v>
      </c>
      <c r="G374">
        <v>13659.67</v>
      </c>
      <c r="H374">
        <v>9.8000000000000007</v>
      </c>
      <c r="I374">
        <v>9</v>
      </c>
      <c r="J374">
        <v>117496</v>
      </c>
      <c r="K374">
        <v>242968</v>
      </c>
      <c r="L374" t="s">
        <v>24</v>
      </c>
      <c r="M374" t="s">
        <v>416</v>
      </c>
      <c r="N374" t="s">
        <v>26</v>
      </c>
      <c r="O374" t="s">
        <v>21</v>
      </c>
      <c r="P374" t="s">
        <v>22</v>
      </c>
      <c r="Q374" t="s">
        <v>23</v>
      </c>
      <c r="R374" t="b">
        <f>OR(Таблица1[[#This Row],[Ежемесячный платеж]]&lt;$AC$5, Таблица1[[#This Row],[Ежемесячный платеж]]&gt;$AC$6)</f>
        <v>0</v>
      </c>
      <c r="S374" s="9">
        <f>(Таблица1[[#This Row],[Размер кредита]]-21824)/(789096-21824)</f>
        <v>0.43193026723248079</v>
      </c>
      <c r="T374" s="9">
        <f>(Таблица1[[#This Row],[Кредитный рейтинг]]-586)/(751-586)</f>
        <v>0.76363636363636367</v>
      </c>
      <c r="U374" s="9">
        <f>Таблица1[[#This Row],[Ежемесячный платеж]]/(Таблица1[[#This Row],[Годовой доход]]/12)</f>
        <v>0.1989979932184624</v>
      </c>
    </row>
    <row r="375" spans="1:21" x14ac:dyDescent="0.3">
      <c r="A375">
        <v>374</v>
      </c>
      <c r="B375">
        <v>0</v>
      </c>
      <c r="D375">
        <v>734</v>
      </c>
      <c r="E375" s="1">
        <v>950399</v>
      </c>
      <c r="F375">
        <v>0</v>
      </c>
      <c r="G375">
        <v>17344.72</v>
      </c>
      <c r="H375">
        <v>14.2</v>
      </c>
      <c r="I375">
        <v>11</v>
      </c>
      <c r="J375">
        <v>139897</v>
      </c>
      <c r="K375">
        <v>217448</v>
      </c>
      <c r="L375" t="s">
        <v>29</v>
      </c>
      <c r="M375" t="s">
        <v>417</v>
      </c>
      <c r="N375" t="s">
        <v>26</v>
      </c>
      <c r="O375" t="s">
        <v>21</v>
      </c>
      <c r="P375" t="s">
        <v>22</v>
      </c>
      <c r="Q375" t="s">
        <v>23</v>
      </c>
      <c r="R375" t="b">
        <f>OR(Таблица1[[#This Row],[Ежемесячный платеж]]&lt;$AC$5, Таблица1[[#This Row],[Ежемесячный платеж]]&gt;$AC$6)</f>
        <v>0</v>
      </c>
      <c r="T375" s="9">
        <f>(Таблица1[[#This Row],[Кредитный рейтинг]]-586)/(751-586)</f>
        <v>0.89696969696969697</v>
      </c>
      <c r="U375" s="9">
        <f>Таблица1[[#This Row],[Ежемесячный платеж]]/(Таблица1[[#This Row],[Годовой доход]]/12)</f>
        <v>0.21899922032746247</v>
      </c>
    </row>
    <row r="376" spans="1:21" x14ac:dyDescent="0.3">
      <c r="A376">
        <v>375</v>
      </c>
      <c r="B376">
        <v>0</v>
      </c>
      <c r="C376" s="9">
        <v>221056</v>
      </c>
      <c r="D376">
        <v>741</v>
      </c>
      <c r="E376" s="1">
        <v>954560</v>
      </c>
      <c r="F376">
        <v>13</v>
      </c>
      <c r="G376">
        <v>9386.57</v>
      </c>
      <c r="H376">
        <v>12</v>
      </c>
      <c r="I376">
        <v>19</v>
      </c>
      <c r="J376">
        <v>117420</v>
      </c>
      <c r="K376">
        <v>229658</v>
      </c>
      <c r="L376" t="s">
        <v>24</v>
      </c>
      <c r="M376" t="s">
        <v>418</v>
      </c>
      <c r="N376" t="s">
        <v>26</v>
      </c>
      <c r="O376" t="s">
        <v>34</v>
      </c>
      <c r="P376" t="s">
        <v>22</v>
      </c>
      <c r="Q376" t="s">
        <v>23</v>
      </c>
      <c r="R376" t="b">
        <f>OR(Таблица1[[#This Row],[Ежемесячный платеж]]&lt;$AC$5, Таблица1[[#This Row],[Ежемесячный платеж]]&gt;$AC$6)</f>
        <v>0</v>
      </c>
      <c r="S376" s="9">
        <f>(Таблица1[[#This Row],[Размер кредита]]-21824)/(789096-21824)</f>
        <v>0.25966280536758801</v>
      </c>
      <c r="T376" s="9">
        <f>(Таблица1[[#This Row],[Кредитный рейтинг]]-586)/(751-586)</f>
        <v>0.93939393939393945</v>
      </c>
      <c r="U376" s="9">
        <f>Таблица1[[#This Row],[Ежемесячный платеж]]/(Таблица1[[#This Row],[Годовой доход]]/12)</f>
        <v>0.11800079617834394</v>
      </c>
    </row>
    <row r="377" spans="1:21" x14ac:dyDescent="0.3">
      <c r="A377">
        <v>376</v>
      </c>
      <c r="B377">
        <v>1</v>
      </c>
      <c r="C377" s="9">
        <v>76340</v>
      </c>
      <c r="D377">
        <f>$Y$13</f>
        <v>723</v>
      </c>
      <c r="E377">
        <f>$AB$13</f>
        <v>1168044</v>
      </c>
      <c r="F377">
        <v>0</v>
      </c>
      <c r="G377">
        <v>472.15</v>
      </c>
      <c r="H377">
        <v>23.6</v>
      </c>
      <c r="I377">
        <v>6</v>
      </c>
      <c r="J377">
        <v>15333</v>
      </c>
      <c r="K377">
        <v>322806</v>
      </c>
      <c r="L377" t="s">
        <v>24</v>
      </c>
      <c r="M377" t="s">
        <v>419</v>
      </c>
      <c r="N377" t="s">
        <v>99</v>
      </c>
      <c r="O377" t="s">
        <v>34</v>
      </c>
      <c r="P377" t="s">
        <v>22</v>
      </c>
      <c r="Q377" t="s">
        <v>23</v>
      </c>
      <c r="R377" t="b">
        <f>OR(Таблица1[[#This Row],[Ежемесячный платеж]]&lt;$AC$5, Таблица1[[#This Row],[Ежемесячный платеж]]&gt;$AC$6)</f>
        <v>0</v>
      </c>
      <c r="S377" s="9">
        <f>(Таблица1[[#This Row],[Размер кредита]]-21824)/(789096-21824)</f>
        <v>7.1051726115380201E-2</v>
      </c>
      <c r="T377" s="9">
        <f>(Таблица1[[#This Row],[Кредитный рейтинг]]-586)/(751-586)</f>
        <v>0.83030303030303032</v>
      </c>
      <c r="U377" s="9">
        <f>Таблица1[[#This Row],[Ежемесячный платеж]]/(Таблица1[[#This Row],[Годовой доход]]/12)</f>
        <v>4.8506734335350375E-3</v>
      </c>
    </row>
    <row r="378" spans="1:21" x14ac:dyDescent="0.3">
      <c r="A378">
        <v>377</v>
      </c>
      <c r="B378">
        <v>0</v>
      </c>
      <c r="C378" s="9">
        <v>469678</v>
      </c>
      <c r="D378">
        <v>667</v>
      </c>
      <c r="E378" s="1">
        <v>2250246</v>
      </c>
      <c r="F378">
        <v>0</v>
      </c>
      <c r="G378">
        <v>51380.56</v>
      </c>
      <c r="H378">
        <v>14.6</v>
      </c>
      <c r="I378">
        <v>43</v>
      </c>
      <c r="J378">
        <v>979526</v>
      </c>
      <c r="K378">
        <v>1543102</v>
      </c>
      <c r="L378" t="s">
        <v>69</v>
      </c>
      <c r="M378" t="s">
        <v>420</v>
      </c>
      <c r="N378" t="s">
        <v>26</v>
      </c>
      <c r="O378" t="s">
        <v>21</v>
      </c>
      <c r="P378" t="s">
        <v>31</v>
      </c>
      <c r="Q378" t="s">
        <v>23</v>
      </c>
      <c r="R378" t="b">
        <f>OR(Таблица1[[#This Row],[Ежемесячный платеж]]&lt;$AC$5, Таблица1[[#This Row],[Ежемесячный платеж]]&gt;$AC$6)</f>
        <v>1</v>
      </c>
      <c r="S378" s="9">
        <f>(Таблица1[[#This Row],[Размер кредита]]-21824)/(789096-21824)</f>
        <v>0.58369652483082923</v>
      </c>
      <c r="T378" s="9">
        <f>(Таблица1[[#This Row],[Кредитный рейтинг]]-586)/(751-586)</f>
        <v>0.49090909090909091</v>
      </c>
      <c r="U378" s="9">
        <f>Таблица1[[#This Row],[Ежемесячный платеж]]/(Таблица1[[#This Row],[Годовой доход]]/12)</f>
        <v>0.27399969603323371</v>
      </c>
    </row>
    <row r="379" spans="1:21" x14ac:dyDescent="0.3">
      <c r="A379">
        <v>378</v>
      </c>
      <c r="B379">
        <v>0</v>
      </c>
      <c r="D379">
        <v>739</v>
      </c>
      <c r="E379" s="1">
        <v>3095632</v>
      </c>
      <c r="F379">
        <v>19</v>
      </c>
      <c r="G379">
        <v>41017.199999999997</v>
      </c>
      <c r="H379">
        <v>21</v>
      </c>
      <c r="I379">
        <v>15</v>
      </c>
      <c r="J379">
        <v>288002</v>
      </c>
      <c r="K379">
        <v>508354</v>
      </c>
      <c r="L379" t="s">
        <v>29</v>
      </c>
      <c r="M379" t="s">
        <v>421</v>
      </c>
      <c r="N379" t="s">
        <v>26</v>
      </c>
      <c r="O379" t="s">
        <v>21</v>
      </c>
      <c r="P379" t="s">
        <v>22</v>
      </c>
      <c r="Q379" t="s">
        <v>23</v>
      </c>
      <c r="R379" t="b">
        <f>OR(Таблица1[[#This Row],[Ежемесячный платеж]]&lt;$AC$5, Таблица1[[#This Row],[Ежемесячный платеж]]&gt;$AC$6)</f>
        <v>0</v>
      </c>
      <c r="T379" s="9">
        <f>(Таблица1[[#This Row],[Кредитный рейтинг]]-586)/(751-586)</f>
        <v>0.92727272727272725</v>
      </c>
      <c r="U379" s="9">
        <f>Таблица1[[#This Row],[Ежемесячный платеж]]/(Таблица1[[#This Row],[Годовой доход]]/12)</f>
        <v>0.15900029460866147</v>
      </c>
    </row>
    <row r="380" spans="1:21" x14ac:dyDescent="0.3">
      <c r="A380">
        <v>379</v>
      </c>
      <c r="B380">
        <v>0</v>
      </c>
      <c r="D380">
        <v>726</v>
      </c>
      <c r="E380" s="1">
        <v>2311236</v>
      </c>
      <c r="F380">
        <v>18</v>
      </c>
      <c r="G380">
        <v>35438.99</v>
      </c>
      <c r="H380">
        <v>23.9</v>
      </c>
      <c r="I380">
        <v>18</v>
      </c>
      <c r="J380">
        <v>3528718</v>
      </c>
      <c r="K380">
        <v>10189234</v>
      </c>
      <c r="L380" t="s">
        <v>50</v>
      </c>
      <c r="M380" t="s">
        <v>422</v>
      </c>
      <c r="N380" t="s">
        <v>20</v>
      </c>
      <c r="O380" t="s">
        <v>21</v>
      </c>
      <c r="P380" t="s">
        <v>22</v>
      </c>
      <c r="Q380" t="s">
        <v>23</v>
      </c>
      <c r="R380" t="b">
        <f>OR(Таблица1[[#This Row],[Ежемесячный платеж]]&lt;$AC$5, Таблица1[[#This Row],[Ежемесячный платеж]]&gt;$AC$6)</f>
        <v>0</v>
      </c>
      <c r="T380" s="9">
        <f>(Таблица1[[#This Row],[Кредитный рейтинг]]-586)/(751-586)</f>
        <v>0.84848484848484851</v>
      </c>
      <c r="U380" s="9">
        <f>Таблица1[[#This Row],[Ежемесячный платеж]]/(Таблица1[[#This Row],[Годовой доход]]/12)</f>
        <v>0.18400019729703068</v>
      </c>
    </row>
    <row r="381" spans="1:21" x14ac:dyDescent="0.3">
      <c r="A381">
        <v>380</v>
      </c>
      <c r="B381">
        <v>1</v>
      </c>
      <c r="D381">
        <v>734</v>
      </c>
      <c r="E381" s="1">
        <v>652099</v>
      </c>
      <c r="F381">
        <v>0</v>
      </c>
      <c r="G381">
        <v>15922</v>
      </c>
      <c r="H381">
        <v>13</v>
      </c>
      <c r="I381">
        <v>15</v>
      </c>
      <c r="J381">
        <v>99788</v>
      </c>
      <c r="K381">
        <v>687786</v>
      </c>
      <c r="L381" t="s">
        <v>24</v>
      </c>
      <c r="M381" t="s">
        <v>423</v>
      </c>
      <c r="N381" t="s">
        <v>26</v>
      </c>
      <c r="O381" t="s">
        <v>34</v>
      </c>
      <c r="P381" t="s">
        <v>22</v>
      </c>
      <c r="Q381" t="s">
        <v>23</v>
      </c>
      <c r="R381" t="b">
        <f>OR(Таблица1[[#This Row],[Ежемесячный платеж]]&lt;$AC$5, Таблица1[[#This Row],[Ежемесячный платеж]]&gt;$AC$6)</f>
        <v>0</v>
      </c>
      <c r="T381" s="9">
        <f>(Таблица1[[#This Row],[Кредитный рейтинг]]-586)/(751-586)</f>
        <v>0.89696969696969697</v>
      </c>
      <c r="U381" s="9">
        <f>Таблица1[[#This Row],[Ежемесячный платеж]]/(Таблица1[[#This Row],[Годовой доход]]/12)</f>
        <v>0.29299845575595118</v>
      </c>
    </row>
    <row r="382" spans="1:21" x14ac:dyDescent="0.3">
      <c r="A382">
        <v>381</v>
      </c>
      <c r="B382">
        <v>0</v>
      </c>
      <c r="C382" s="9">
        <v>319726</v>
      </c>
      <c r="D382">
        <v>749</v>
      </c>
      <c r="E382" s="1">
        <v>952185</v>
      </c>
      <c r="F382">
        <v>0</v>
      </c>
      <c r="G382">
        <v>17059.91</v>
      </c>
      <c r="H382">
        <v>21.2</v>
      </c>
      <c r="I382">
        <v>8</v>
      </c>
      <c r="J382">
        <v>299725</v>
      </c>
      <c r="K382">
        <v>778140</v>
      </c>
      <c r="L382" t="s">
        <v>41</v>
      </c>
      <c r="M382" t="s">
        <v>424</v>
      </c>
      <c r="N382" t="s">
        <v>26</v>
      </c>
      <c r="O382" t="s">
        <v>21</v>
      </c>
      <c r="P382" t="s">
        <v>22</v>
      </c>
      <c r="Q382" t="s">
        <v>23</v>
      </c>
      <c r="R382" t="b">
        <f>OR(Таблица1[[#This Row],[Ежемесячный платеж]]&lt;$AC$5, Таблица1[[#This Row],[Ежемесячный платеж]]&gt;$AC$6)</f>
        <v>0</v>
      </c>
      <c r="S382" s="9">
        <f>(Таблица1[[#This Row],[Размер кредита]]-21824)/(789096-21824)</f>
        <v>0.38826126849409337</v>
      </c>
      <c r="T382" s="9">
        <f>(Таблица1[[#This Row],[Кредитный рейтинг]]-586)/(751-586)</f>
        <v>0.98787878787878791</v>
      </c>
      <c r="U382" s="9">
        <f>Таблица1[[#This Row],[Ежемесячный платеж]]/(Таблица1[[#This Row],[Годовой доход]]/12)</f>
        <v>0.21499910206524991</v>
      </c>
    </row>
    <row r="383" spans="1:21" x14ac:dyDescent="0.3">
      <c r="A383">
        <v>382</v>
      </c>
      <c r="B383">
        <v>0</v>
      </c>
      <c r="C383" s="9">
        <v>460350</v>
      </c>
      <c r="D383">
        <v>736</v>
      </c>
      <c r="E383" s="1">
        <v>888041</v>
      </c>
      <c r="F383">
        <v>0</v>
      </c>
      <c r="G383">
        <v>18796.89</v>
      </c>
      <c r="H383">
        <v>27.2</v>
      </c>
      <c r="I383">
        <v>9</v>
      </c>
      <c r="J383">
        <v>547504</v>
      </c>
      <c r="K383">
        <v>816948</v>
      </c>
      <c r="L383" t="s">
        <v>32</v>
      </c>
      <c r="M383" t="s">
        <v>425</v>
      </c>
      <c r="N383" t="s">
        <v>26</v>
      </c>
      <c r="O383" t="s">
        <v>28</v>
      </c>
      <c r="P383" t="s">
        <v>22</v>
      </c>
      <c r="Q383" t="s">
        <v>23</v>
      </c>
      <c r="R383" t="b">
        <f>OR(Таблица1[[#This Row],[Ежемесячный платеж]]&lt;$AC$5, Таблица1[[#This Row],[Ежемесячный платеж]]&gt;$AC$6)</f>
        <v>0</v>
      </c>
      <c r="S383" s="9">
        <f>(Таблица1[[#This Row],[Размер кредита]]-21824)/(789096-21824)</f>
        <v>0.57153916733570365</v>
      </c>
      <c r="T383" s="9">
        <f>(Таблица1[[#This Row],[Кредитный рейтинг]]-586)/(751-586)</f>
        <v>0.90909090909090906</v>
      </c>
      <c r="U383" s="9">
        <f>Таблица1[[#This Row],[Ежемесячный платеж]]/(Таблица1[[#This Row],[Годовой доход]]/12)</f>
        <v>0.25400029953571962</v>
      </c>
    </row>
    <row r="384" spans="1:21" x14ac:dyDescent="0.3">
      <c r="A384">
        <v>383</v>
      </c>
      <c r="B384">
        <v>0</v>
      </c>
      <c r="C384" s="9">
        <v>133606</v>
      </c>
      <c r="D384">
        <v>701</v>
      </c>
      <c r="E384" s="1">
        <v>2538343</v>
      </c>
      <c r="F384">
        <v>12</v>
      </c>
      <c r="G384">
        <v>18297.189999999999</v>
      </c>
      <c r="H384">
        <v>32.9</v>
      </c>
      <c r="I384">
        <v>21</v>
      </c>
      <c r="J384">
        <v>198911</v>
      </c>
      <c r="K384">
        <v>342738</v>
      </c>
      <c r="L384" t="s">
        <v>24</v>
      </c>
      <c r="M384" t="s">
        <v>426</v>
      </c>
      <c r="N384" t="s">
        <v>40</v>
      </c>
      <c r="O384" t="s">
        <v>21</v>
      </c>
      <c r="P384" t="s">
        <v>22</v>
      </c>
      <c r="Q384" t="s">
        <v>23</v>
      </c>
      <c r="R384" t="b">
        <f>OR(Таблица1[[#This Row],[Ежемесячный платеж]]&lt;$AC$5, Таблица1[[#This Row],[Ежемесячный платеж]]&gt;$AC$6)</f>
        <v>0</v>
      </c>
      <c r="S384" s="9">
        <f>(Таблица1[[#This Row],[Размер кредита]]-21824)/(789096-21824)</f>
        <v>0.14568757885078565</v>
      </c>
      <c r="T384" s="9">
        <f>(Таблица1[[#This Row],[Кредитный рейтинг]]-586)/(751-586)</f>
        <v>0.69696969696969702</v>
      </c>
      <c r="U384" s="9">
        <f>Таблица1[[#This Row],[Ежемесячный платеж]]/(Таблица1[[#This Row],[Годовой доход]]/12)</f>
        <v>8.6499846553440563E-2</v>
      </c>
    </row>
    <row r="385" spans="1:21" x14ac:dyDescent="0.3">
      <c r="A385">
        <v>384</v>
      </c>
      <c r="B385">
        <v>0</v>
      </c>
      <c r="C385" s="9">
        <v>79948</v>
      </c>
      <c r="D385">
        <v>741</v>
      </c>
      <c r="E385" s="1">
        <v>230147</v>
      </c>
      <c r="F385">
        <v>0</v>
      </c>
      <c r="G385">
        <v>4372.66</v>
      </c>
      <c r="H385">
        <v>8.9</v>
      </c>
      <c r="I385">
        <v>11</v>
      </c>
      <c r="J385">
        <v>110086</v>
      </c>
      <c r="K385">
        <v>242792</v>
      </c>
      <c r="L385" t="s">
        <v>24</v>
      </c>
      <c r="M385" t="s">
        <v>427</v>
      </c>
      <c r="N385" t="s">
        <v>26</v>
      </c>
      <c r="O385" t="s">
        <v>34</v>
      </c>
      <c r="P385" t="s">
        <v>22</v>
      </c>
      <c r="Q385" t="s">
        <v>36</v>
      </c>
      <c r="R385" t="b">
        <f>OR(Таблица1[[#This Row],[Ежемесячный платеж]]&lt;$AC$5, Таблица1[[#This Row],[Ежемесячный платеж]]&gt;$AC$6)</f>
        <v>0</v>
      </c>
      <c r="S385" s="9">
        <f>(Таблица1[[#This Row],[Размер кредита]]-21824)/(789096-21824)</f>
        <v>7.5754100240853314E-2</v>
      </c>
      <c r="T385" s="9">
        <f>(Таблица1[[#This Row],[Кредитный рейтинг]]-586)/(751-586)</f>
        <v>0.93939393939393945</v>
      </c>
      <c r="U385" s="9">
        <f>Таблица1[[#This Row],[Ежемесячный платеж]]/(Таблица1[[#This Row],[Годовой доход]]/12)</f>
        <v>0.2279930653017419</v>
      </c>
    </row>
    <row r="386" spans="1:21" x14ac:dyDescent="0.3">
      <c r="A386">
        <v>385</v>
      </c>
      <c r="B386">
        <v>1</v>
      </c>
      <c r="C386" s="9">
        <v>67298</v>
      </c>
      <c r="D386">
        <f>$Y$13</f>
        <v>723</v>
      </c>
      <c r="E386">
        <f>$AB$13</f>
        <v>1168044</v>
      </c>
      <c r="F386">
        <v>34</v>
      </c>
      <c r="G386">
        <v>20289.53</v>
      </c>
      <c r="H386">
        <v>22.5</v>
      </c>
      <c r="I386">
        <v>9</v>
      </c>
      <c r="J386">
        <v>170601</v>
      </c>
      <c r="K386">
        <v>302962</v>
      </c>
      <c r="L386" t="s">
        <v>24</v>
      </c>
      <c r="M386" t="s">
        <v>428</v>
      </c>
      <c r="N386" t="s">
        <v>26</v>
      </c>
      <c r="O386" t="s">
        <v>21</v>
      </c>
      <c r="P386" t="s">
        <v>22</v>
      </c>
      <c r="Q386" t="s">
        <v>23</v>
      </c>
      <c r="R386" t="b">
        <f>OR(Таблица1[[#This Row],[Ежемесячный платеж]]&lt;$AC$5, Таблица1[[#This Row],[Ежемесячный платеж]]&gt;$AC$6)</f>
        <v>0</v>
      </c>
      <c r="S386" s="9">
        <f>(Таблица1[[#This Row],[Размер кредита]]-21824)/(789096-21824)</f>
        <v>5.9267117788737243E-2</v>
      </c>
      <c r="T386" s="9">
        <f>(Таблица1[[#This Row],[Кредитный рейтинг]]-586)/(751-586)</f>
        <v>0.83030303030303032</v>
      </c>
      <c r="U386" s="9">
        <f>Таблица1[[#This Row],[Ежемесячный платеж]]/(Таблица1[[#This Row],[Годовой доход]]/12)</f>
        <v>0.20844622291626</v>
      </c>
    </row>
    <row r="387" spans="1:21" x14ac:dyDescent="0.3">
      <c r="A387">
        <v>386</v>
      </c>
      <c r="B387">
        <v>0</v>
      </c>
      <c r="C387" s="9">
        <v>767690</v>
      </c>
      <c r="D387">
        <v>731</v>
      </c>
      <c r="E387" s="1">
        <v>1629098</v>
      </c>
      <c r="F387">
        <v>0</v>
      </c>
      <c r="G387">
        <v>14118.71</v>
      </c>
      <c r="H387">
        <v>16.8</v>
      </c>
      <c r="I387">
        <v>6</v>
      </c>
      <c r="J387">
        <v>167371</v>
      </c>
      <c r="K387">
        <v>250074</v>
      </c>
      <c r="L387" t="s">
        <v>24</v>
      </c>
      <c r="M387" t="s">
        <v>429</v>
      </c>
      <c r="N387" t="s">
        <v>26</v>
      </c>
      <c r="O387" t="s">
        <v>21</v>
      </c>
      <c r="P387" t="s">
        <v>22</v>
      </c>
      <c r="Q387" t="s">
        <v>36</v>
      </c>
      <c r="R387" t="b">
        <f>OR(Таблица1[[#This Row],[Ежемесячный платеж]]&lt;$AC$5, Таблица1[[#This Row],[Ежемесячный платеж]]&gt;$AC$6)</f>
        <v>0</v>
      </c>
      <c r="S387" s="9">
        <f>(Таблица1[[#This Row],[Размер кредита]]-21824)/(789096-21824)</f>
        <v>0.97210115838972355</v>
      </c>
      <c r="T387" s="9">
        <f>(Таблица1[[#This Row],[Кредитный рейтинг]]-586)/(751-586)</f>
        <v>0.87878787878787878</v>
      </c>
      <c r="U387" s="9">
        <f>Таблица1[[#This Row],[Ежемесячный платеж]]/(Таблица1[[#This Row],[Годовой доход]]/12)</f>
        <v>0.1039989736651816</v>
      </c>
    </row>
    <row r="388" spans="1:21" x14ac:dyDescent="0.3">
      <c r="A388">
        <v>387</v>
      </c>
      <c r="B388">
        <v>0</v>
      </c>
      <c r="C388" s="9">
        <v>328350</v>
      </c>
      <c r="D388">
        <v>745</v>
      </c>
      <c r="E388" s="1">
        <v>1343243</v>
      </c>
      <c r="F388">
        <v>0</v>
      </c>
      <c r="G388">
        <v>11529.39</v>
      </c>
      <c r="H388">
        <v>19.399999999999999</v>
      </c>
      <c r="I388">
        <v>7</v>
      </c>
      <c r="J388">
        <v>373958</v>
      </c>
      <c r="K388">
        <v>600578</v>
      </c>
      <c r="L388" t="s">
        <v>24</v>
      </c>
      <c r="M388" t="s">
        <v>430</v>
      </c>
      <c r="N388" t="s">
        <v>26</v>
      </c>
      <c r="O388" t="s">
        <v>21</v>
      </c>
      <c r="P388" t="s">
        <v>22</v>
      </c>
      <c r="Q388" t="s">
        <v>23</v>
      </c>
      <c r="R388" t="b">
        <f>OR(Таблица1[[#This Row],[Ежемесячный платеж]]&lt;$AC$5, Таблица1[[#This Row],[Ежемесячный платеж]]&gt;$AC$6)</f>
        <v>0</v>
      </c>
      <c r="S388" s="9">
        <f>(Таблица1[[#This Row],[Размер кредита]]-21824)/(789096-21824)</f>
        <v>0.39950108957449249</v>
      </c>
      <c r="T388" s="9">
        <f>(Таблица1[[#This Row],[Кредитный рейтинг]]-586)/(751-586)</f>
        <v>0.96363636363636362</v>
      </c>
      <c r="U388" s="9">
        <f>Таблица1[[#This Row],[Ежемесячный платеж]]/(Таблица1[[#This Row],[Годовой доход]]/12)</f>
        <v>0.10299899571410384</v>
      </c>
    </row>
    <row r="389" spans="1:21" x14ac:dyDescent="0.3">
      <c r="A389">
        <v>388</v>
      </c>
      <c r="B389">
        <v>0</v>
      </c>
      <c r="C389" s="9">
        <v>380622</v>
      </c>
      <c r="D389">
        <v>657</v>
      </c>
      <c r="E389" s="1">
        <v>969665</v>
      </c>
      <c r="F389">
        <v>0</v>
      </c>
      <c r="G389">
        <v>26665.74</v>
      </c>
      <c r="H389">
        <v>10.6</v>
      </c>
      <c r="I389">
        <v>5</v>
      </c>
      <c r="J389">
        <v>305482</v>
      </c>
      <c r="K389">
        <v>377102</v>
      </c>
      <c r="L389" t="s">
        <v>29</v>
      </c>
      <c r="M389" t="s">
        <v>431</v>
      </c>
      <c r="N389" t="s">
        <v>26</v>
      </c>
      <c r="O389" t="s">
        <v>34</v>
      </c>
      <c r="P389" t="s">
        <v>31</v>
      </c>
      <c r="Q389" t="s">
        <v>23</v>
      </c>
      <c r="R389" t="b">
        <f>OR(Таблица1[[#This Row],[Ежемесячный платеж]]&lt;$AC$5, Таблица1[[#This Row],[Ежемесячный платеж]]&gt;$AC$6)</f>
        <v>0</v>
      </c>
      <c r="S389" s="9">
        <f>(Таблица1[[#This Row],[Размер кредита]]-21824)/(789096-21824)</f>
        <v>0.46762816836793208</v>
      </c>
      <c r="T389" s="9">
        <f>(Таблица1[[#This Row],[Кредитный рейтинг]]-586)/(751-586)</f>
        <v>0.4303030303030303</v>
      </c>
      <c r="U389" s="9">
        <f>Таблица1[[#This Row],[Ежемесячный платеж]]/(Таблица1[[#This Row],[Годовой доход]]/12)</f>
        <v>0.3299994121681199</v>
      </c>
    </row>
    <row r="390" spans="1:21" x14ac:dyDescent="0.3">
      <c r="A390">
        <v>389</v>
      </c>
      <c r="B390">
        <v>0</v>
      </c>
      <c r="C390" s="9">
        <v>281710</v>
      </c>
      <c r="D390">
        <v>728</v>
      </c>
      <c r="E390" s="1">
        <v>831953</v>
      </c>
      <c r="F390">
        <v>52</v>
      </c>
      <c r="G390">
        <v>12964.46</v>
      </c>
      <c r="H390">
        <v>18</v>
      </c>
      <c r="I390">
        <v>12</v>
      </c>
      <c r="J390">
        <v>461415</v>
      </c>
      <c r="K390">
        <v>907104</v>
      </c>
      <c r="L390" t="s">
        <v>41</v>
      </c>
      <c r="M390" t="s">
        <v>432</v>
      </c>
      <c r="N390" t="s">
        <v>26</v>
      </c>
      <c r="O390" t="s">
        <v>21</v>
      </c>
      <c r="P390" t="s">
        <v>22</v>
      </c>
      <c r="Q390" t="s">
        <v>23</v>
      </c>
      <c r="R390" t="b">
        <f>OR(Таблица1[[#This Row],[Ежемесячный платеж]]&lt;$AC$5, Таблица1[[#This Row],[Ежемесячный платеж]]&gt;$AC$6)</f>
        <v>0</v>
      </c>
      <c r="S390" s="9">
        <f>(Таблица1[[#This Row],[Размер кредита]]-21824)/(789096-21824)</f>
        <v>0.33871430209886455</v>
      </c>
      <c r="T390" s="9">
        <f>(Таблица1[[#This Row],[Кредитный рейтинг]]-586)/(751-586)</f>
        <v>0.8606060606060606</v>
      </c>
      <c r="U390" s="9">
        <f>Таблица1[[#This Row],[Ежемесячный платеж]]/(Таблица1[[#This Row],[Годовой доход]]/12)</f>
        <v>0.18699796743325642</v>
      </c>
    </row>
    <row r="391" spans="1:21" x14ac:dyDescent="0.3">
      <c r="A391">
        <v>390</v>
      </c>
      <c r="B391">
        <v>1</v>
      </c>
      <c r="C391" s="9">
        <v>418572</v>
      </c>
      <c r="D391">
        <v>704</v>
      </c>
      <c r="E391" s="1">
        <v>1201788</v>
      </c>
      <c r="F391">
        <v>0</v>
      </c>
      <c r="G391">
        <v>23935.63</v>
      </c>
      <c r="H391">
        <v>16.600000000000001</v>
      </c>
      <c r="I391">
        <v>18</v>
      </c>
      <c r="J391">
        <v>232522</v>
      </c>
      <c r="K391">
        <v>333608</v>
      </c>
      <c r="L391" t="s">
        <v>47</v>
      </c>
      <c r="M391" t="s">
        <v>433</v>
      </c>
      <c r="N391" t="s">
        <v>26</v>
      </c>
      <c r="O391" t="s">
        <v>21</v>
      </c>
      <c r="P391" t="s">
        <v>31</v>
      </c>
      <c r="Q391" t="s">
        <v>36</v>
      </c>
      <c r="R391" t="b">
        <f>OR(Таблица1[[#This Row],[Ежемесячный платеж]]&lt;$AC$5, Таблица1[[#This Row],[Ежемесячный платеж]]&gt;$AC$6)</f>
        <v>0</v>
      </c>
      <c r="S391" s="9">
        <f>(Таблица1[[#This Row],[Размер кредита]]-21824)/(789096-21824)</f>
        <v>0.51708911572428029</v>
      </c>
      <c r="T391" s="9">
        <f>(Таблица1[[#This Row],[Кредитный рейтинг]]-586)/(751-586)</f>
        <v>0.7151515151515152</v>
      </c>
      <c r="U391" s="9">
        <f>Таблица1[[#This Row],[Ежемесячный платеж]]/(Таблица1[[#This Row],[Годовой доход]]/12)</f>
        <v>0.2390001897173212</v>
      </c>
    </row>
    <row r="392" spans="1:21" x14ac:dyDescent="0.3">
      <c r="A392">
        <v>391</v>
      </c>
      <c r="B392">
        <v>0</v>
      </c>
      <c r="C392" s="9">
        <v>332552</v>
      </c>
      <c r="D392">
        <f>$Y$13</f>
        <v>723</v>
      </c>
      <c r="E392">
        <f>$AB$13</f>
        <v>1168044</v>
      </c>
      <c r="F392">
        <v>0</v>
      </c>
      <c r="G392">
        <v>18093.32</v>
      </c>
      <c r="H392">
        <v>26.9</v>
      </c>
      <c r="I392">
        <v>9</v>
      </c>
      <c r="J392">
        <v>324539</v>
      </c>
      <c r="K392">
        <v>650122</v>
      </c>
      <c r="L392" t="s">
        <v>24</v>
      </c>
      <c r="M392" t="s">
        <v>434</v>
      </c>
      <c r="N392" t="s">
        <v>26</v>
      </c>
      <c r="O392" t="s">
        <v>21</v>
      </c>
      <c r="P392" t="s">
        <v>31</v>
      </c>
      <c r="Q392" t="s">
        <v>23</v>
      </c>
      <c r="R392" t="b">
        <f>OR(Таблица1[[#This Row],[Ежемесячный платеж]]&lt;$AC$5, Таблица1[[#This Row],[Ежемесячный платеж]]&gt;$AC$6)</f>
        <v>0</v>
      </c>
      <c r="S392" s="9">
        <f>(Таблица1[[#This Row],[Размер кредита]]-21824)/(789096-21824)</f>
        <v>0.40497763504989104</v>
      </c>
      <c r="T392" s="9">
        <f>(Таблица1[[#This Row],[Кредитный рейтинг]]-586)/(751-586)</f>
        <v>0.83030303030303032</v>
      </c>
      <c r="U392" s="9">
        <f>Таблица1[[#This Row],[Ежемесячный платеж]]/(Таблица1[[#This Row],[Годовой доход]]/12)</f>
        <v>0.18588327152059339</v>
      </c>
    </row>
    <row r="393" spans="1:21" x14ac:dyDescent="0.3">
      <c r="A393">
        <v>392</v>
      </c>
      <c r="B393">
        <v>0</v>
      </c>
      <c r="C393" s="9">
        <v>161656</v>
      </c>
      <c r="D393">
        <v>749</v>
      </c>
      <c r="E393" s="1">
        <v>874874</v>
      </c>
      <c r="F393">
        <v>19</v>
      </c>
      <c r="G393">
        <v>12226.5</v>
      </c>
      <c r="H393">
        <v>16.100000000000001</v>
      </c>
      <c r="I393">
        <v>10</v>
      </c>
      <c r="J393">
        <v>159676</v>
      </c>
      <c r="K393">
        <v>394218</v>
      </c>
      <c r="L393" t="s">
        <v>50</v>
      </c>
      <c r="M393" t="s">
        <v>435</v>
      </c>
      <c r="N393" t="s">
        <v>26</v>
      </c>
      <c r="O393" t="s">
        <v>21</v>
      </c>
      <c r="P393" t="s">
        <v>22</v>
      </c>
      <c r="Q393" t="s">
        <v>23</v>
      </c>
      <c r="R393" t="b">
        <f>OR(Таблица1[[#This Row],[Ежемесячный платеж]]&lt;$AC$5, Таблица1[[#This Row],[Ежемесячный платеж]]&gt;$AC$6)</f>
        <v>0</v>
      </c>
      <c r="S393" s="9">
        <f>(Таблица1[[#This Row],[Размер кредита]]-21824)/(789096-21824)</f>
        <v>0.18224567037504302</v>
      </c>
      <c r="T393" s="9">
        <f>(Таблица1[[#This Row],[Кредитный рейтинг]]-586)/(751-586)</f>
        <v>0.98787878787878791</v>
      </c>
      <c r="U393" s="9">
        <f>Таблица1[[#This Row],[Ежемесячный платеж]]/(Таблица1[[#This Row],[Годовой доход]]/12)</f>
        <v>0.16770186335403725</v>
      </c>
    </row>
    <row r="394" spans="1:21" x14ac:dyDescent="0.3">
      <c r="A394">
        <v>393</v>
      </c>
      <c r="B394">
        <v>0</v>
      </c>
      <c r="D394">
        <v>731</v>
      </c>
      <c r="E394" s="1">
        <v>1307124</v>
      </c>
      <c r="F394">
        <v>0</v>
      </c>
      <c r="G394">
        <v>13724.84</v>
      </c>
      <c r="H394">
        <v>11.2</v>
      </c>
      <c r="I394">
        <v>7</v>
      </c>
      <c r="J394">
        <v>273182</v>
      </c>
      <c r="K394">
        <v>266024</v>
      </c>
      <c r="L394" t="s">
        <v>29</v>
      </c>
      <c r="M394" t="s">
        <v>436</v>
      </c>
      <c r="N394" t="s">
        <v>26</v>
      </c>
      <c r="O394" t="s">
        <v>34</v>
      </c>
      <c r="P394" t="s">
        <v>22</v>
      </c>
      <c r="Q394" t="s">
        <v>23</v>
      </c>
      <c r="R394" t="b">
        <f>OR(Таблица1[[#This Row],[Ежемесячный платеж]]&lt;$AC$5, Таблица1[[#This Row],[Ежемесячный платеж]]&gt;$AC$6)</f>
        <v>0</v>
      </c>
      <c r="T394" s="9">
        <f>(Таблица1[[#This Row],[Кредитный рейтинг]]-586)/(751-586)</f>
        <v>0.87878787878787878</v>
      </c>
      <c r="U394" s="9">
        <f>Таблица1[[#This Row],[Ежемесячный платеж]]/(Таблица1[[#This Row],[Годовой доход]]/12)</f>
        <v>0.12600034885749173</v>
      </c>
    </row>
    <row r="395" spans="1:21" x14ac:dyDescent="0.3">
      <c r="A395">
        <v>394</v>
      </c>
      <c r="B395">
        <v>0</v>
      </c>
      <c r="C395" s="9">
        <v>87274</v>
      </c>
      <c r="D395">
        <v>719</v>
      </c>
      <c r="E395" s="1">
        <v>753692</v>
      </c>
      <c r="F395">
        <v>0</v>
      </c>
      <c r="G395">
        <v>4013.37</v>
      </c>
      <c r="H395">
        <v>8.1999999999999993</v>
      </c>
      <c r="I395">
        <v>8</v>
      </c>
      <c r="J395">
        <v>101042</v>
      </c>
      <c r="K395">
        <v>259424</v>
      </c>
      <c r="L395" t="s">
        <v>24</v>
      </c>
      <c r="M395" t="s">
        <v>437</v>
      </c>
      <c r="N395" t="s">
        <v>26</v>
      </c>
      <c r="O395" t="s">
        <v>34</v>
      </c>
      <c r="P395" t="s">
        <v>22</v>
      </c>
      <c r="Q395" t="s">
        <v>23</v>
      </c>
      <c r="R395" t="b">
        <f>OR(Таблица1[[#This Row],[Ежемесячный платеж]]&lt;$AC$5, Таблица1[[#This Row],[Ежемесячный платеж]]&gt;$AC$6)</f>
        <v>0</v>
      </c>
      <c r="S395" s="9">
        <f>(Таблица1[[#This Row],[Размер кредита]]-21824)/(789096-21824)</f>
        <v>8.5302213556600531E-2</v>
      </c>
      <c r="T395" s="9">
        <f>(Таблица1[[#This Row],[Кредитный рейтинг]]-586)/(751-586)</f>
        <v>0.80606060606060603</v>
      </c>
      <c r="U395" s="9">
        <f>Таблица1[[#This Row],[Ежемесячный платеж]]/(Таблица1[[#This Row],[Годовой доход]]/12)</f>
        <v>6.3899364727236063E-2</v>
      </c>
    </row>
    <row r="396" spans="1:21" x14ac:dyDescent="0.3">
      <c r="A396">
        <v>395</v>
      </c>
      <c r="B396">
        <v>0</v>
      </c>
      <c r="C396" s="9">
        <v>456126</v>
      </c>
      <c r="D396">
        <f>$Y$13</f>
        <v>723</v>
      </c>
      <c r="E396">
        <f>$AB$13</f>
        <v>1168044</v>
      </c>
      <c r="F396">
        <v>0</v>
      </c>
      <c r="G396">
        <v>23213.82</v>
      </c>
      <c r="H396">
        <v>18.600000000000001</v>
      </c>
      <c r="I396">
        <v>8</v>
      </c>
      <c r="J396">
        <v>333640</v>
      </c>
      <c r="K396">
        <v>519244</v>
      </c>
      <c r="L396" t="s">
        <v>24</v>
      </c>
      <c r="M396" t="s">
        <v>438</v>
      </c>
      <c r="N396" t="s">
        <v>26</v>
      </c>
      <c r="O396" t="s">
        <v>34</v>
      </c>
      <c r="P396" t="s">
        <v>22</v>
      </c>
      <c r="Q396" t="s">
        <v>36</v>
      </c>
      <c r="R396" t="b">
        <f>OR(Таблица1[[#This Row],[Ежемесячный платеж]]&lt;$AC$5, Таблица1[[#This Row],[Ежемесячный платеж]]&gt;$AC$6)</f>
        <v>0</v>
      </c>
      <c r="S396" s="9">
        <f>(Таблица1[[#This Row],[Размер кредита]]-21824)/(789096-21824)</f>
        <v>0.56603394884734493</v>
      </c>
      <c r="T396" s="9">
        <f>(Таблица1[[#This Row],[Кредитный рейтинг]]-586)/(751-586)</f>
        <v>0.83030303030303032</v>
      </c>
      <c r="U396" s="9">
        <f>Таблица1[[#This Row],[Ежемесячный платеж]]/(Таблица1[[#This Row],[Годовой доход]]/12)</f>
        <v>0.23848916650400157</v>
      </c>
    </row>
    <row r="397" spans="1:21" x14ac:dyDescent="0.3">
      <c r="A397">
        <v>396</v>
      </c>
      <c r="B397">
        <v>0</v>
      </c>
      <c r="C397" s="9">
        <v>294580</v>
      </c>
      <c r="D397">
        <v>744</v>
      </c>
      <c r="E397" s="1">
        <v>1734624</v>
      </c>
      <c r="F397">
        <v>6</v>
      </c>
      <c r="G397">
        <v>8051.63</v>
      </c>
      <c r="H397">
        <v>17.8</v>
      </c>
      <c r="I397">
        <v>12</v>
      </c>
      <c r="J397">
        <v>229007</v>
      </c>
      <c r="K397">
        <v>433290</v>
      </c>
      <c r="L397" t="s">
        <v>24</v>
      </c>
      <c r="M397" t="s">
        <v>439</v>
      </c>
      <c r="N397" t="s">
        <v>26</v>
      </c>
      <c r="O397" t="s">
        <v>34</v>
      </c>
      <c r="P397" t="s">
        <v>22</v>
      </c>
      <c r="Q397" t="s">
        <v>23</v>
      </c>
      <c r="R397" t="b">
        <f>OR(Таблица1[[#This Row],[Ежемесячный платеж]]&lt;$AC$5, Таблица1[[#This Row],[Ежемесячный платеж]]&gt;$AC$6)</f>
        <v>0</v>
      </c>
      <c r="S397" s="9">
        <f>(Таблица1[[#This Row],[Размер кредита]]-21824)/(789096-21824)</f>
        <v>0.35548801468058261</v>
      </c>
      <c r="T397" s="9">
        <f>(Таблица1[[#This Row],[Кредитный рейтинг]]-586)/(751-586)</f>
        <v>0.95757575757575752</v>
      </c>
      <c r="U397" s="9">
        <f>Таблица1[[#This Row],[Ежемесячный платеж]]/(Таблица1[[#This Row],[Годовой доход]]/12)</f>
        <v>5.5700578338590954E-2</v>
      </c>
    </row>
    <row r="398" spans="1:21" x14ac:dyDescent="0.3">
      <c r="A398">
        <v>397</v>
      </c>
      <c r="B398">
        <v>0</v>
      </c>
      <c r="D398">
        <v>747</v>
      </c>
      <c r="E398" s="1">
        <v>1025487</v>
      </c>
      <c r="F398">
        <v>0</v>
      </c>
      <c r="G398">
        <v>16066.02</v>
      </c>
      <c r="H398">
        <v>40.299999999999997</v>
      </c>
      <c r="I398">
        <v>24</v>
      </c>
      <c r="J398">
        <v>536199</v>
      </c>
      <c r="K398">
        <v>4166844</v>
      </c>
      <c r="L398" t="s">
        <v>24</v>
      </c>
      <c r="M398" t="s">
        <v>440</v>
      </c>
      <c r="N398" t="s">
        <v>68</v>
      </c>
      <c r="O398" t="s">
        <v>21</v>
      </c>
      <c r="P398" t="s">
        <v>22</v>
      </c>
      <c r="Q398" t="s">
        <v>23</v>
      </c>
      <c r="R398" t="b">
        <f>OR(Таблица1[[#This Row],[Ежемесячный платеж]]&lt;$AC$5, Таблица1[[#This Row],[Ежемесячный платеж]]&gt;$AC$6)</f>
        <v>0</v>
      </c>
      <c r="T398" s="9">
        <f>(Таблица1[[#This Row],[Кредитный рейтинг]]-586)/(751-586)</f>
        <v>0.97575757575757571</v>
      </c>
      <c r="U398" s="9">
        <f>Таблица1[[#This Row],[Ежемесячный платеж]]/(Таблица1[[#This Row],[Годовой доход]]/12)</f>
        <v>0.18800066700016677</v>
      </c>
    </row>
    <row r="399" spans="1:21" x14ac:dyDescent="0.3">
      <c r="A399">
        <v>398</v>
      </c>
      <c r="B399">
        <v>0</v>
      </c>
      <c r="C399" s="9">
        <v>526196</v>
      </c>
      <c r="D399">
        <f>$Y$13</f>
        <v>723</v>
      </c>
      <c r="E399">
        <f>$AB$13</f>
        <v>1168044</v>
      </c>
      <c r="F399">
        <v>12</v>
      </c>
      <c r="G399">
        <v>24808.49</v>
      </c>
      <c r="H399">
        <v>20.100000000000001</v>
      </c>
      <c r="I399">
        <v>12</v>
      </c>
      <c r="J399">
        <v>443840</v>
      </c>
      <c r="K399">
        <v>1072918</v>
      </c>
      <c r="L399" t="s">
        <v>24</v>
      </c>
      <c r="M399" t="s">
        <v>441</v>
      </c>
      <c r="N399" t="s">
        <v>26</v>
      </c>
      <c r="O399" t="s">
        <v>21</v>
      </c>
      <c r="P399" t="s">
        <v>22</v>
      </c>
      <c r="Q399" t="s">
        <v>23</v>
      </c>
      <c r="R399" t="b">
        <f>OR(Таблица1[[#This Row],[Ежемесячный платеж]]&lt;$AC$5, Таблица1[[#This Row],[Ежемесячный платеж]]&gt;$AC$6)</f>
        <v>0</v>
      </c>
      <c r="S399" s="9">
        <f>(Таблица1[[#This Row],[Размер кредита]]-21824)/(789096-21824)</f>
        <v>0.65735749512558783</v>
      </c>
      <c r="T399" s="9">
        <f>(Таблица1[[#This Row],[Кредитный рейтинг]]-586)/(751-586)</f>
        <v>0.83030303030303032</v>
      </c>
      <c r="U399" s="9">
        <f>Таблица1[[#This Row],[Ежемесячный платеж]]/(Таблица1[[#This Row],[Годовой доход]]/12)</f>
        <v>0.25487214522740581</v>
      </c>
    </row>
    <row r="400" spans="1:21" x14ac:dyDescent="0.3">
      <c r="A400">
        <v>399</v>
      </c>
      <c r="B400">
        <v>0</v>
      </c>
      <c r="C400" s="9">
        <v>39138</v>
      </c>
      <c r="D400">
        <v>731</v>
      </c>
      <c r="E400" s="1">
        <v>751336</v>
      </c>
      <c r="F400">
        <v>27</v>
      </c>
      <c r="G400">
        <v>10894.41</v>
      </c>
      <c r="H400">
        <v>10.6</v>
      </c>
      <c r="I400">
        <v>11</v>
      </c>
      <c r="J400">
        <v>77539</v>
      </c>
      <c r="K400">
        <v>302302</v>
      </c>
      <c r="L400" t="s">
        <v>47</v>
      </c>
      <c r="M400" t="s">
        <v>442</v>
      </c>
      <c r="N400" t="s">
        <v>20</v>
      </c>
      <c r="O400" t="s">
        <v>21</v>
      </c>
      <c r="P400" t="s">
        <v>22</v>
      </c>
      <c r="Q400" t="s">
        <v>23</v>
      </c>
      <c r="R400" t="b">
        <f>OR(Таблица1[[#This Row],[Ежемесячный платеж]]&lt;$AC$5, Таблица1[[#This Row],[Ежемесячный платеж]]&gt;$AC$6)</f>
        <v>0</v>
      </c>
      <c r="S400" s="9">
        <f>(Таблица1[[#This Row],[Размер кредита]]-21824)/(789096-21824)</f>
        <v>2.2565661199678861E-2</v>
      </c>
      <c r="T400" s="9">
        <f>(Таблица1[[#This Row],[Кредитный рейтинг]]-586)/(751-586)</f>
        <v>0.87878787878787878</v>
      </c>
      <c r="U400" s="9">
        <f>Таблица1[[#This Row],[Ежемесячный платеж]]/(Таблица1[[#This Row],[Годовой доход]]/12)</f>
        <v>0.17400060691887517</v>
      </c>
    </row>
    <row r="401" spans="1:21" x14ac:dyDescent="0.3">
      <c r="A401">
        <v>400</v>
      </c>
      <c r="B401">
        <v>0</v>
      </c>
      <c r="C401" s="9">
        <v>516978</v>
      </c>
      <c r="D401">
        <v>712</v>
      </c>
      <c r="E401" s="1">
        <v>1261809</v>
      </c>
      <c r="F401">
        <v>0</v>
      </c>
      <c r="G401">
        <v>15457.07</v>
      </c>
      <c r="H401">
        <v>11</v>
      </c>
      <c r="I401">
        <v>15</v>
      </c>
      <c r="J401">
        <v>179208</v>
      </c>
      <c r="K401">
        <v>256190</v>
      </c>
      <c r="L401" t="s">
        <v>37</v>
      </c>
      <c r="M401" t="s">
        <v>443</v>
      </c>
      <c r="N401" t="s">
        <v>26</v>
      </c>
      <c r="O401" t="s">
        <v>21</v>
      </c>
      <c r="P401" t="s">
        <v>31</v>
      </c>
      <c r="Q401" t="s">
        <v>23</v>
      </c>
      <c r="R401" t="b">
        <f>OR(Таблица1[[#This Row],[Ежемесячный платеж]]&lt;$AC$5, Таблица1[[#This Row],[Ежемесячный платеж]]&gt;$AC$6)</f>
        <v>0</v>
      </c>
      <c r="S401" s="9">
        <f>(Таблица1[[#This Row],[Размер кредита]]-21824)/(789096-21824)</f>
        <v>0.64534350269526319</v>
      </c>
      <c r="T401" s="9">
        <f>(Таблица1[[#This Row],[Кредитный рейтинг]]-586)/(751-586)</f>
        <v>0.76363636363636367</v>
      </c>
      <c r="U401" s="9">
        <f>Таблица1[[#This Row],[Ежемесячный платеж]]/(Таблица1[[#This Row],[Годовой доход]]/12)</f>
        <v>0.14699914170845191</v>
      </c>
    </row>
    <row r="402" spans="1:21" x14ac:dyDescent="0.3">
      <c r="A402">
        <v>401</v>
      </c>
      <c r="B402">
        <v>0</v>
      </c>
      <c r="C402" s="9">
        <v>178882</v>
      </c>
      <c r="D402">
        <f>$Y$13</f>
        <v>723</v>
      </c>
      <c r="E402">
        <f>$AB$13</f>
        <v>1168044</v>
      </c>
      <c r="F402">
        <v>0</v>
      </c>
      <c r="G402">
        <v>8535.75</v>
      </c>
      <c r="H402">
        <v>8</v>
      </c>
      <c r="I402">
        <v>20</v>
      </c>
      <c r="J402">
        <v>129637</v>
      </c>
      <c r="K402">
        <v>498696</v>
      </c>
      <c r="L402" t="s">
        <v>52</v>
      </c>
      <c r="M402" t="s">
        <v>444</v>
      </c>
      <c r="N402" t="s">
        <v>26</v>
      </c>
      <c r="O402" t="s">
        <v>34</v>
      </c>
      <c r="P402" t="s">
        <v>22</v>
      </c>
      <c r="Q402" t="s">
        <v>23</v>
      </c>
      <c r="R402" t="b">
        <f>OR(Таблица1[[#This Row],[Ежемесячный платеж]]&lt;$AC$5, Таблица1[[#This Row],[Ежемесячный платеж]]&gt;$AC$6)</f>
        <v>0</v>
      </c>
      <c r="S402" s="9">
        <f>(Таблица1[[#This Row],[Размер кредита]]-21824)/(789096-21824)</f>
        <v>0.20469663952288106</v>
      </c>
      <c r="T402" s="9">
        <f>(Таблица1[[#This Row],[Кредитный рейтинг]]-586)/(751-586)</f>
        <v>0.83030303030303032</v>
      </c>
      <c r="U402" s="9">
        <f>Таблица1[[#This Row],[Ежемесячный платеж]]/(Таблица1[[#This Row],[Годовой доход]]/12)</f>
        <v>8.7692758149521766E-2</v>
      </c>
    </row>
    <row r="403" spans="1:21" x14ac:dyDescent="0.3">
      <c r="A403">
        <v>402</v>
      </c>
      <c r="B403">
        <v>0</v>
      </c>
      <c r="C403" s="9">
        <v>327404</v>
      </c>
      <c r="D403">
        <f>$Y$13</f>
        <v>723</v>
      </c>
      <c r="E403">
        <f>$AB$13</f>
        <v>1168044</v>
      </c>
      <c r="F403">
        <v>0</v>
      </c>
      <c r="G403">
        <v>26012.9</v>
      </c>
      <c r="H403">
        <v>17</v>
      </c>
      <c r="I403">
        <v>12</v>
      </c>
      <c r="J403">
        <v>246525</v>
      </c>
      <c r="K403">
        <v>406032</v>
      </c>
      <c r="L403" t="s">
        <v>24</v>
      </c>
      <c r="M403" t="s">
        <v>445</v>
      </c>
      <c r="N403" t="s">
        <v>26</v>
      </c>
      <c r="O403" t="s">
        <v>28</v>
      </c>
      <c r="P403" t="s">
        <v>22</v>
      </c>
      <c r="Q403" t="s">
        <v>36</v>
      </c>
      <c r="R403" t="b">
        <f>OR(Таблица1[[#This Row],[Ежемесячный платеж]]&lt;$AC$5, Таблица1[[#This Row],[Ежемесячный платеж]]&gt;$AC$6)</f>
        <v>0</v>
      </c>
      <c r="S403" s="9">
        <f>(Таблица1[[#This Row],[Размер кредита]]-21824)/(789096-21824)</f>
        <v>0.39826815001720378</v>
      </c>
      <c r="T403" s="9">
        <f>(Таблица1[[#This Row],[Кредитный рейтинг]]-586)/(751-586)</f>
        <v>0.83030303030303032</v>
      </c>
      <c r="U403" s="9">
        <f>Таблица1[[#This Row],[Ежемесячный платеж]]/(Таблица1[[#This Row],[Годовой доход]]/12)</f>
        <v>0.26724575444075738</v>
      </c>
    </row>
    <row r="404" spans="1:21" x14ac:dyDescent="0.3">
      <c r="A404">
        <v>403</v>
      </c>
      <c r="B404">
        <v>1</v>
      </c>
      <c r="C404" s="9">
        <v>90112</v>
      </c>
      <c r="D404">
        <f>$Y$13</f>
        <v>723</v>
      </c>
      <c r="E404">
        <f>$AB$13</f>
        <v>1168044</v>
      </c>
      <c r="F404">
        <v>11</v>
      </c>
      <c r="G404">
        <v>13879.88</v>
      </c>
      <c r="H404">
        <v>13.1</v>
      </c>
      <c r="I404">
        <v>3</v>
      </c>
      <c r="J404">
        <v>304</v>
      </c>
      <c r="K404">
        <v>32780</v>
      </c>
      <c r="L404" t="s">
        <v>69</v>
      </c>
      <c r="M404" t="s">
        <v>446</v>
      </c>
      <c r="N404" t="s">
        <v>68</v>
      </c>
      <c r="O404" t="s">
        <v>34</v>
      </c>
      <c r="P404" t="s">
        <v>22</v>
      </c>
      <c r="Q404" t="s">
        <v>23</v>
      </c>
      <c r="R404" t="b">
        <f>OR(Таблица1[[#This Row],[Ежемесячный платеж]]&lt;$AC$5, Таблица1[[#This Row],[Ежемесячный платеж]]&gt;$AC$6)</f>
        <v>0</v>
      </c>
      <c r="S404" s="9">
        <f>(Таблица1[[#This Row],[Размер кредита]]-21824)/(789096-21824)</f>
        <v>8.9001032228466573E-2</v>
      </c>
      <c r="T404" s="9">
        <f>(Таблица1[[#This Row],[Кредитный рейтинг]]-586)/(751-586)</f>
        <v>0.83030303030303032</v>
      </c>
      <c r="U404" s="9">
        <f>Таблица1[[#This Row],[Ежемесячный платеж]]/(Таблица1[[#This Row],[Годовой доход]]/12)</f>
        <v>0.14259613507710325</v>
      </c>
    </row>
    <row r="405" spans="1:21" x14ac:dyDescent="0.3">
      <c r="A405">
        <v>404</v>
      </c>
      <c r="B405">
        <v>2</v>
      </c>
      <c r="C405" s="9">
        <v>449724</v>
      </c>
      <c r="D405">
        <v>720</v>
      </c>
      <c r="E405" s="1">
        <v>925946</v>
      </c>
      <c r="F405">
        <v>0</v>
      </c>
      <c r="G405">
        <v>6643.54</v>
      </c>
      <c r="H405">
        <v>9.1999999999999993</v>
      </c>
      <c r="I405">
        <v>10</v>
      </c>
      <c r="J405">
        <v>170069</v>
      </c>
      <c r="K405">
        <v>449570</v>
      </c>
      <c r="L405" t="s">
        <v>47</v>
      </c>
      <c r="M405" t="s">
        <v>447</v>
      </c>
      <c r="N405" t="s">
        <v>20</v>
      </c>
      <c r="O405" t="s">
        <v>21</v>
      </c>
      <c r="P405" t="s">
        <v>22</v>
      </c>
      <c r="Q405" t="s">
        <v>23</v>
      </c>
      <c r="R405" t="b">
        <f>OR(Таблица1[[#This Row],[Ежемесячный платеж]]&lt;$AC$5, Таблица1[[#This Row],[Ежемесячный платеж]]&gt;$AC$6)</f>
        <v>0</v>
      </c>
      <c r="S405" s="9">
        <f>(Таблица1[[#This Row],[Размер кредита]]-21824)/(789096-21824)</f>
        <v>0.55769010207592618</v>
      </c>
      <c r="T405" s="9">
        <f>(Таблица1[[#This Row],[Кредитный рейтинг]]-586)/(751-586)</f>
        <v>0.81212121212121213</v>
      </c>
      <c r="U405" s="9">
        <f>Таблица1[[#This Row],[Ежемесячный платеж]]/(Таблица1[[#This Row],[Годовой доход]]/12)</f>
        <v>8.6098411786432461E-2</v>
      </c>
    </row>
    <row r="406" spans="1:21" x14ac:dyDescent="0.3">
      <c r="A406">
        <v>405</v>
      </c>
      <c r="B406">
        <v>0</v>
      </c>
      <c r="C406" s="9">
        <v>260436</v>
      </c>
      <c r="D406">
        <v>734</v>
      </c>
      <c r="E406" s="1">
        <v>1244272</v>
      </c>
      <c r="F406">
        <v>26</v>
      </c>
      <c r="G406">
        <v>11924.21</v>
      </c>
      <c r="H406">
        <v>28.4</v>
      </c>
      <c r="I406">
        <v>12</v>
      </c>
      <c r="J406">
        <v>189696</v>
      </c>
      <c r="K406">
        <v>625812</v>
      </c>
      <c r="L406" t="s">
        <v>24</v>
      </c>
      <c r="M406" t="s">
        <v>448</v>
      </c>
      <c r="N406" t="s">
        <v>26</v>
      </c>
      <c r="O406" t="s">
        <v>21</v>
      </c>
      <c r="P406" t="s">
        <v>31</v>
      </c>
      <c r="Q406" t="s">
        <v>23</v>
      </c>
      <c r="R406" t="b">
        <f>OR(Таблица1[[#This Row],[Ежемесячный платеж]]&lt;$AC$5, Таблица1[[#This Row],[Ежемесячный платеж]]&gt;$AC$6)</f>
        <v>0</v>
      </c>
      <c r="S406" s="9">
        <f>(Таблица1[[#This Row],[Размер кредита]]-21824)/(789096-21824)</f>
        <v>0.31098749856634933</v>
      </c>
      <c r="T406" s="9">
        <f>(Таблица1[[#This Row],[Кредитный рейтинг]]-586)/(751-586)</f>
        <v>0.89696969696969697</v>
      </c>
      <c r="U406" s="9">
        <f>Таблица1[[#This Row],[Ежемесячный платеж]]/(Таблица1[[#This Row],[Годовой доход]]/12)</f>
        <v>0.114999389201075</v>
      </c>
    </row>
    <row r="407" spans="1:21" x14ac:dyDescent="0.3">
      <c r="A407">
        <v>406</v>
      </c>
      <c r="B407">
        <v>1</v>
      </c>
      <c r="C407" s="9">
        <v>260810</v>
      </c>
      <c r="D407">
        <f>$Y$13</f>
        <v>723</v>
      </c>
      <c r="E407">
        <f>$AB$13</f>
        <v>1168044</v>
      </c>
      <c r="F407">
        <v>0</v>
      </c>
      <c r="G407">
        <v>13076.56</v>
      </c>
      <c r="H407">
        <v>19</v>
      </c>
      <c r="I407">
        <v>11</v>
      </c>
      <c r="J407">
        <v>180329</v>
      </c>
      <c r="K407">
        <v>258742</v>
      </c>
      <c r="L407" t="s">
        <v>41</v>
      </c>
      <c r="M407" t="s">
        <v>449</v>
      </c>
      <c r="N407" t="s">
        <v>26</v>
      </c>
      <c r="O407" t="s">
        <v>21</v>
      </c>
      <c r="P407" t="s">
        <v>22</v>
      </c>
      <c r="Q407" t="s">
        <v>23</v>
      </c>
      <c r="R407" t="b">
        <f>OR(Таблица1[[#This Row],[Ежемесячный платеж]]&lt;$AC$5, Таблица1[[#This Row],[Ежемесячный платеж]]&gt;$AC$6)</f>
        <v>0</v>
      </c>
      <c r="S407" s="9">
        <f>(Таблица1[[#This Row],[Размер кредита]]-21824)/(789096-21824)</f>
        <v>0.31147493978667279</v>
      </c>
      <c r="T407" s="9">
        <f>(Таблица1[[#This Row],[Кредитный рейтинг]]-586)/(751-586)</f>
        <v>0.83030303030303032</v>
      </c>
      <c r="U407" s="9">
        <f>Таблица1[[#This Row],[Ежемесячный платеж]]/(Таблица1[[#This Row],[Годовой доход]]/12)</f>
        <v>0.13434315830568025</v>
      </c>
    </row>
    <row r="408" spans="1:21" x14ac:dyDescent="0.3">
      <c r="A408">
        <v>407</v>
      </c>
      <c r="B408">
        <v>0</v>
      </c>
      <c r="C408" s="9">
        <v>539176</v>
      </c>
      <c r="D408">
        <v>712</v>
      </c>
      <c r="E408" s="1">
        <v>1154801</v>
      </c>
      <c r="F408">
        <v>0</v>
      </c>
      <c r="G408">
        <v>14338.54</v>
      </c>
      <c r="H408">
        <v>13.9</v>
      </c>
      <c r="I408">
        <v>7</v>
      </c>
      <c r="J408">
        <v>256025</v>
      </c>
      <c r="K408">
        <v>726594</v>
      </c>
      <c r="L408" t="s">
        <v>24</v>
      </c>
      <c r="M408" t="s">
        <v>450</v>
      </c>
      <c r="N408" t="s">
        <v>20</v>
      </c>
      <c r="O408" t="s">
        <v>21</v>
      </c>
      <c r="P408" t="s">
        <v>31</v>
      </c>
      <c r="Q408" t="s">
        <v>36</v>
      </c>
      <c r="R408" t="b">
        <f>OR(Таблица1[[#This Row],[Ежемесячный платеж]]&lt;$AC$5, Таблица1[[#This Row],[Ежемесячный платеж]]&gt;$AC$6)</f>
        <v>0</v>
      </c>
      <c r="S408" s="9">
        <f>(Таблица1[[#This Row],[Размер кредита]]-21824)/(789096-21824)</f>
        <v>0.67427457277210689</v>
      </c>
      <c r="T408" s="9">
        <f>(Таблица1[[#This Row],[Кредитный рейтинг]]-586)/(751-586)</f>
        <v>0.76363636363636367</v>
      </c>
      <c r="U408" s="9">
        <f>Таблица1[[#This Row],[Ежемесячный платеж]]/(Таблица1[[#This Row],[Годовой доход]]/12)</f>
        <v>0.14899751558926602</v>
      </c>
    </row>
    <row r="409" spans="1:21" x14ac:dyDescent="0.3">
      <c r="A409">
        <v>408</v>
      </c>
      <c r="B409">
        <v>0</v>
      </c>
      <c r="C409" s="9">
        <v>756844</v>
      </c>
      <c r="D409">
        <f>$Y$13</f>
        <v>723</v>
      </c>
      <c r="E409">
        <f>$AB$13</f>
        <v>1168044</v>
      </c>
      <c r="F409">
        <v>0</v>
      </c>
      <c r="G409">
        <v>25198.94</v>
      </c>
      <c r="H409">
        <v>26.9</v>
      </c>
      <c r="I409">
        <v>10</v>
      </c>
      <c r="J409">
        <v>876147</v>
      </c>
      <c r="K409">
        <v>1147586</v>
      </c>
      <c r="L409" t="s">
        <v>47</v>
      </c>
      <c r="M409" t="s">
        <v>451</v>
      </c>
      <c r="N409" t="s">
        <v>26</v>
      </c>
      <c r="O409" t="s">
        <v>34</v>
      </c>
      <c r="P409" t="s">
        <v>22</v>
      </c>
      <c r="Q409" t="s">
        <v>23</v>
      </c>
      <c r="R409" t="b">
        <f>OR(Таблица1[[#This Row],[Ежемесячный платеж]]&lt;$AC$5, Таблица1[[#This Row],[Ежемесячный платеж]]&gt;$AC$6)</f>
        <v>0</v>
      </c>
      <c r="S409" s="9">
        <f>(Таблица1[[#This Row],[Размер кредита]]-21824)/(789096-21824)</f>
        <v>0.95796536300034407</v>
      </c>
      <c r="T409" s="9">
        <f>(Таблица1[[#This Row],[Кредитный рейтинг]]-586)/(751-586)</f>
        <v>0.83030303030303032</v>
      </c>
      <c r="U409" s="9">
        <f>Таблица1[[#This Row],[Ежемесячный платеж]]/(Таблица1[[#This Row],[Годовой доход]]/12)</f>
        <v>0.25888346671871948</v>
      </c>
    </row>
    <row r="410" spans="1:21" x14ac:dyDescent="0.3">
      <c r="A410">
        <v>409</v>
      </c>
      <c r="B410">
        <v>0</v>
      </c>
      <c r="C410" s="9">
        <v>264396</v>
      </c>
      <c r="D410">
        <v>737</v>
      </c>
      <c r="E410" s="1">
        <v>1712565</v>
      </c>
      <c r="F410">
        <v>49</v>
      </c>
      <c r="G410">
        <v>19980.02</v>
      </c>
      <c r="H410">
        <v>21.9</v>
      </c>
      <c r="I410">
        <v>13</v>
      </c>
      <c r="J410">
        <v>380665</v>
      </c>
      <c r="K410">
        <v>1075052</v>
      </c>
      <c r="L410" t="s">
        <v>24</v>
      </c>
      <c r="M410" t="s">
        <v>452</v>
      </c>
      <c r="N410" t="s">
        <v>26</v>
      </c>
      <c r="O410" t="s">
        <v>34</v>
      </c>
      <c r="P410" t="s">
        <v>22</v>
      </c>
      <c r="Q410" t="s">
        <v>23</v>
      </c>
      <c r="R410" t="b">
        <f>OR(Таблица1[[#This Row],[Ежемесячный платеж]]&lt;$AC$5, Таблица1[[#This Row],[Ежемесячный платеж]]&gt;$AC$6)</f>
        <v>0</v>
      </c>
      <c r="S410" s="9">
        <f>(Таблица1[[#This Row],[Размер кредита]]-21824)/(789096-21824)</f>
        <v>0.31614864089918571</v>
      </c>
      <c r="T410" s="9">
        <f>(Таблица1[[#This Row],[Кредитный рейтинг]]-586)/(751-586)</f>
        <v>0.91515151515151516</v>
      </c>
      <c r="U410" s="9">
        <f>Таблица1[[#This Row],[Ежемесячный платеж]]/(Таблица1[[#This Row],[Годовой доход]]/12)</f>
        <v>0.14000066566816444</v>
      </c>
    </row>
    <row r="411" spans="1:21" x14ac:dyDescent="0.3">
      <c r="A411">
        <v>410</v>
      </c>
      <c r="B411">
        <v>0</v>
      </c>
      <c r="C411" s="9">
        <v>242264</v>
      </c>
      <c r="D411">
        <v>744</v>
      </c>
      <c r="E411" s="1">
        <v>584345</v>
      </c>
      <c r="F411">
        <v>0</v>
      </c>
      <c r="G411">
        <v>12417.45</v>
      </c>
      <c r="H411">
        <v>21.7</v>
      </c>
      <c r="I411">
        <v>10</v>
      </c>
      <c r="J411">
        <v>212306</v>
      </c>
      <c r="K411">
        <v>836154</v>
      </c>
      <c r="L411" t="s">
        <v>32</v>
      </c>
      <c r="M411" t="s">
        <v>453</v>
      </c>
      <c r="N411" t="s">
        <v>26</v>
      </c>
      <c r="O411" t="s">
        <v>21</v>
      </c>
      <c r="P411" t="s">
        <v>22</v>
      </c>
      <c r="Q411" t="s">
        <v>36</v>
      </c>
      <c r="R411" t="b">
        <f>OR(Таблица1[[#This Row],[Ежемесячный платеж]]&lt;$AC$5, Таблица1[[#This Row],[Ежемесячный платеж]]&gt;$AC$6)</f>
        <v>0</v>
      </c>
      <c r="S411" s="9">
        <f>(Таблица1[[#This Row],[Размер кредита]]-21824)/(789096-21824)</f>
        <v>0.28730358986122262</v>
      </c>
      <c r="T411" s="9">
        <f>(Таблица1[[#This Row],[Кредитный рейтинг]]-586)/(751-586)</f>
        <v>0.95757575757575752</v>
      </c>
      <c r="U411" s="9">
        <f>Таблица1[[#This Row],[Ежемесячный платеж]]/(Таблица1[[#This Row],[Годовой доход]]/12)</f>
        <v>0.25500243862786542</v>
      </c>
    </row>
    <row r="412" spans="1:21" x14ac:dyDescent="0.3">
      <c r="A412">
        <v>411</v>
      </c>
      <c r="B412">
        <v>0</v>
      </c>
      <c r="C412" s="9">
        <v>444752</v>
      </c>
      <c r="D412">
        <v>706</v>
      </c>
      <c r="E412" s="1">
        <v>1920520</v>
      </c>
      <c r="F412">
        <v>72</v>
      </c>
      <c r="G412">
        <v>43371.68</v>
      </c>
      <c r="H412">
        <v>16.100000000000001</v>
      </c>
      <c r="I412">
        <v>22</v>
      </c>
      <c r="J412">
        <v>353362</v>
      </c>
      <c r="K412">
        <v>611578</v>
      </c>
      <c r="L412" t="s">
        <v>32</v>
      </c>
      <c r="M412" t="s">
        <v>454</v>
      </c>
      <c r="N412" t="s">
        <v>26</v>
      </c>
      <c r="O412" t="s">
        <v>34</v>
      </c>
      <c r="P412" t="s">
        <v>31</v>
      </c>
      <c r="Q412" t="s">
        <v>36</v>
      </c>
      <c r="R412" t="b">
        <f>OR(Таблица1[[#This Row],[Ежемесячный платеж]]&lt;$AC$5, Таблица1[[#This Row],[Ежемесячный платеж]]&gt;$AC$6)</f>
        <v>0</v>
      </c>
      <c r="S412" s="9">
        <f>(Таблица1[[#This Row],[Размер кредита]]-21824)/(789096-21824)</f>
        <v>0.55121000114692054</v>
      </c>
      <c r="T412" s="9">
        <f>(Таблица1[[#This Row],[Кредитный рейтинг]]-586)/(751-586)</f>
        <v>0.72727272727272729</v>
      </c>
      <c r="U412" s="9">
        <f>Таблица1[[#This Row],[Ежемесячный платеж]]/(Таблица1[[#This Row],[Годовой доход]]/12)</f>
        <v>0.27099960427384251</v>
      </c>
    </row>
    <row r="413" spans="1:21" x14ac:dyDescent="0.3">
      <c r="A413">
        <v>412</v>
      </c>
      <c r="B413">
        <v>0</v>
      </c>
      <c r="C413" s="9">
        <v>251196</v>
      </c>
      <c r="D413">
        <v>740</v>
      </c>
      <c r="E413" s="1">
        <v>1051536</v>
      </c>
      <c r="F413">
        <v>20</v>
      </c>
      <c r="G413">
        <v>23133.83</v>
      </c>
      <c r="H413">
        <v>48.7</v>
      </c>
      <c r="I413">
        <v>16</v>
      </c>
      <c r="J413">
        <v>300295</v>
      </c>
      <c r="K413">
        <v>452716</v>
      </c>
      <c r="L413" t="s">
        <v>24</v>
      </c>
      <c r="M413" t="s">
        <v>455</v>
      </c>
      <c r="N413" t="s">
        <v>26</v>
      </c>
      <c r="O413" t="s">
        <v>21</v>
      </c>
      <c r="P413" t="s">
        <v>22</v>
      </c>
      <c r="Q413" t="s">
        <v>23</v>
      </c>
      <c r="R413" t="b">
        <f>OR(Таблица1[[#This Row],[Ежемесячный платеж]]&lt;$AC$5, Таблица1[[#This Row],[Ежемесячный платеж]]&gt;$AC$6)</f>
        <v>0</v>
      </c>
      <c r="S413" s="9">
        <f>(Таблица1[[#This Row],[Размер кредита]]-21824)/(789096-21824)</f>
        <v>0.29894483312306458</v>
      </c>
      <c r="T413" s="9">
        <f>(Таблица1[[#This Row],[Кредитный рейтинг]]-586)/(751-586)</f>
        <v>0.93333333333333335</v>
      </c>
      <c r="U413" s="9">
        <f>Таблица1[[#This Row],[Ежемесячный платеж]]/(Таблица1[[#This Row],[Годовой доход]]/12)</f>
        <v>0.26400043365134435</v>
      </c>
    </row>
    <row r="414" spans="1:21" x14ac:dyDescent="0.3">
      <c r="A414">
        <v>413</v>
      </c>
      <c r="B414">
        <v>0</v>
      </c>
      <c r="C414" s="9">
        <v>224312</v>
      </c>
      <c r="D414">
        <v>700</v>
      </c>
      <c r="E414" s="1">
        <v>678034</v>
      </c>
      <c r="F414">
        <v>64</v>
      </c>
      <c r="G414">
        <v>13052.24</v>
      </c>
      <c r="H414">
        <v>12.8</v>
      </c>
      <c r="I414">
        <v>13</v>
      </c>
      <c r="J414">
        <v>240863</v>
      </c>
      <c r="K414">
        <v>639650</v>
      </c>
      <c r="L414" t="s">
        <v>29</v>
      </c>
      <c r="M414" t="s">
        <v>456</v>
      </c>
      <c r="N414" t="s">
        <v>26</v>
      </c>
      <c r="O414" t="s">
        <v>34</v>
      </c>
      <c r="P414" t="s">
        <v>22</v>
      </c>
      <c r="Q414" t="s">
        <v>36</v>
      </c>
      <c r="R414" t="b">
        <f>OR(Таблица1[[#This Row],[Ежемесячный платеж]]&lt;$AC$5, Таблица1[[#This Row],[Ежемесячный платеж]]&gt;$AC$6)</f>
        <v>0</v>
      </c>
      <c r="S414" s="9">
        <f>(Таблица1[[#This Row],[Размер кредита]]-21824)/(789096-21824)</f>
        <v>0.26390641128569792</v>
      </c>
      <c r="T414" s="9">
        <f>(Таблица1[[#This Row],[Кредитный рейтинг]]-586)/(751-586)</f>
        <v>0.69090909090909092</v>
      </c>
      <c r="U414" s="9">
        <f>Таблица1[[#This Row],[Ежемесячный платеж]]/(Таблица1[[#This Row],[Годовой доход]]/12)</f>
        <v>0.23100151319845316</v>
      </c>
    </row>
    <row r="415" spans="1:21" x14ac:dyDescent="0.3">
      <c r="A415">
        <v>414</v>
      </c>
      <c r="B415">
        <v>0</v>
      </c>
      <c r="C415" s="9">
        <v>222728</v>
      </c>
      <c r="D415">
        <v>615</v>
      </c>
      <c r="E415" s="1">
        <v>905160</v>
      </c>
      <c r="F415">
        <v>49</v>
      </c>
      <c r="G415">
        <v>18706.64</v>
      </c>
      <c r="H415">
        <v>16.2</v>
      </c>
      <c r="I415">
        <v>9</v>
      </c>
      <c r="J415">
        <v>64676</v>
      </c>
      <c r="K415">
        <v>135432</v>
      </c>
      <c r="L415" t="s">
        <v>63</v>
      </c>
      <c r="M415" t="s">
        <v>457</v>
      </c>
      <c r="N415" t="s">
        <v>2040</v>
      </c>
      <c r="O415" t="s">
        <v>34</v>
      </c>
      <c r="P415" t="s">
        <v>31</v>
      </c>
      <c r="Q415" t="s">
        <v>23</v>
      </c>
      <c r="R415" t="b">
        <f>OR(Таблица1[[#This Row],[Ежемесячный платеж]]&lt;$AC$5, Таблица1[[#This Row],[Ежемесячный платеж]]&gt;$AC$6)</f>
        <v>0</v>
      </c>
      <c r="S415" s="9">
        <f>(Таблица1[[#This Row],[Размер кредита]]-21824)/(789096-21824)</f>
        <v>0.26184195435256336</v>
      </c>
      <c r="T415" s="9">
        <f>(Таблица1[[#This Row],[Кредитный рейтинг]]-586)/(751-586)</f>
        <v>0.17575757575757575</v>
      </c>
      <c r="U415" s="9">
        <f>Таблица1[[#This Row],[Ежемесячный платеж]]/(Таблица1[[#This Row],[Годовой доход]]/12)</f>
        <v>0.248</v>
      </c>
    </row>
    <row r="416" spans="1:21" x14ac:dyDescent="0.3">
      <c r="A416">
        <v>415</v>
      </c>
      <c r="B416">
        <v>0</v>
      </c>
      <c r="C416" s="9">
        <v>266882</v>
      </c>
      <c r="D416">
        <f>$Y$13</f>
        <v>723</v>
      </c>
      <c r="E416">
        <f>$AB$13</f>
        <v>1168044</v>
      </c>
      <c r="F416">
        <v>49</v>
      </c>
      <c r="G416">
        <v>20287.439999999999</v>
      </c>
      <c r="H416">
        <v>23.4</v>
      </c>
      <c r="I416">
        <v>12</v>
      </c>
      <c r="J416">
        <v>255018</v>
      </c>
      <c r="K416">
        <v>853402</v>
      </c>
      <c r="L416" t="s">
        <v>24</v>
      </c>
      <c r="M416" t="s">
        <v>458</v>
      </c>
      <c r="N416" t="s">
        <v>26</v>
      </c>
      <c r="O416" t="s">
        <v>21</v>
      </c>
      <c r="P416" t="s">
        <v>22</v>
      </c>
      <c r="Q416" t="s">
        <v>23</v>
      </c>
      <c r="R416" t="b">
        <f>OR(Таблица1[[#This Row],[Ежемесячный платеж]]&lt;$AC$5, Таблица1[[#This Row],[Ежемесячный платеж]]&gt;$AC$6)</f>
        <v>0</v>
      </c>
      <c r="S416" s="9">
        <f>(Таблица1[[#This Row],[Размер кредита]]-21824)/(789096-21824)</f>
        <v>0.31938869136368847</v>
      </c>
      <c r="T416" s="9">
        <f>(Таблица1[[#This Row],[Кредитный рейтинг]]-586)/(751-586)</f>
        <v>0.83030303030303032</v>
      </c>
      <c r="U416" s="9">
        <f>Таблица1[[#This Row],[Ежемесячный платеж]]/(Таблица1[[#This Row],[Годовой доход]]/12)</f>
        <v>0.2084247511223892</v>
      </c>
    </row>
    <row r="417" spans="1:21" x14ac:dyDescent="0.3">
      <c r="A417">
        <v>416</v>
      </c>
      <c r="B417">
        <v>1</v>
      </c>
      <c r="C417" s="9">
        <v>450648</v>
      </c>
      <c r="D417">
        <v>737</v>
      </c>
      <c r="E417" s="1">
        <v>1634627</v>
      </c>
      <c r="F417">
        <v>20</v>
      </c>
      <c r="G417">
        <v>10570.65</v>
      </c>
      <c r="H417">
        <v>32.5</v>
      </c>
      <c r="I417">
        <v>6</v>
      </c>
      <c r="J417">
        <v>93252</v>
      </c>
      <c r="K417">
        <v>151008</v>
      </c>
      <c r="L417" t="s">
        <v>24</v>
      </c>
      <c r="M417" t="s">
        <v>459</v>
      </c>
      <c r="N417" t="s">
        <v>26</v>
      </c>
      <c r="O417" t="s">
        <v>34</v>
      </c>
      <c r="P417" t="s">
        <v>22</v>
      </c>
      <c r="Q417" t="s">
        <v>23</v>
      </c>
      <c r="R417" t="b">
        <f>OR(Таблица1[[#This Row],[Ежемесячный платеж]]&lt;$AC$5, Таблица1[[#This Row],[Ежемесячный платеж]]&gt;$AC$6)</f>
        <v>0</v>
      </c>
      <c r="S417" s="9">
        <f>(Таблица1[[#This Row],[Размер кредита]]-21824)/(789096-21824)</f>
        <v>0.55889436862025466</v>
      </c>
      <c r="T417" s="9">
        <f>(Таблица1[[#This Row],[Кредитный рейтинг]]-586)/(751-586)</f>
        <v>0.91515151515151516</v>
      </c>
      <c r="U417" s="9">
        <f>Таблица1[[#This Row],[Ежемесячный платеж]]/(Таблица1[[#This Row],[Годовой доход]]/12)</f>
        <v>7.7600455639115232E-2</v>
      </c>
    </row>
    <row r="418" spans="1:21" x14ac:dyDescent="0.3">
      <c r="A418">
        <v>417</v>
      </c>
      <c r="B418">
        <v>0</v>
      </c>
      <c r="C418" s="9">
        <v>500302</v>
      </c>
      <c r="D418">
        <f>$Y$13</f>
        <v>723</v>
      </c>
      <c r="E418">
        <f>$AB$13</f>
        <v>1168044</v>
      </c>
      <c r="F418">
        <v>0</v>
      </c>
      <c r="G418">
        <v>13520.59</v>
      </c>
      <c r="H418">
        <v>15</v>
      </c>
      <c r="I418">
        <v>8</v>
      </c>
      <c r="J418">
        <v>232142</v>
      </c>
      <c r="K418">
        <v>732424</v>
      </c>
      <c r="L418" t="s">
        <v>52</v>
      </c>
      <c r="M418" t="s">
        <v>460</v>
      </c>
      <c r="N418" t="s">
        <v>26</v>
      </c>
      <c r="O418" t="s">
        <v>34</v>
      </c>
      <c r="P418" t="s">
        <v>22</v>
      </c>
      <c r="Q418" t="s">
        <v>23</v>
      </c>
      <c r="R418" t="b">
        <f>OR(Таблица1[[#This Row],[Ежемесячный платеж]]&lt;$AC$5, Таблица1[[#This Row],[Ежемесячный платеж]]&gt;$AC$6)</f>
        <v>0</v>
      </c>
      <c r="S418" s="9">
        <f>(Таблица1[[#This Row],[Размер кредита]]-21824)/(789096-21824)</f>
        <v>0.62360935887143021</v>
      </c>
      <c r="T418" s="9">
        <f>(Таблица1[[#This Row],[Кредитный рейтинг]]-586)/(751-586)</f>
        <v>0.83030303030303032</v>
      </c>
      <c r="U418" s="9">
        <f>Таблица1[[#This Row],[Ежемесячный платеж]]/(Таблица1[[#This Row],[Годовой доход]]/12)</f>
        <v>0.13890493851259028</v>
      </c>
    </row>
    <row r="419" spans="1:21" x14ac:dyDescent="0.3">
      <c r="A419">
        <v>418</v>
      </c>
      <c r="B419">
        <v>0</v>
      </c>
      <c r="C419" s="9">
        <v>407528</v>
      </c>
      <c r="D419">
        <v>711</v>
      </c>
      <c r="E419" s="1">
        <v>928226</v>
      </c>
      <c r="F419">
        <v>0</v>
      </c>
      <c r="G419">
        <v>18487.38</v>
      </c>
      <c r="H419">
        <v>11.1</v>
      </c>
      <c r="I419">
        <v>5</v>
      </c>
      <c r="J419">
        <v>263093</v>
      </c>
      <c r="K419">
        <v>333652</v>
      </c>
      <c r="L419" t="s">
        <v>41</v>
      </c>
      <c r="M419" t="s">
        <v>461</v>
      </c>
      <c r="N419" t="s">
        <v>26</v>
      </c>
      <c r="O419" t="s">
        <v>34</v>
      </c>
      <c r="P419" t="s">
        <v>31</v>
      </c>
      <c r="Q419" t="s">
        <v>23</v>
      </c>
      <c r="R419" t="b">
        <f>OR(Таблица1[[#This Row],[Ежемесячный платеж]]&lt;$AC$5, Таблица1[[#This Row],[Ежемесячный платеж]]&gt;$AC$6)</f>
        <v>0</v>
      </c>
      <c r="S419" s="9">
        <f>(Таблица1[[#This Row],[Размер кредита]]-21824)/(789096-21824)</f>
        <v>0.50269526321825897</v>
      </c>
      <c r="T419" s="9">
        <f>(Таблица1[[#This Row],[Кредитный рейтинг]]-586)/(751-586)</f>
        <v>0.75757575757575757</v>
      </c>
      <c r="U419" s="9">
        <f>Таблица1[[#This Row],[Ежемесячный платеж]]/(Таблица1[[#This Row],[Годовой доход]]/12)</f>
        <v>0.2390027428665002</v>
      </c>
    </row>
    <row r="420" spans="1:21" x14ac:dyDescent="0.3">
      <c r="A420">
        <v>419</v>
      </c>
      <c r="B420">
        <v>0</v>
      </c>
      <c r="C420" s="9">
        <v>152372</v>
      </c>
      <c r="D420">
        <v>697</v>
      </c>
      <c r="E420" s="1">
        <v>845937</v>
      </c>
      <c r="F420">
        <v>46</v>
      </c>
      <c r="G420">
        <v>2876.22</v>
      </c>
      <c r="H420">
        <v>8.8000000000000007</v>
      </c>
      <c r="I420">
        <v>10</v>
      </c>
      <c r="J420">
        <v>56943</v>
      </c>
      <c r="K420">
        <v>215468</v>
      </c>
      <c r="L420" t="s">
        <v>37</v>
      </c>
      <c r="M420" t="s">
        <v>462</v>
      </c>
      <c r="N420" t="s">
        <v>26</v>
      </c>
      <c r="O420" t="s">
        <v>34</v>
      </c>
      <c r="P420" t="s">
        <v>22</v>
      </c>
      <c r="Q420" t="s">
        <v>23</v>
      </c>
      <c r="R420" t="b">
        <f>OR(Таблица1[[#This Row],[Ежемесячный платеж]]&lt;$AC$5, Таблица1[[#This Row],[Ежемесячный платеж]]&gt;$AC$6)</f>
        <v>0</v>
      </c>
      <c r="S420" s="9">
        <f>(Таблица1[[#This Row],[Размер кредита]]-21824)/(789096-21824)</f>
        <v>0.17014565890583783</v>
      </c>
      <c r="T420" s="9">
        <f>(Таблица1[[#This Row],[Кредитный рейтинг]]-586)/(751-586)</f>
        <v>0.67272727272727273</v>
      </c>
      <c r="U420" s="9">
        <f>Таблица1[[#This Row],[Ежемесячный платеж]]/(Таблица1[[#This Row],[Годовой доход]]/12)</f>
        <v>4.0800485142510612E-2</v>
      </c>
    </row>
    <row r="421" spans="1:21" x14ac:dyDescent="0.3">
      <c r="A421">
        <v>420</v>
      </c>
      <c r="B421">
        <v>0</v>
      </c>
      <c r="C421" s="9">
        <v>704946</v>
      </c>
      <c r="D421">
        <v>717</v>
      </c>
      <c r="E421" s="1">
        <v>1352914</v>
      </c>
      <c r="F421">
        <v>0</v>
      </c>
      <c r="G421">
        <v>27960.21</v>
      </c>
      <c r="H421">
        <v>30</v>
      </c>
      <c r="I421">
        <v>16</v>
      </c>
      <c r="J421">
        <v>792623</v>
      </c>
      <c r="K421">
        <v>1456752</v>
      </c>
      <c r="L421" t="s">
        <v>24</v>
      </c>
      <c r="M421" t="s">
        <v>463</v>
      </c>
      <c r="N421" t="s">
        <v>26</v>
      </c>
      <c r="O421" t="s">
        <v>21</v>
      </c>
      <c r="P421" t="s">
        <v>22</v>
      </c>
      <c r="Q421" t="s">
        <v>23</v>
      </c>
      <c r="R421" t="b">
        <f>OR(Таблица1[[#This Row],[Ежемесячный платеж]]&lt;$AC$5, Таблица1[[#This Row],[Ежемесячный платеж]]&gt;$AC$6)</f>
        <v>0</v>
      </c>
      <c r="S421" s="9">
        <f>(Таблица1[[#This Row],[Размер кредита]]-21824)/(789096-21824)</f>
        <v>0.89032572542722788</v>
      </c>
      <c r="T421" s="9">
        <f>(Таблица1[[#This Row],[Кредитный рейтинг]]-586)/(751-586)</f>
        <v>0.79393939393939394</v>
      </c>
      <c r="U421" s="9">
        <f>Таблица1[[#This Row],[Ежемесячный платеж]]/(Таблица1[[#This Row],[Годовой доход]]/12)</f>
        <v>0.24799988764991715</v>
      </c>
    </row>
    <row r="422" spans="1:21" x14ac:dyDescent="0.3">
      <c r="A422">
        <v>421</v>
      </c>
      <c r="B422">
        <v>0</v>
      </c>
      <c r="C422" s="9">
        <v>152372</v>
      </c>
      <c r="D422">
        <v>697</v>
      </c>
      <c r="E422" s="1">
        <v>845937</v>
      </c>
      <c r="F422">
        <v>46</v>
      </c>
      <c r="G422">
        <v>2876.22</v>
      </c>
      <c r="H422">
        <v>8.8000000000000007</v>
      </c>
      <c r="I422">
        <v>10</v>
      </c>
      <c r="J422">
        <v>56943</v>
      </c>
      <c r="K422">
        <v>215468</v>
      </c>
      <c r="L422" t="s">
        <v>37</v>
      </c>
      <c r="M422" t="s">
        <v>462</v>
      </c>
      <c r="N422" t="s">
        <v>26</v>
      </c>
      <c r="O422" t="s">
        <v>34</v>
      </c>
      <c r="P422" t="s">
        <v>22</v>
      </c>
      <c r="Q422" t="s">
        <v>23</v>
      </c>
      <c r="R422" t="b">
        <f>OR(Таблица1[[#This Row],[Ежемесячный платеж]]&lt;$AC$5, Таблица1[[#This Row],[Ежемесячный платеж]]&gt;$AC$6)</f>
        <v>0</v>
      </c>
      <c r="S422" s="9">
        <f>(Таблица1[[#This Row],[Размер кредита]]-21824)/(789096-21824)</f>
        <v>0.17014565890583783</v>
      </c>
      <c r="T422" s="9">
        <f>(Таблица1[[#This Row],[Кредитный рейтинг]]-586)/(751-586)</f>
        <v>0.67272727272727273</v>
      </c>
      <c r="U422" s="9">
        <f>Таблица1[[#This Row],[Ежемесячный платеж]]/(Таблица1[[#This Row],[Годовой доход]]/12)</f>
        <v>4.0800485142510612E-2</v>
      </c>
    </row>
    <row r="423" spans="1:21" x14ac:dyDescent="0.3">
      <c r="A423">
        <v>422</v>
      </c>
      <c r="B423">
        <v>0</v>
      </c>
      <c r="C423" s="9">
        <v>630234</v>
      </c>
      <c r="D423">
        <f>$Y$13</f>
        <v>723</v>
      </c>
      <c r="E423">
        <f>$AB$13</f>
        <v>1168044</v>
      </c>
      <c r="F423">
        <v>0</v>
      </c>
      <c r="G423">
        <v>32910.85</v>
      </c>
      <c r="H423">
        <v>15.6</v>
      </c>
      <c r="I423">
        <v>13</v>
      </c>
      <c r="J423">
        <v>1060846</v>
      </c>
      <c r="K423">
        <v>1305370</v>
      </c>
      <c r="L423" t="s">
        <v>63</v>
      </c>
      <c r="M423" t="s">
        <v>464</v>
      </c>
      <c r="N423" t="s">
        <v>26</v>
      </c>
      <c r="O423" t="s">
        <v>21</v>
      </c>
      <c r="P423" t="s">
        <v>22</v>
      </c>
      <c r="Q423" t="s">
        <v>23</v>
      </c>
      <c r="R423" t="b">
        <f>OR(Таблица1[[#This Row],[Ежемесячный платеж]]&lt;$AC$5, Таблица1[[#This Row],[Ежемесячный платеж]]&gt;$AC$6)</f>
        <v>0</v>
      </c>
      <c r="S423" s="9">
        <f>(Таблица1[[#This Row],[Размер кредита]]-21824)/(789096-21824)</f>
        <v>0.7929521734143824</v>
      </c>
      <c r="T423" s="9">
        <f>(Таблица1[[#This Row],[Кредитный рейтинг]]-586)/(751-586)</f>
        <v>0.83030303030303032</v>
      </c>
      <c r="U423" s="9">
        <f>Таблица1[[#This Row],[Ежемесячный платеж]]/(Таблица1[[#This Row],[Годовой доход]]/12)</f>
        <v>0.33811243412063241</v>
      </c>
    </row>
    <row r="424" spans="1:21" x14ac:dyDescent="0.3">
      <c r="A424">
        <v>423</v>
      </c>
      <c r="B424">
        <v>0</v>
      </c>
      <c r="C424" s="9">
        <v>87472</v>
      </c>
      <c r="D424">
        <v>695</v>
      </c>
      <c r="E424" s="1">
        <v>679896</v>
      </c>
      <c r="F424">
        <v>0</v>
      </c>
      <c r="G424">
        <v>6872.68</v>
      </c>
      <c r="H424">
        <v>10.199999999999999</v>
      </c>
      <c r="I424">
        <v>4</v>
      </c>
      <c r="J424">
        <v>19912</v>
      </c>
      <c r="K424">
        <v>133210</v>
      </c>
      <c r="L424" t="s">
        <v>47</v>
      </c>
      <c r="M424" t="s">
        <v>465</v>
      </c>
      <c r="N424" t="s">
        <v>71</v>
      </c>
      <c r="O424" t="s">
        <v>21</v>
      </c>
      <c r="P424" t="s">
        <v>22</v>
      </c>
      <c r="Q424" t="s">
        <v>23</v>
      </c>
      <c r="R424" t="b">
        <f>OR(Таблица1[[#This Row],[Ежемесячный платеж]]&lt;$AC$5, Таблица1[[#This Row],[Ежемесячный платеж]]&gt;$AC$6)</f>
        <v>0</v>
      </c>
      <c r="S424" s="9">
        <f>(Таблица1[[#This Row],[Размер кредита]]-21824)/(789096-21824)</f>
        <v>8.5560270673242345E-2</v>
      </c>
      <c r="T424" s="9">
        <f>(Таблица1[[#This Row],[Кредитный рейтинг]]-586)/(751-586)</f>
        <v>0.66060606060606064</v>
      </c>
      <c r="U424" s="9">
        <f>Таблица1[[#This Row],[Ежемесячный платеж]]/(Таблица1[[#This Row],[Годовой доход]]/12)</f>
        <v>0.12130114017437961</v>
      </c>
    </row>
    <row r="425" spans="1:21" x14ac:dyDescent="0.3">
      <c r="A425">
        <v>424</v>
      </c>
      <c r="B425">
        <v>0</v>
      </c>
      <c r="C425" s="9">
        <v>178046</v>
      </c>
      <c r="D425">
        <f>$Y$13</f>
        <v>723</v>
      </c>
      <c r="E425">
        <f>$AB$13</f>
        <v>1168044</v>
      </c>
      <c r="F425">
        <v>0</v>
      </c>
      <c r="G425">
        <v>18759.080000000002</v>
      </c>
      <c r="H425">
        <v>23.3</v>
      </c>
      <c r="I425">
        <v>11</v>
      </c>
      <c r="J425">
        <v>119757</v>
      </c>
      <c r="K425">
        <v>360184</v>
      </c>
      <c r="L425" t="s">
        <v>37</v>
      </c>
      <c r="M425" t="s">
        <v>466</v>
      </c>
      <c r="N425" t="s">
        <v>26</v>
      </c>
      <c r="O425" t="s">
        <v>34</v>
      </c>
      <c r="P425" t="s">
        <v>22</v>
      </c>
      <c r="Q425" t="s">
        <v>36</v>
      </c>
      <c r="R425" t="b">
        <f>OR(Таблица1[[#This Row],[Ежемесячный платеж]]&lt;$AC$5, Таблица1[[#This Row],[Ежемесячный платеж]]&gt;$AC$6)</f>
        <v>0</v>
      </c>
      <c r="S425" s="9">
        <f>(Таблица1[[#This Row],[Размер кредита]]-21824)/(789096-21824)</f>
        <v>0.20360706503039339</v>
      </c>
      <c r="T425" s="9">
        <f>(Таблица1[[#This Row],[Кредитный рейтинг]]-586)/(751-586)</f>
        <v>0.83030303030303032</v>
      </c>
      <c r="U425" s="9">
        <f>Таблица1[[#This Row],[Ежемесячный платеж]]/(Таблица1[[#This Row],[Годовой доход]]/12)</f>
        <v>0.19272301385906698</v>
      </c>
    </row>
    <row r="426" spans="1:21" x14ac:dyDescent="0.3">
      <c r="A426">
        <v>425</v>
      </c>
      <c r="B426">
        <v>1</v>
      </c>
      <c r="C426" s="9">
        <v>155738</v>
      </c>
      <c r="D426">
        <f>$Y$13</f>
        <v>723</v>
      </c>
      <c r="E426">
        <f>$AB$13</f>
        <v>1168044</v>
      </c>
      <c r="F426">
        <v>10</v>
      </c>
      <c r="G426">
        <v>6654.75</v>
      </c>
      <c r="H426">
        <v>19.399999999999999</v>
      </c>
      <c r="I426">
        <v>7</v>
      </c>
      <c r="J426">
        <v>125039</v>
      </c>
      <c r="K426">
        <v>275748</v>
      </c>
      <c r="L426" t="s">
        <v>24</v>
      </c>
      <c r="M426" t="s">
        <v>467</v>
      </c>
      <c r="N426" t="s">
        <v>26</v>
      </c>
      <c r="O426" t="s">
        <v>34</v>
      </c>
      <c r="P426" t="s">
        <v>22</v>
      </c>
      <c r="Q426" t="s">
        <v>23</v>
      </c>
      <c r="R426" t="b">
        <f>OR(Таблица1[[#This Row],[Ежемесячный платеж]]&lt;$AC$5, Таблица1[[#This Row],[Ежемесячный платеж]]&gt;$AC$6)</f>
        <v>0</v>
      </c>
      <c r="S426" s="9">
        <f>(Таблица1[[#This Row],[Размер кредита]]-21824)/(789096-21824)</f>
        <v>0.17453262988874871</v>
      </c>
      <c r="T426" s="9">
        <f>(Таблица1[[#This Row],[Кредитный рейтинг]]-586)/(751-586)</f>
        <v>0.83030303030303032</v>
      </c>
      <c r="U426" s="9">
        <f>Таблица1[[#This Row],[Ежемесячный платеж]]/(Таблица1[[#This Row],[Годовой доход]]/12)</f>
        <v>6.8368143665820807E-2</v>
      </c>
    </row>
    <row r="427" spans="1:21" x14ac:dyDescent="0.3">
      <c r="A427">
        <v>426</v>
      </c>
      <c r="B427">
        <v>0</v>
      </c>
      <c r="C427" s="9">
        <v>234036</v>
      </c>
      <c r="D427">
        <v>703</v>
      </c>
      <c r="E427" s="1">
        <v>665798</v>
      </c>
      <c r="F427">
        <v>39</v>
      </c>
      <c r="G427">
        <v>11263.01</v>
      </c>
      <c r="H427">
        <v>17</v>
      </c>
      <c r="I427">
        <v>13</v>
      </c>
      <c r="J427">
        <v>242098</v>
      </c>
      <c r="K427">
        <v>308396</v>
      </c>
      <c r="L427" t="s">
        <v>24</v>
      </c>
      <c r="M427" t="s">
        <v>468</v>
      </c>
      <c r="N427" t="s">
        <v>26</v>
      </c>
      <c r="O427" t="s">
        <v>21</v>
      </c>
      <c r="P427" t="s">
        <v>22</v>
      </c>
      <c r="Q427" t="s">
        <v>36</v>
      </c>
      <c r="R427" t="b">
        <f>OR(Таблица1[[#This Row],[Ежемесячный платеж]]&lt;$AC$5, Таблица1[[#This Row],[Ежемесячный платеж]]&gt;$AC$6)</f>
        <v>0</v>
      </c>
      <c r="S427" s="9">
        <f>(Таблица1[[#This Row],[Размер кредита]]-21824)/(789096-21824)</f>
        <v>0.27657988301410713</v>
      </c>
      <c r="T427" s="9">
        <f>(Таблица1[[#This Row],[Кредитный рейтинг]]-586)/(751-586)</f>
        <v>0.70909090909090911</v>
      </c>
      <c r="U427" s="9">
        <f>Таблица1[[#This Row],[Ежемесячный платеж]]/(Таблица1[[#This Row],[Годовой доход]]/12)</f>
        <v>0.20299868728953829</v>
      </c>
    </row>
    <row r="428" spans="1:21" x14ac:dyDescent="0.3">
      <c r="A428">
        <v>427</v>
      </c>
      <c r="B428">
        <v>0</v>
      </c>
      <c r="D428">
        <v>615</v>
      </c>
      <c r="E428" s="1">
        <v>1282462</v>
      </c>
      <c r="F428">
        <v>0</v>
      </c>
      <c r="G428">
        <v>40611.360000000001</v>
      </c>
      <c r="H428">
        <v>22.9</v>
      </c>
      <c r="I428">
        <v>21</v>
      </c>
      <c r="J428">
        <v>1238287</v>
      </c>
      <c r="K428">
        <v>1740046</v>
      </c>
      <c r="L428" t="s">
        <v>24</v>
      </c>
      <c r="M428" t="s">
        <v>469</v>
      </c>
      <c r="N428" t="s">
        <v>26</v>
      </c>
      <c r="O428" t="s">
        <v>21</v>
      </c>
      <c r="P428" t="s">
        <v>31</v>
      </c>
      <c r="Q428" t="s">
        <v>23</v>
      </c>
      <c r="R428" t="b">
        <f>OR(Таблица1[[#This Row],[Ежемесячный платеж]]&lt;$AC$5, Таблица1[[#This Row],[Ежемесячный платеж]]&gt;$AC$6)</f>
        <v>0</v>
      </c>
      <c r="T428" s="9">
        <f>(Таблица1[[#This Row],[Кредитный рейтинг]]-586)/(751-586)</f>
        <v>0.17575757575757575</v>
      </c>
      <c r="U428" s="9">
        <f>Таблица1[[#This Row],[Ежемесячный платеж]]/(Таблица1[[#This Row],[Годовой доход]]/12)</f>
        <v>0.38000059261015146</v>
      </c>
    </row>
    <row r="429" spans="1:21" x14ac:dyDescent="0.3">
      <c r="A429">
        <v>428</v>
      </c>
      <c r="B429">
        <v>1</v>
      </c>
      <c r="C429" s="9">
        <v>223146</v>
      </c>
      <c r="D429">
        <v>719</v>
      </c>
      <c r="E429" s="1">
        <v>573819</v>
      </c>
      <c r="F429">
        <v>0</v>
      </c>
      <c r="G429">
        <v>10902.58</v>
      </c>
      <c r="H429">
        <v>22.6</v>
      </c>
      <c r="I429">
        <v>9</v>
      </c>
      <c r="J429">
        <v>77159</v>
      </c>
      <c r="K429">
        <v>192544</v>
      </c>
      <c r="L429" t="s">
        <v>52</v>
      </c>
      <c r="M429" t="s">
        <v>470</v>
      </c>
      <c r="N429" t="s">
        <v>26</v>
      </c>
      <c r="O429" t="s">
        <v>21</v>
      </c>
      <c r="P429" t="s">
        <v>22</v>
      </c>
      <c r="Q429" t="s">
        <v>23</v>
      </c>
      <c r="R429" t="b">
        <f>OR(Таблица1[[#This Row],[Ежемесячный платеж]]&lt;$AC$5, Таблица1[[#This Row],[Ежемесячный платеж]]&gt;$AC$6)</f>
        <v>0</v>
      </c>
      <c r="S429" s="9">
        <f>(Таблица1[[#This Row],[Размер кредита]]-21824)/(789096-21824)</f>
        <v>0.2623867415988072</v>
      </c>
      <c r="T429" s="9">
        <f>(Таблица1[[#This Row],[Кредитный рейтинг]]-586)/(751-586)</f>
        <v>0.80606060606060603</v>
      </c>
      <c r="U429" s="9">
        <f>Таблица1[[#This Row],[Ежемесячный платеж]]/(Таблица1[[#This Row],[Годовой доход]]/12)</f>
        <v>0.2280003973378365</v>
      </c>
    </row>
    <row r="430" spans="1:21" x14ac:dyDescent="0.3">
      <c r="A430">
        <v>429</v>
      </c>
      <c r="B430">
        <v>0</v>
      </c>
      <c r="C430" s="9">
        <v>649902</v>
      </c>
      <c r="D430">
        <v>695</v>
      </c>
      <c r="E430" s="1">
        <v>1309651</v>
      </c>
      <c r="F430">
        <v>74</v>
      </c>
      <c r="G430">
        <v>6810.17</v>
      </c>
      <c r="H430">
        <v>26</v>
      </c>
      <c r="I430">
        <v>7</v>
      </c>
      <c r="J430">
        <v>300884</v>
      </c>
      <c r="K430">
        <v>361768</v>
      </c>
      <c r="L430" t="s">
        <v>24</v>
      </c>
      <c r="M430" t="s">
        <v>471</v>
      </c>
      <c r="N430" t="s">
        <v>26</v>
      </c>
      <c r="O430" t="s">
        <v>28</v>
      </c>
      <c r="P430" t="s">
        <v>31</v>
      </c>
      <c r="Q430" t="s">
        <v>23</v>
      </c>
      <c r="R430" t="b">
        <f>OR(Таблица1[[#This Row],[Ежемесячный платеж]]&lt;$AC$5, Таблица1[[#This Row],[Ежемесячный платеж]]&gt;$AC$6)</f>
        <v>0</v>
      </c>
      <c r="S430" s="9">
        <f>(Таблица1[[#This Row],[Размер кредита]]-21824)/(789096-21824)</f>
        <v>0.81858584700080284</v>
      </c>
      <c r="T430" s="9">
        <f>(Таблица1[[#This Row],[Кредитный рейтинг]]-586)/(751-586)</f>
        <v>0.66060606060606064</v>
      </c>
      <c r="U430" s="9">
        <f>Таблица1[[#This Row],[Ежемесячный платеж]]/(Таблица1[[#This Row],[Годовой доход]]/12)</f>
        <v>6.2399860726254558E-2</v>
      </c>
    </row>
    <row r="431" spans="1:21" x14ac:dyDescent="0.3">
      <c r="A431">
        <v>430</v>
      </c>
      <c r="B431">
        <v>0</v>
      </c>
      <c r="C431" s="9">
        <v>214632</v>
      </c>
      <c r="D431">
        <v>722</v>
      </c>
      <c r="E431" s="1">
        <v>1448237</v>
      </c>
      <c r="F431">
        <v>10</v>
      </c>
      <c r="G431">
        <v>33188.629999999997</v>
      </c>
      <c r="H431">
        <v>15</v>
      </c>
      <c r="I431">
        <v>25</v>
      </c>
      <c r="J431">
        <v>485982</v>
      </c>
      <c r="K431">
        <v>970200</v>
      </c>
      <c r="L431" t="s">
        <v>50</v>
      </c>
      <c r="M431" t="s">
        <v>472</v>
      </c>
      <c r="N431" t="s">
        <v>26</v>
      </c>
      <c r="O431" t="s">
        <v>21</v>
      </c>
      <c r="P431" t="s">
        <v>22</v>
      </c>
      <c r="Q431" t="s">
        <v>23</v>
      </c>
      <c r="R431" t="b">
        <f>OR(Таблица1[[#This Row],[Ежемесячный платеж]]&lt;$AC$5, Таблица1[[#This Row],[Ежемесячный платеж]]&gt;$AC$6)</f>
        <v>0</v>
      </c>
      <c r="S431" s="9">
        <f>(Таблица1[[#This Row],[Размер кредита]]-21824)/(789096-21824)</f>
        <v>0.25129028558320909</v>
      </c>
      <c r="T431" s="9">
        <f>(Таблица1[[#This Row],[Кредитный рейтинг]]-586)/(751-586)</f>
        <v>0.82424242424242422</v>
      </c>
      <c r="U431" s="9">
        <f>Таблица1[[#This Row],[Ежемесячный платеж]]/(Таблица1[[#This Row],[Годовой доход]]/12)</f>
        <v>0.27499888485102919</v>
      </c>
    </row>
    <row r="432" spans="1:21" x14ac:dyDescent="0.3">
      <c r="A432">
        <v>431</v>
      </c>
      <c r="B432">
        <v>0</v>
      </c>
      <c r="D432">
        <v>710</v>
      </c>
      <c r="E432" s="1">
        <v>1733788</v>
      </c>
      <c r="F432">
        <v>69</v>
      </c>
      <c r="G432">
        <v>39443.43</v>
      </c>
      <c r="H432">
        <v>35.6</v>
      </c>
      <c r="I432">
        <v>23</v>
      </c>
      <c r="J432">
        <v>761254</v>
      </c>
      <c r="K432">
        <v>1620344</v>
      </c>
      <c r="L432" t="s">
        <v>63</v>
      </c>
      <c r="M432" t="s">
        <v>473</v>
      </c>
      <c r="N432" t="s">
        <v>26</v>
      </c>
      <c r="O432" t="s">
        <v>21</v>
      </c>
      <c r="P432" t="s">
        <v>31</v>
      </c>
      <c r="Q432" t="s">
        <v>23</v>
      </c>
      <c r="R432" t="b">
        <f>OR(Таблица1[[#This Row],[Ежемесячный платеж]]&lt;$AC$5, Таблица1[[#This Row],[Ежемесячный платеж]]&gt;$AC$6)</f>
        <v>0</v>
      </c>
      <c r="T432" s="9">
        <f>(Таблица1[[#This Row],[Кредитный рейтинг]]-586)/(751-586)</f>
        <v>0.75151515151515147</v>
      </c>
      <c r="U432" s="9">
        <f>Таблица1[[#This Row],[Ежемесячный платеж]]/(Таблица1[[#This Row],[Годовой доход]]/12)</f>
        <v>0.27299829044842849</v>
      </c>
    </row>
    <row r="433" spans="1:21" x14ac:dyDescent="0.3">
      <c r="A433">
        <v>432</v>
      </c>
      <c r="B433">
        <v>0</v>
      </c>
      <c r="C433" s="9">
        <v>207636</v>
      </c>
      <c r="D433">
        <f>$Y$13</f>
        <v>723</v>
      </c>
      <c r="E433">
        <f>$AB$13</f>
        <v>1168044</v>
      </c>
      <c r="F433">
        <v>8</v>
      </c>
      <c r="G433">
        <v>15330.53</v>
      </c>
      <c r="H433">
        <v>19.7</v>
      </c>
      <c r="I433">
        <v>9</v>
      </c>
      <c r="J433">
        <v>184281</v>
      </c>
      <c r="K433">
        <v>254936</v>
      </c>
      <c r="L433" t="s">
        <v>24</v>
      </c>
      <c r="M433" t="s">
        <v>474</v>
      </c>
      <c r="N433" t="s">
        <v>26</v>
      </c>
      <c r="O433" t="s">
        <v>21</v>
      </c>
      <c r="P433" t="s">
        <v>22</v>
      </c>
      <c r="Q433" t="s">
        <v>36</v>
      </c>
      <c r="R433" t="b">
        <f>OR(Таблица1[[#This Row],[Ежемесячный платеж]]&lt;$AC$5, Таблица1[[#This Row],[Ежемесячный платеж]]&gt;$AC$6)</f>
        <v>0</v>
      </c>
      <c r="S433" s="9">
        <f>(Таблица1[[#This Row],[Размер кредита]]-21824)/(789096-21824)</f>
        <v>0.2421722674618649</v>
      </c>
      <c r="T433" s="9">
        <f>(Таблица1[[#This Row],[Кредитный рейтинг]]-586)/(751-586)</f>
        <v>0.83030303030303032</v>
      </c>
      <c r="U433" s="9">
        <f>Таблица1[[#This Row],[Ежемесячный платеж]]/(Таблица1[[#This Row],[Годовой доход]]/12)</f>
        <v>0.15749951200468476</v>
      </c>
    </row>
    <row r="434" spans="1:21" x14ac:dyDescent="0.3">
      <c r="A434">
        <v>433</v>
      </c>
      <c r="B434">
        <v>0</v>
      </c>
      <c r="D434">
        <v>693</v>
      </c>
      <c r="E434" s="1">
        <v>1885959</v>
      </c>
      <c r="F434">
        <v>35</v>
      </c>
      <c r="G434">
        <v>8046.88</v>
      </c>
      <c r="H434">
        <v>21.8</v>
      </c>
      <c r="I434">
        <v>10</v>
      </c>
      <c r="J434">
        <v>315932</v>
      </c>
      <c r="K434">
        <v>923758</v>
      </c>
      <c r="L434" t="s">
        <v>24</v>
      </c>
      <c r="M434" t="s">
        <v>475</v>
      </c>
      <c r="N434" t="s">
        <v>26</v>
      </c>
      <c r="O434" t="s">
        <v>21</v>
      </c>
      <c r="P434" t="s">
        <v>31</v>
      </c>
      <c r="Q434" t="s">
        <v>23</v>
      </c>
      <c r="R434" t="b">
        <f>OR(Таблица1[[#This Row],[Ежемесячный платеж]]&lt;$AC$5, Таблица1[[#This Row],[Ежемесячный платеж]]&gt;$AC$6)</f>
        <v>0</v>
      </c>
      <c r="T434" s="9">
        <f>(Таблица1[[#This Row],[Кредитный рейтинг]]-586)/(751-586)</f>
        <v>0.64848484848484844</v>
      </c>
      <c r="U434" s="9">
        <f>Таблица1[[#This Row],[Ежемесячный платеж]]/(Таблица1[[#This Row],[Годовой доход]]/12)</f>
        <v>5.1200773717774352E-2</v>
      </c>
    </row>
    <row r="435" spans="1:21" x14ac:dyDescent="0.3">
      <c r="A435">
        <v>434</v>
      </c>
      <c r="B435">
        <v>0</v>
      </c>
      <c r="C435" s="9">
        <v>396286</v>
      </c>
      <c r="D435">
        <v>741</v>
      </c>
      <c r="E435" s="1">
        <v>2528767</v>
      </c>
      <c r="F435">
        <v>4</v>
      </c>
      <c r="G435">
        <v>17111.400000000001</v>
      </c>
      <c r="H435">
        <v>28.9</v>
      </c>
      <c r="I435">
        <v>11</v>
      </c>
      <c r="J435">
        <v>174781</v>
      </c>
      <c r="K435">
        <v>535414</v>
      </c>
      <c r="L435" t="s">
        <v>24</v>
      </c>
      <c r="M435" t="s">
        <v>476</v>
      </c>
      <c r="N435" t="s">
        <v>26</v>
      </c>
      <c r="O435" t="s">
        <v>21</v>
      </c>
      <c r="P435" t="s">
        <v>22</v>
      </c>
      <c r="Q435" t="s">
        <v>23</v>
      </c>
      <c r="R435" t="b">
        <f>OR(Таблица1[[#This Row],[Ежемесячный платеж]]&lt;$AC$5, Таблица1[[#This Row],[Ежемесячный платеж]]&gt;$AC$6)</f>
        <v>0</v>
      </c>
      <c r="S435" s="9">
        <f>(Таблица1[[#This Row],[Размер кредита]]-21824)/(789096-21824)</f>
        <v>0.48804335359559581</v>
      </c>
      <c r="T435" s="9">
        <f>(Таблица1[[#This Row],[Кредитный рейтинг]]-586)/(751-586)</f>
        <v>0.93939393939393945</v>
      </c>
      <c r="U435" s="9">
        <f>Таблица1[[#This Row],[Ежемесячный платеж]]/(Таблица1[[#This Row],[Годовой доход]]/12)</f>
        <v>8.1200363655489022E-2</v>
      </c>
    </row>
    <row r="436" spans="1:21" x14ac:dyDescent="0.3">
      <c r="A436">
        <v>435</v>
      </c>
      <c r="B436">
        <v>0</v>
      </c>
      <c r="C436" s="9">
        <v>268664</v>
      </c>
      <c r="D436">
        <v>727</v>
      </c>
      <c r="E436" s="1">
        <v>899954</v>
      </c>
      <c r="F436">
        <v>0</v>
      </c>
      <c r="G436">
        <v>17324.2</v>
      </c>
      <c r="H436">
        <v>19.5</v>
      </c>
      <c r="I436">
        <v>13</v>
      </c>
      <c r="J436">
        <v>223725</v>
      </c>
      <c r="K436">
        <v>460130</v>
      </c>
      <c r="L436" t="s">
        <v>18</v>
      </c>
      <c r="M436" t="s">
        <v>477</v>
      </c>
      <c r="N436" t="s">
        <v>26</v>
      </c>
      <c r="O436" t="s">
        <v>21</v>
      </c>
      <c r="P436" t="s">
        <v>22</v>
      </c>
      <c r="Q436" t="s">
        <v>36</v>
      </c>
      <c r="R436" t="b">
        <f>OR(Таблица1[[#This Row],[Ежемесячный платеж]]&lt;$AC$5, Таблица1[[#This Row],[Ежемесячный платеж]]&gt;$AC$6)</f>
        <v>0</v>
      </c>
      <c r="S436" s="9">
        <f>(Таблица1[[#This Row],[Размер кредита]]-21824)/(789096-21824)</f>
        <v>0.32171120541346487</v>
      </c>
      <c r="T436" s="9">
        <f>(Таблица1[[#This Row],[Кредитный рейтинг]]-586)/(751-586)</f>
        <v>0.8545454545454545</v>
      </c>
      <c r="U436" s="9">
        <f>Таблица1[[#This Row],[Ежемесячный платеж]]/(Таблица1[[#This Row],[Годовой доход]]/12)</f>
        <v>0.23100114005826963</v>
      </c>
    </row>
    <row r="437" spans="1:21" x14ac:dyDescent="0.3">
      <c r="A437">
        <v>436</v>
      </c>
      <c r="B437">
        <v>1</v>
      </c>
      <c r="C437" s="9">
        <v>405746</v>
      </c>
      <c r="D437">
        <v>742</v>
      </c>
      <c r="E437" s="1">
        <v>1168044</v>
      </c>
      <c r="F437">
        <v>0</v>
      </c>
      <c r="G437">
        <v>21511.42</v>
      </c>
      <c r="H437">
        <v>13.8</v>
      </c>
      <c r="I437">
        <v>9</v>
      </c>
      <c r="J437">
        <v>286748</v>
      </c>
      <c r="K437">
        <v>378598</v>
      </c>
      <c r="L437" t="s">
        <v>32</v>
      </c>
      <c r="M437" t="s">
        <v>478</v>
      </c>
      <c r="N437" t="s">
        <v>26</v>
      </c>
      <c r="O437" t="s">
        <v>21</v>
      </c>
      <c r="P437" t="s">
        <v>22</v>
      </c>
      <c r="Q437" t="s">
        <v>23</v>
      </c>
      <c r="R437" t="b">
        <f>OR(Таблица1[[#This Row],[Ежемесячный платеж]]&lt;$AC$5, Таблица1[[#This Row],[Ежемесячный платеж]]&gt;$AC$6)</f>
        <v>0</v>
      </c>
      <c r="S437" s="9">
        <f>(Таблица1[[#This Row],[Размер кредита]]-21824)/(789096-21824)</f>
        <v>0.50037274916848262</v>
      </c>
      <c r="T437" s="9">
        <f>(Таблица1[[#This Row],[Кредитный рейтинг]]-586)/(751-586)</f>
        <v>0.94545454545454544</v>
      </c>
      <c r="U437" s="9">
        <f>Таблица1[[#This Row],[Ежемесячный платеж]]/(Таблица1[[#This Row],[Годовой доход]]/12)</f>
        <v>0.22099941440562168</v>
      </c>
    </row>
    <row r="438" spans="1:21" x14ac:dyDescent="0.3">
      <c r="A438">
        <v>437</v>
      </c>
      <c r="B438">
        <v>1</v>
      </c>
      <c r="C438" s="9">
        <v>188166</v>
      </c>
      <c r="D438">
        <v>747</v>
      </c>
      <c r="E438" s="1">
        <v>2408554</v>
      </c>
      <c r="F438">
        <v>0</v>
      </c>
      <c r="G438">
        <v>7587.08</v>
      </c>
      <c r="H438">
        <v>16.5</v>
      </c>
      <c r="I438">
        <v>7</v>
      </c>
      <c r="J438">
        <v>85975</v>
      </c>
      <c r="K438">
        <v>143440</v>
      </c>
      <c r="L438" t="s">
        <v>24</v>
      </c>
      <c r="M438" t="s">
        <v>479</v>
      </c>
      <c r="N438" t="s">
        <v>26</v>
      </c>
      <c r="O438" t="s">
        <v>34</v>
      </c>
      <c r="P438" t="s">
        <v>22</v>
      </c>
      <c r="Q438" t="s">
        <v>23</v>
      </c>
      <c r="R438" t="b">
        <f>OR(Таблица1[[#This Row],[Ежемесячный платеж]]&lt;$AC$5, Таблица1[[#This Row],[Ежемесячный платеж]]&gt;$AC$6)</f>
        <v>0</v>
      </c>
      <c r="S438" s="9">
        <f>(Таблица1[[#This Row],[Размер кредита]]-21824)/(789096-21824)</f>
        <v>0.21679665099208625</v>
      </c>
      <c r="T438" s="9">
        <f>(Таблица1[[#This Row],[Кредитный рейтинг]]-586)/(751-586)</f>
        <v>0.97575757575757571</v>
      </c>
      <c r="U438" s="9">
        <f>Таблица1[[#This Row],[Ежемесячный платеж]]/(Таблица1[[#This Row],[Годовой доход]]/12)</f>
        <v>3.7800672104507514E-2</v>
      </c>
    </row>
    <row r="439" spans="1:21" x14ac:dyDescent="0.3">
      <c r="A439">
        <v>438</v>
      </c>
      <c r="B439">
        <v>0</v>
      </c>
      <c r="C439" s="9">
        <v>358578</v>
      </c>
      <c r="D439">
        <v>711</v>
      </c>
      <c r="E439" s="1">
        <v>1509721</v>
      </c>
      <c r="F439">
        <v>0</v>
      </c>
      <c r="G439">
        <v>3157.8</v>
      </c>
      <c r="H439">
        <v>13.7</v>
      </c>
      <c r="I439">
        <v>3</v>
      </c>
      <c r="J439">
        <v>58862</v>
      </c>
      <c r="K439">
        <v>91850</v>
      </c>
      <c r="L439" t="s">
        <v>50</v>
      </c>
      <c r="M439" t="s">
        <v>480</v>
      </c>
      <c r="N439" t="s">
        <v>26</v>
      </c>
      <c r="O439" t="s">
        <v>21</v>
      </c>
      <c r="P439" t="s">
        <v>22</v>
      </c>
      <c r="Q439" t="s">
        <v>23</v>
      </c>
      <c r="R439" t="b">
        <f>OR(Таблица1[[#This Row],[Ежемесячный платеж]]&lt;$AC$5, Таблица1[[#This Row],[Ежемесячный платеж]]&gt;$AC$6)</f>
        <v>0</v>
      </c>
      <c r="S439" s="9">
        <f>(Таблица1[[#This Row],[Размер кредита]]-21824)/(789096-21824)</f>
        <v>0.43889780938180983</v>
      </c>
      <c r="T439" s="9">
        <f>(Таблица1[[#This Row],[Кредитный рейтинг]]-586)/(751-586)</f>
        <v>0.75757575757575757</v>
      </c>
      <c r="U439" s="9">
        <f>Таблица1[[#This Row],[Ежемесячный платеж]]/(Таблица1[[#This Row],[Годовой доход]]/12)</f>
        <v>2.5099736971268202E-2</v>
      </c>
    </row>
    <row r="440" spans="1:21" x14ac:dyDescent="0.3">
      <c r="A440">
        <v>439</v>
      </c>
      <c r="B440">
        <v>0</v>
      </c>
      <c r="C440" s="9">
        <v>94534</v>
      </c>
      <c r="D440">
        <v>718</v>
      </c>
      <c r="E440" s="1">
        <v>777556</v>
      </c>
      <c r="F440">
        <v>0</v>
      </c>
      <c r="G440">
        <v>12894.35</v>
      </c>
      <c r="H440">
        <v>8.6999999999999993</v>
      </c>
      <c r="I440">
        <v>8</v>
      </c>
      <c r="J440">
        <v>49286</v>
      </c>
      <c r="K440">
        <v>72050</v>
      </c>
      <c r="L440" t="s">
        <v>41</v>
      </c>
      <c r="M440" t="s">
        <v>481</v>
      </c>
      <c r="N440" t="s">
        <v>26</v>
      </c>
      <c r="O440" t="s">
        <v>34</v>
      </c>
      <c r="P440" t="s">
        <v>22</v>
      </c>
      <c r="Q440" t="s">
        <v>23</v>
      </c>
      <c r="R440" t="b">
        <f>OR(Таблица1[[#This Row],[Ежемесячный платеж]]&lt;$AC$5, Таблица1[[#This Row],[Ежемесячный платеж]]&gt;$AC$6)</f>
        <v>0</v>
      </c>
      <c r="S440" s="9">
        <f>(Таблица1[[#This Row],[Размер кредита]]-21824)/(789096-21824)</f>
        <v>9.4764307833467135E-2</v>
      </c>
      <c r="T440" s="9">
        <f>(Таблица1[[#This Row],[Кредитный рейтинг]]-586)/(751-586)</f>
        <v>0.8</v>
      </c>
      <c r="U440" s="9">
        <f>Таблица1[[#This Row],[Ежемесячный платеж]]/(Таблица1[[#This Row],[Годовой доход]]/12)</f>
        <v>0.19899814289903234</v>
      </c>
    </row>
    <row r="441" spans="1:21" x14ac:dyDescent="0.3">
      <c r="A441">
        <v>440</v>
      </c>
      <c r="B441">
        <v>0</v>
      </c>
      <c r="C441" s="9">
        <v>767624</v>
      </c>
      <c r="D441">
        <v>733</v>
      </c>
      <c r="E441" s="1">
        <v>2083825</v>
      </c>
      <c r="F441">
        <v>0</v>
      </c>
      <c r="G441">
        <v>22574.85</v>
      </c>
      <c r="H441">
        <v>12.6</v>
      </c>
      <c r="I441">
        <v>12</v>
      </c>
      <c r="J441">
        <v>434910</v>
      </c>
      <c r="K441">
        <v>1243396</v>
      </c>
      <c r="L441" t="s">
        <v>37</v>
      </c>
      <c r="M441" t="s">
        <v>482</v>
      </c>
      <c r="N441" t="s">
        <v>26</v>
      </c>
      <c r="O441" t="s">
        <v>21</v>
      </c>
      <c r="P441" t="s">
        <v>22</v>
      </c>
      <c r="Q441" t="s">
        <v>23</v>
      </c>
      <c r="R441" t="b">
        <f>OR(Таблица1[[#This Row],[Ежемесячный платеж]]&lt;$AC$5, Таблица1[[#This Row],[Ежемесячный платеж]]&gt;$AC$6)</f>
        <v>0</v>
      </c>
      <c r="S441" s="9">
        <f>(Таблица1[[#This Row],[Размер кредита]]-21824)/(789096-21824)</f>
        <v>0.97201513935084294</v>
      </c>
      <c r="T441" s="9">
        <f>(Таблица1[[#This Row],[Кредитный рейтинг]]-586)/(751-586)</f>
        <v>0.89090909090909087</v>
      </c>
      <c r="U441" s="9">
        <f>Таблица1[[#This Row],[Ежемесячный платеж]]/(Таблица1[[#This Row],[Годовой доход]]/12)</f>
        <v>0.13000045589240938</v>
      </c>
    </row>
    <row r="442" spans="1:21" x14ac:dyDescent="0.3">
      <c r="A442">
        <v>441</v>
      </c>
      <c r="B442">
        <v>0</v>
      </c>
      <c r="C442" s="9">
        <v>403964</v>
      </c>
      <c r="D442">
        <v>744</v>
      </c>
      <c r="E442" s="1">
        <v>1763561</v>
      </c>
      <c r="F442">
        <v>0</v>
      </c>
      <c r="G442">
        <v>17929.349999999999</v>
      </c>
      <c r="H442">
        <v>18.399999999999999</v>
      </c>
      <c r="I442">
        <v>11</v>
      </c>
      <c r="J442">
        <v>389101</v>
      </c>
      <c r="K442">
        <v>843678</v>
      </c>
      <c r="L442" t="s">
        <v>24</v>
      </c>
      <c r="M442" t="s">
        <v>483</v>
      </c>
      <c r="N442" t="s">
        <v>26</v>
      </c>
      <c r="O442" t="s">
        <v>21</v>
      </c>
      <c r="P442" t="s">
        <v>22</v>
      </c>
      <c r="Q442" t="s">
        <v>23</v>
      </c>
      <c r="R442" t="b">
        <f>OR(Таблица1[[#This Row],[Ежемесячный платеж]]&lt;$AC$5, Таблица1[[#This Row],[Ежемесячный платеж]]&gt;$AC$6)</f>
        <v>0</v>
      </c>
      <c r="S442" s="9">
        <f>(Таблица1[[#This Row],[Размер кредита]]-21824)/(789096-21824)</f>
        <v>0.49805023511870627</v>
      </c>
      <c r="T442" s="9">
        <f>(Таблица1[[#This Row],[Кредитный рейтинг]]-586)/(751-586)</f>
        <v>0.95757575757575752</v>
      </c>
      <c r="U442" s="9">
        <f>Таблица1[[#This Row],[Ежемесячный платеж]]/(Таблица1[[#This Row],[Годовой доход]]/12)</f>
        <v>0.12199872870856182</v>
      </c>
    </row>
    <row r="443" spans="1:21" x14ac:dyDescent="0.3">
      <c r="A443">
        <v>442</v>
      </c>
      <c r="B443">
        <v>0</v>
      </c>
      <c r="C443" s="9">
        <v>531168</v>
      </c>
      <c r="D443">
        <v>724</v>
      </c>
      <c r="E443" s="1">
        <v>1834944</v>
      </c>
      <c r="F443">
        <v>75</v>
      </c>
      <c r="G443">
        <v>23242.7</v>
      </c>
      <c r="H443">
        <v>38</v>
      </c>
      <c r="I443">
        <v>16</v>
      </c>
      <c r="J443">
        <v>534033</v>
      </c>
      <c r="K443">
        <v>942612</v>
      </c>
      <c r="L443" t="s">
        <v>24</v>
      </c>
      <c r="M443" t="s">
        <v>484</v>
      </c>
      <c r="N443" t="s">
        <v>26</v>
      </c>
      <c r="O443" t="s">
        <v>21</v>
      </c>
      <c r="P443" t="s">
        <v>31</v>
      </c>
      <c r="Q443" t="s">
        <v>23</v>
      </c>
      <c r="R443" t="b">
        <f>OR(Таблица1[[#This Row],[Ежемесячный платеж]]&lt;$AC$5, Таблица1[[#This Row],[Ежемесячный платеж]]&gt;$AC$6)</f>
        <v>0</v>
      </c>
      <c r="S443" s="9">
        <f>(Таблица1[[#This Row],[Размер кредита]]-21824)/(789096-21824)</f>
        <v>0.66383759605459347</v>
      </c>
      <c r="T443" s="9">
        <f>(Таблица1[[#This Row],[Кредитный рейтинг]]-586)/(751-586)</f>
        <v>0.83636363636363631</v>
      </c>
      <c r="U443" s="9">
        <f>Таблица1[[#This Row],[Ежемесячный платеж]]/(Таблица1[[#This Row],[Годовой доход]]/12)</f>
        <v>0.15200049701789264</v>
      </c>
    </row>
    <row r="444" spans="1:21" x14ac:dyDescent="0.3">
      <c r="A444">
        <v>443</v>
      </c>
      <c r="B444">
        <v>1</v>
      </c>
      <c r="C444" s="9">
        <v>390896</v>
      </c>
      <c r="D444">
        <v>735</v>
      </c>
      <c r="E444" s="1">
        <v>804460</v>
      </c>
      <c r="F444">
        <v>0</v>
      </c>
      <c r="G444">
        <v>11932.95</v>
      </c>
      <c r="H444">
        <v>26.3</v>
      </c>
      <c r="I444">
        <v>14</v>
      </c>
      <c r="J444">
        <v>335027</v>
      </c>
      <c r="K444">
        <v>1251360</v>
      </c>
      <c r="L444" t="s">
        <v>52</v>
      </c>
      <c r="M444" t="s">
        <v>485</v>
      </c>
      <c r="N444" t="s">
        <v>26</v>
      </c>
      <c r="O444" t="s">
        <v>34</v>
      </c>
      <c r="P444" t="s">
        <v>22</v>
      </c>
      <c r="Q444" t="s">
        <v>23</v>
      </c>
      <c r="R444" t="b">
        <f>OR(Таблица1[[#This Row],[Ежемесячный платеж]]&lt;$AC$5, Таблица1[[#This Row],[Ежемесячный платеж]]&gt;$AC$6)</f>
        <v>0</v>
      </c>
      <c r="S444" s="9">
        <f>(Таблица1[[#This Row],[Размер кредита]]-21824)/(789096-21824)</f>
        <v>0.48101846542034637</v>
      </c>
      <c r="T444" s="9">
        <f>(Таблица1[[#This Row],[Кредитный рейтинг]]-586)/(751-586)</f>
        <v>0.90303030303030307</v>
      </c>
      <c r="U444" s="9">
        <f>Таблица1[[#This Row],[Ежемесячный платеж]]/(Таблица1[[#This Row],[Годовой доход]]/12)</f>
        <v>0.1780018894662258</v>
      </c>
    </row>
    <row r="445" spans="1:21" x14ac:dyDescent="0.3">
      <c r="A445">
        <v>444</v>
      </c>
      <c r="B445">
        <v>1</v>
      </c>
      <c r="C445" s="9">
        <v>134794</v>
      </c>
      <c r="D445">
        <v>736</v>
      </c>
      <c r="E445" s="1">
        <v>927523</v>
      </c>
      <c r="F445">
        <v>49</v>
      </c>
      <c r="G445">
        <v>11439.33</v>
      </c>
      <c r="H445">
        <v>16.8</v>
      </c>
      <c r="I445">
        <v>7</v>
      </c>
      <c r="J445">
        <v>72371</v>
      </c>
      <c r="K445">
        <v>130306</v>
      </c>
      <c r="L445" t="s">
        <v>24</v>
      </c>
      <c r="M445" t="s">
        <v>486</v>
      </c>
      <c r="N445" t="s">
        <v>26</v>
      </c>
      <c r="O445" t="s">
        <v>34</v>
      </c>
      <c r="P445" t="s">
        <v>22</v>
      </c>
      <c r="Q445" t="s">
        <v>23</v>
      </c>
      <c r="R445" t="b">
        <f>OR(Таблица1[[#This Row],[Ежемесячный платеж]]&lt;$AC$5, Таблица1[[#This Row],[Ежемесячный платеж]]&gt;$AC$6)</f>
        <v>0</v>
      </c>
      <c r="S445" s="9">
        <f>(Таблица1[[#This Row],[Размер кредита]]-21824)/(789096-21824)</f>
        <v>0.14723592155063653</v>
      </c>
      <c r="T445" s="9">
        <f>(Таблица1[[#This Row],[Кредитный рейтинг]]-586)/(751-586)</f>
        <v>0.90909090909090906</v>
      </c>
      <c r="U445" s="9">
        <f>Таблица1[[#This Row],[Ежемесячный платеж]]/(Таблица1[[#This Row],[Годовой доход]]/12)</f>
        <v>0.14799844316529079</v>
      </c>
    </row>
    <row r="446" spans="1:21" x14ac:dyDescent="0.3">
      <c r="A446">
        <v>445</v>
      </c>
      <c r="B446">
        <v>3</v>
      </c>
      <c r="D446">
        <v>741</v>
      </c>
      <c r="E446" s="1">
        <v>1157328</v>
      </c>
      <c r="F446">
        <v>0</v>
      </c>
      <c r="G446">
        <v>9007.9</v>
      </c>
      <c r="H446">
        <v>13.7</v>
      </c>
      <c r="I446">
        <v>10</v>
      </c>
      <c r="J446">
        <v>159714</v>
      </c>
      <c r="K446">
        <v>469348</v>
      </c>
      <c r="L446" t="s">
        <v>63</v>
      </c>
      <c r="M446" t="s">
        <v>487</v>
      </c>
      <c r="N446" t="s">
        <v>26</v>
      </c>
      <c r="O446" t="s">
        <v>34</v>
      </c>
      <c r="P446" t="s">
        <v>22</v>
      </c>
      <c r="Q446" t="s">
        <v>23</v>
      </c>
      <c r="R446" t="b">
        <f>OR(Таблица1[[#This Row],[Ежемесячный платеж]]&lt;$AC$5, Таблица1[[#This Row],[Ежемесячный платеж]]&gt;$AC$6)</f>
        <v>0</v>
      </c>
      <c r="T446" s="9">
        <f>(Таблица1[[#This Row],[Кредитный рейтинг]]-586)/(751-586)</f>
        <v>0.93939393939393945</v>
      </c>
      <c r="U446" s="9">
        <f>Таблица1[[#This Row],[Ежемесячный платеж]]/(Таблица1[[#This Row],[Годовой доход]]/12)</f>
        <v>9.3400315208825843E-2</v>
      </c>
    </row>
    <row r="447" spans="1:21" x14ac:dyDescent="0.3">
      <c r="A447">
        <v>446</v>
      </c>
      <c r="B447">
        <v>0</v>
      </c>
      <c r="C447" s="9">
        <v>134596</v>
      </c>
      <c r="D447">
        <v>723</v>
      </c>
      <c r="E447" s="1">
        <v>1356201</v>
      </c>
      <c r="F447">
        <v>10</v>
      </c>
      <c r="G447">
        <v>18308.78</v>
      </c>
      <c r="H447">
        <v>21.5</v>
      </c>
      <c r="I447">
        <v>19</v>
      </c>
      <c r="J447">
        <v>286596</v>
      </c>
      <c r="K447">
        <v>707586</v>
      </c>
      <c r="L447" t="s">
        <v>63</v>
      </c>
      <c r="M447" t="s">
        <v>488</v>
      </c>
      <c r="N447" t="s">
        <v>26</v>
      </c>
      <c r="O447" t="s">
        <v>21</v>
      </c>
      <c r="P447" t="s">
        <v>22</v>
      </c>
      <c r="Q447" t="s">
        <v>23</v>
      </c>
      <c r="R447" t="b">
        <f>OR(Таблица1[[#This Row],[Ежемесячный платеж]]&lt;$AC$5, Таблица1[[#This Row],[Ежемесячный платеж]]&gt;$AC$6)</f>
        <v>0</v>
      </c>
      <c r="S447" s="9">
        <f>(Таблица1[[#This Row],[Размер кредита]]-21824)/(789096-21824)</f>
        <v>0.14697786443399471</v>
      </c>
      <c r="T447" s="9">
        <f>(Таблица1[[#This Row],[Кредитный рейтинг]]-586)/(751-586)</f>
        <v>0.83030303030303032</v>
      </c>
      <c r="U447" s="9">
        <f>Таблица1[[#This Row],[Ежемесячный платеж]]/(Таблица1[[#This Row],[Годовой доход]]/12)</f>
        <v>0.16200058840835538</v>
      </c>
    </row>
    <row r="448" spans="1:21" x14ac:dyDescent="0.3">
      <c r="A448">
        <v>447</v>
      </c>
      <c r="B448">
        <v>0</v>
      </c>
      <c r="C448" s="9">
        <v>311850</v>
      </c>
      <c r="D448">
        <v>723</v>
      </c>
      <c r="E448" s="1">
        <v>694564</v>
      </c>
      <c r="F448">
        <v>0</v>
      </c>
      <c r="G448">
        <v>12270.77</v>
      </c>
      <c r="H448">
        <v>18.8</v>
      </c>
      <c r="I448">
        <v>6</v>
      </c>
      <c r="J448">
        <v>167238</v>
      </c>
      <c r="K448">
        <v>338536</v>
      </c>
      <c r="L448" t="s">
        <v>24</v>
      </c>
      <c r="M448" t="s">
        <v>489</v>
      </c>
      <c r="N448" t="s">
        <v>26</v>
      </c>
      <c r="O448" t="s">
        <v>28</v>
      </c>
      <c r="P448" t="s">
        <v>31</v>
      </c>
      <c r="Q448" t="s">
        <v>23</v>
      </c>
      <c r="R448" t="b">
        <f>OR(Таблица1[[#This Row],[Ежемесячный платеж]]&lt;$AC$5, Таблица1[[#This Row],[Ежемесячный платеж]]&gt;$AC$6)</f>
        <v>0</v>
      </c>
      <c r="S448" s="9">
        <f>(Таблица1[[#This Row],[Размер кредита]]-21824)/(789096-21824)</f>
        <v>0.37799632985434112</v>
      </c>
      <c r="T448" s="9">
        <f>(Таблица1[[#This Row],[Кредитный рейтинг]]-586)/(751-586)</f>
        <v>0.83030303030303032</v>
      </c>
      <c r="U448" s="9">
        <f>Таблица1[[#This Row],[Ежемесячный платеж]]/(Таблица1[[#This Row],[Годовой доход]]/12)</f>
        <v>0.21200240726556516</v>
      </c>
    </row>
    <row r="449" spans="1:21" x14ac:dyDescent="0.3">
      <c r="A449">
        <v>448</v>
      </c>
      <c r="B449">
        <v>0</v>
      </c>
      <c r="D449">
        <v>722</v>
      </c>
      <c r="E449" s="1">
        <v>1450441</v>
      </c>
      <c r="F449">
        <v>37</v>
      </c>
      <c r="G449">
        <v>15229.64</v>
      </c>
      <c r="H449">
        <v>14</v>
      </c>
      <c r="I449">
        <v>10</v>
      </c>
      <c r="J449">
        <v>439812</v>
      </c>
      <c r="K449">
        <v>816134</v>
      </c>
      <c r="L449" t="s">
        <v>24</v>
      </c>
      <c r="M449" t="s">
        <v>490</v>
      </c>
      <c r="N449" t="s">
        <v>26</v>
      </c>
      <c r="O449" t="s">
        <v>21</v>
      </c>
      <c r="P449" t="s">
        <v>22</v>
      </c>
      <c r="Q449" t="s">
        <v>23</v>
      </c>
      <c r="R449" t="b">
        <f>OR(Таблица1[[#This Row],[Ежемесячный платеж]]&lt;$AC$5, Таблица1[[#This Row],[Ежемесячный платеж]]&gt;$AC$6)</f>
        <v>0</v>
      </c>
      <c r="T449" s="9">
        <f>(Таблица1[[#This Row],[Кредитный рейтинг]]-586)/(751-586)</f>
        <v>0.82424242424242422</v>
      </c>
      <c r="U449" s="9">
        <f>Таблица1[[#This Row],[Ежемесячный платеж]]/(Таблица1[[#This Row],[Годовой доход]]/12)</f>
        <v>0.12600007859678539</v>
      </c>
    </row>
    <row r="450" spans="1:21" x14ac:dyDescent="0.3">
      <c r="A450">
        <v>449</v>
      </c>
      <c r="B450">
        <v>0</v>
      </c>
      <c r="C450" s="9">
        <v>429000</v>
      </c>
      <c r="D450">
        <v>746</v>
      </c>
      <c r="E450" s="1">
        <v>926250</v>
      </c>
      <c r="F450">
        <v>0</v>
      </c>
      <c r="G450">
        <v>27015.53</v>
      </c>
      <c r="H450">
        <v>28.5</v>
      </c>
      <c r="I450">
        <v>8</v>
      </c>
      <c r="J450">
        <v>473708</v>
      </c>
      <c r="K450">
        <v>746240</v>
      </c>
      <c r="L450" t="s">
        <v>24</v>
      </c>
      <c r="M450" t="s">
        <v>491</v>
      </c>
      <c r="N450" t="s">
        <v>26</v>
      </c>
      <c r="O450" t="s">
        <v>21</v>
      </c>
      <c r="P450" t="s">
        <v>22</v>
      </c>
      <c r="Q450" t="s">
        <v>23</v>
      </c>
      <c r="R450" t="b">
        <f>OR(Таблица1[[#This Row],[Ежемесячный платеж]]&lt;$AC$5, Таблица1[[#This Row],[Ежемесячный платеж]]&gt;$AC$6)</f>
        <v>0</v>
      </c>
      <c r="S450" s="9">
        <f>(Таблица1[[#This Row],[Размер кредита]]-21824)/(789096-21824)</f>
        <v>0.53068012386741603</v>
      </c>
      <c r="T450" s="9">
        <f>(Таблица1[[#This Row],[Кредитный рейтинг]]-586)/(751-586)</f>
        <v>0.96969696969696972</v>
      </c>
      <c r="U450" s="9">
        <f>Таблица1[[#This Row],[Ежемесячный платеж]]/(Таблица1[[#This Row],[Годовой доход]]/12)</f>
        <v>0.34999876923076922</v>
      </c>
    </row>
    <row r="451" spans="1:21" x14ac:dyDescent="0.3">
      <c r="A451">
        <v>450</v>
      </c>
      <c r="B451">
        <v>0</v>
      </c>
      <c r="C451" s="9">
        <v>215446</v>
      </c>
      <c r="D451">
        <v>720</v>
      </c>
      <c r="E451" s="1">
        <v>1308283</v>
      </c>
      <c r="F451">
        <v>27</v>
      </c>
      <c r="G451">
        <v>11992.61</v>
      </c>
      <c r="H451">
        <v>22</v>
      </c>
      <c r="I451">
        <v>13</v>
      </c>
      <c r="J451">
        <v>139479</v>
      </c>
      <c r="K451">
        <v>192940</v>
      </c>
      <c r="L451" t="s">
        <v>63</v>
      </c>
      <c r="M451" t="s">
        <v>492</v>
      </c>
      <c r="N451" t="s">
        <v>26</v>
      </c>
      <c r="O451" t="s">
        <v>34</v>
      </c>
      <c r="P451" t="s">
        <v>22</v>
      </c>
      <c r="Q451" t="s">
        <v>36</v>
      </c>
      <c r="R451" t="b">
        <f>OR(Таблица1[[#This Row],[Ежемесячный платеж]]&lt;$AC$5, Таблица1[[#This Row],[Ежемесячный платеж]]&gt;$AC$6)</f>
        <v>0</v>
      </c>
      <c r="S451" s="9">
        <f>(Таблица1[[#This Row],[Размер кредита]]-21824)/(789096-21824)</f>
        <v>0.25235118706273657</v>
      </c>
      <c r="T451" s="9">
        <f>(Таблица1[[#This Row],[Кредитный рейтинг]]-586)/(751-586)</f>
        <v>0.81212121212121213</v>
      </c>
      <c r="U451" s="9">
        <f>Таблица1[[#This Row],[Ежемесячный платеж]]/(Таблица1[[#This Row],[Годовой доход]]/12)</f>
        <v>0.11000014522851709</v>
      </c>
    </row>
    <row r="452" spans="1:21" x14ac:dyDescent="0.3">
      <c r="A452">
        <v>451</v>
      </c>
      <c r="B452">
        <v>0</v>
      </c>
      <c r="C452" s="9">
        <v>375650</v>
      </c>
      <c r="D452">
        <v>724</v>
      </c>
      <c r="E452" s="1">
        <v>768398</v>
      </c>
      <c r="F452">
        <v>0</v>
      </c>
      <c r="G452">
        <v>12857.68</v>
      </c>
      <c r="H452">
        <v>19</v>
      </c>
      <c r="I452">
        <v>10</v>
      </c>
      <c r="J452">
        <v>254391</v>
      </c>
      <c r="K452">
        <v>435072</v>
      </c>
      <c r="L452" t="s">
        <v>24</v>
      </c>
      <c r="M452" t="s">
        <v>493</v>
      </c>
      <c r="N452" t="s">
        <v>26</v>
      </c>
      <c r="O452" t="s">
        <v>34</v>
      </c>
      <c r="P452" t="s">
        <v>22</v>
      </c>
      <c r="Q452" t="s">
        <v>23</v>
      </c>
      <c r="R452" t="b">
        <f>OR(Таблица1[[#This Row],[Ежемесячный платеж]]&lt;$AC$5, Таблица1[[#This Row],[Ежемесячный платеж]]&gt;$AC$6)</f>
        <v>0</v>
      </c>
      <c r="S452" s="9">
        <f>(Таблица1[[#This Row],[Размер кредита]]-21824)/(789096-21824)</f>
        <v>0.4611480674389265</v>
      </c>
      <c r="T452" s="9">
        <f>(Таблица1[[#This Row],[Кредитный рейтинг]]-586)/(751-586)</f>
        <v>0.83636363636363631</v>
      </c>
      <c r="U452" s="9">
        <f>Таблица1[[#This Row],[Ежемесячный платеж]]/(Таблица1[[#This Row],[Годовой доход]]/12)</f>
        <v>0.20079719103901886</v>
      </c>
    </row>
    <row r="453" spans="1:21" x14ac:dyDescent="0.3">
      <c r="A453">
        <v>452</v>
      </c>
      <c r="B453">
        <v>0</v>
      </c>
      <c r="C453" s="9">
        <v>762696</v>
      </c>
      <c r="D453">
        <v>656</v>
      </c>
      <c r="E453" s="1">
        <v>6906766</v>
      </c>
      <c r="F453">
        <v>0</v>
      </c>
      <c r="G453">
        <v>86334.48</v>
      </c>
      <c r="H453">
        <v>31.2</v>
      </c>
      <c r="I453">
        <v>13</v>
      </c>
      <c r="J453">
        <v>1376474</v>
      </c>
      <c r="K453">
        <v>1728650</v>
      </c>
      <c r="L453" t="s">
        <v>29</v>
      </c>
      <c r="M453" t="s">
        <v>494</v>
      </c>
      <c r="N453" t="s">
        <v>26</v>
      </c>
      <c r="O453" t="s">
        <v>21</v>
      </c>
      <c r="P453" t="s">
        <v>31</v>
      </c>
      <c r="Q453" t="s">
        <v>23</v>
      </c>
      <c r="R453" t="b">
        <f>OR(Таблица1[[#This Row],[Ежемесячный платеж]]&lt;$AC$5, Таблица1[[#This Row],[Ежемесячный платеж]]&gt;$AC$6)</f>
        <v>1</v>
      </c>
      <c r="S453" s="9">
        <f>(Таблица1[[#This Row],[Размер кредита]]-21824)/(789096-21824)</f>
        <v>0.96559238444775775</v>
      </c>
      <c r="T453" s="9">
        <f>(Таблица1[[#This Row],[Кредитный рейтинг]]-586)/(751-586)</f>
        <v>0.42424242424242425</v>
      </c>
      <c r="U453" s="9">
        <f>Таблица1[[#This Row],[Ежемесячный платеж]]/(Таблица1[[#This Row],[Годовой доход]]/12)</f>
        <v>0.14999983494445879</v>
      </c>
    </row>
    <row r="454" spans="1:21" x14ac:dyDescent="0.3">
      <c r="A454">
        <v>453</v>
      </c>
      <c r="B454">
        <v>0</v>
      </c>
      <c r="C454" s="9">
        <v>267872</v>
      </c>
      <c r="D454">
        <f>$Y$13</f>
        <v>723</v>
      </c>
      <c r="E454">
        <f>$AB$13</f>
        <v>1168044</v>
      </c>
      <c r="F454">
        <v>0</v>
      </c>
      <c r="G454">
        <v>19439.849999999999</v>
      </c>
      <c r="H454">
        <v>20.5</v>
      </c>
      <c r="I454">
        <v>10</v>
      </c>
      <c r="J454">
        <v>673512</v>
      </c>
      <c r="K454">
        <v>1687994</v>
      </c>
      <c r="L454" t="s">
        <v>24</v>
      </c>
      <c r="M454" t="s">
        <v>495</v>
      </c>
      <c r="N454" t="s">
        <v>26</v>
      </c>
      <c r="O454" t="s">
        <v>28</v>
      </c>
      <c r="P454" t="s">
        <v>31</v>
      </c>
      <c r="Q454" t="s">
        <v>23</v>
      </c>
      <c r="R454" t="b">
        <f>OR(Таблица1[[#This Row],[Ежемесячный платеж]]&lt;$AC$5, Таблица1[[#This Row],[Ежемесячный платеж]]&gt;$AC$6)</f>
        <v>0</v>
      </c>
      <c r="S454" s="9">
        <f>(Таблица1[[#This Row],[Размер кредита]]-21824)/(789096-21824)</f>
        <v>0.32067897694689756</v>
      </c>
      <c r="T454" s="9">
        <f>(Таблица1[[#This Row],[Кредитный рейтинг]]-586)/(751-586)</f>
        <v>0.83030303030303032</v>
      </c>
      <c r="U454" s="9">
        <f>Таблица1[[#This Row],[Ежемесячный платеж]]/(Таблица1[[#This Row],[Годовой доход]]/12)</f>
        <v>0.19971696271715789</v>
      </c>
    </row>
    <row r="455" spans="1:21" x14ac:dyDescent="0.3">
      <c r="A455">
        <v>454</v>
      </c>
      <c r="B455">
        <v>0</v>
      </c>
      <c r="C455" s="9">
        <v>781022</v>
      </c>
      <c r="D455">
        <v>653</v>
      </c>
      <c r="E455" s="1">
        <v>2004253</v>
      </c>
      <c r="F455">
        <v>48</v>
      </c>
      <c r="G455">
        <v>35993.22</v>
      </c>
      <c r="H455">
        <v>26.4</v>
      </c>
      <c r="I455">
        <v>17</v>
      </c>
      <c r="J455">
        <v>622554</v>
      </c>
      <c r="K455">
        <v>1115862</v>
      </c>
      <c r="L455" t="s">
        <v>24</v>
      </c>
      <c r="M455" t="s">
        <v>496</v>
      </c>
      <c r="N455" t="s">
        <v>26</v>
      </c>
      <c r="O455" t="s">
        <v>21</v>
      </c>
      <c r="P455" t="s">
        <v>31</v>
      </c>
      <c r="Q455" t="s">
        <v>36</v>
      </c>
      <c r="R455" t="b">
        <f>OR(Таблица1[[#This Row],[Ежемесячный платеж]]&lt;$AC$5, Таблица1[[#This Row],[Ежемесячный платеж]]&gt;$AC$6)</f>
        <v>0</v>
      </c>
      <c r="S455" s="9">
        <f>(Таблица1[[#This Row],[Размер кредита]]-21824)/(789096-21824)</f>
        <v>0.98947700424360596</v>
      </c>
      <c r="T455" s="9">
        <f>(Таблица1[[#This Row],[Кредитный рейтинг]]-586)/(751-586)</f>
        <v>0.40606060606060607</v>
      </c>
      <c r="U455" s="9">
        <f>Таблица1[[#This Row],[Ежемесячный платеж]]/(Таблица1[[#This Row],[Годовой доход]]/12)</f>
        <v>0.21550105700228464</v>
      </c>
    </row>
    <row r="456" spans="1:21" x14ac:dyDescent="0.3">
      <c r="A456">
        <v>455</v>
      </c>
      <c r="B456">
        <v>0</v>
      </c>
      <c r="D456">
        <v>700</v>
      </c>
      <c r="E456" s="1">
        <v>410020</v>
      </c>
      <c r="F456">
        <v>0</v>
      </c>
      <c r="G456">
        <v>1144.56</v>
      </c>
      <c r="H456">
        <v>13.9</v>
      </c>
      <c r="I456">
        <v>1</v>
      </c>
      <c r="J456">
        <v>94202</v>
      </c>
      <c r="K456">
        <v>173976</v>
      </c>
      <c r="L456" t="s">
        <v>37</v>
      </c>
      <c r="M456" t="s">
        <v>497</v>
      </c>
      <c r="N456" t="s">
        <v>68</v>
      </c>
      <c r="O456" t="s">
        <v>34</v>
      </c>
      <c r="P456" t="s">
        <v>31</v>
      </c>
      <c r="Q456" t="s">
        <v>23</v>
      </c>
      <c r="R456" t="b">
        <f>OR(Таблица1[[#This Row],[Ежемесячный платеж]]&lt;$AC$5, Таблица1[[#This Row],[Ежемесячный платеж]]&gt;$AC$6)</f>
        <v>0</v>
      </c>
      <c r="T456" s="9">
        <f>(Таблица1[[#This Row],[Кредитный рейтинг]]-586)/(751-586)</f>
        <v>0.69090909090909092</v>
      </c>
      <c r="U456" s="9">
        <f>Таблица1[[#This Row],[Ежемесячный платеж]]/(Таблица1[[#This Row],[Годовой доход]]/12)</f>
        <v>3.3497683039851713E-2</v>
      </c>
    </row>
    <row r="457" spans="1:21" x14ac:dyDescent="0.3">
      <c r="A457">
        <v>456</v>
      </c>
      <c r="B457">
        <v>1</v>
      </c>
      <c r="C457" s="9">
        <v>216832</v>
      </c>
      <c r="D457">
        <f>$Y$13</f>
        <v>723</v>
      </c>
      <c r="E457">
        <f>$AB$13</f>
        <v>1168044</v>
      </c>
      <c r="F457">
        <v>15</v>
      </c>
      <c r="G457">
        <v>25920.560000000001</v>
      </c>
      <c r="H457">
        <v>14</v>
      </c>
      <c r="I457">
        <v>8</v>
      </c>
      <c r="J457">
        <v>97052</v>
      </c>
      <c r="K457">
        <v>197164</v>
      </c>
      <c r="L457" t="s">
        <v>41</v>
      </c>
      <c r="M457" t="s">
        <v>498</v>
      </c>
      <c r="N457" t="s">
        <v>26</v>
      </c>
      <c r="O457" t="s">
        <v>34</v>
      </c>
      <c r="P457" t="s">
        <v>31</v>
      </c>
      <c r="Q457" t="s">
        <v>23</v>
      </c>
      <c r="R457" t="b">
        <f>OR(Таблица1[[#This Row],[Ежемесячный платеж]]&lt;$AC$5, Таблица1[[#This Row],[Ежемесячный платеж]]&gt;$AC$6)</f>
        <v>0</v>
      </c>
      <c r="S457" s="9">
        <f>(Таблица1[[#This Row],[Размер кредита]]-21824)/(789096-21824)</f>
        <v>0.25415758687922929</v>
      </c>
      <c r="T457" s="9">
        <f>(Таблица1[[#This Row],[Кредитный рейтинг]]-586)/(751-586)</f>
        <v>0.83030303030303032</v>
      </c>
      <c r="U457" s="9">
        <f>Таблица1[[#This Row],[Ежемесячный платеж]]/(Таблица1[[#This Row],[Годовой доход]]/12)</f>
        <v>0.26629709154792114</v>
      </c>
    </row>
    <row r="458" spans="1:21" x14ac:dyDescent="0.3">
      <c r="A458">
        <v>457</v>
      </c>
      <c r="B458">
        <v>0</v>
      </c>
      <c r="D458">
        <v>707</v>
      </c>
      <c r="E458" s="1">
        <v>1208324</v>
      </c>
      <c r="F458">
        <v>45</v>
      </c>
      <c r="G458">
        <v>18527.66</v>
      </c>
      <c r="H458">
        <v>12.8</v>
      </c>
      <c r="I458">
        <v>17</v>
      </c>
      <c r="J458">
        <v>631788</v>
      </c>
      <c r="K458">
        <v>1213190</v>
      </c>
      <c r="L458" t="s">
        <v>29</v>
      </c>
      <c r="M458" t="s">
        <v>499</v>
      </c>
      <c r="N458" t="s">
        <v>26</v>
      </c>
      <c r="O458" t="s">
        <v>21</v>
      </c>
      <c r="P458" t="s">
        <v>31</v>
      </c>
      <c r="Q458" t="s">
        <v>23</v>
      </c>
      <c r="R458" t="b">
        <f>OR(Таблица1[[#This Row],[Ежемесячный платеж]]&lt;$AC$5, Таблица1[[#This Row],[Ежемесячный платеж]]&gt;$AC$6)</f>
        <v>0</v>
      </c>
      <c r="T458" s="9">
        <f>(Таблица1[[#This Row],[Кредитный рейтинг]]-586)/(751-586)</f>
        <v>0.73333333333333328</v>
      </c>
      <c r="U458" s="9">
        <f>Таблица1[[#This Row],[Ежемесячный платеж]]/(Таблица1[[#This Row],[Годовой доход]]/12)</f>
        <v>0.1840002515881502</v>
      </c>
    </row>
    <row r="459" spans="1:21" x14ac:dyDescent="0.3">
      <c r="A459">
        <v>458</v>
      </c>
      <c r="B459">
        <v>0</v>
      </c>
      <c r="C459" s="9">
        <v>131934</v>
      </c>
      <c r="D459">
        <v>717</v>
      </c>
      <c r="E459" s="1">
        <v>531734</v>
      </c>
      <c r="F459">
        <v>0</v>
      </c>
      <c r="G459">
        <v>16395.099999999999</v>
      </c>
      <c r="H459">
        <v>8.4</v>
      </c>
      <c r="I459">
        <v>9</v>
      </c>
      <c r="J459">
        <v>120612</v>
      </c>
      <c r="K459">
        <v>160512</v>
      </c>
      <c r="L459" t="s">
        <v>63</v>
      </c>
      <c r="M459" t="s">
        <v>500</v>
      </c>
      <c r="N459" t="s">
        <v>26</v>
      </c>
      <c r="O459" t="s">
        <v>34</v>
      </c>
      <c r="P459" t="s">
        <v>22</v>
      </c>
      <c r="Q459" t="s">
        <v>36</v>
      </c>
      <c r="R459" t="b">
        <f>OR(Таблица1[[#This Row],[Ежемесячный платеж]]&lt;$AC$5, Таблица1[[#This Row],[Ежемесячный платеж]]&gt;$AC$6)</f>
        <v>0</v>
      </c>
      <c r="S459" s="9">
        <f>(Таблица1[[#This Row],[Размер кредита]]-21824)/(789096-21824)</f>
        <v>0.14350842986581031</v>
      </c>
      <c r="T459" s="9">
        <f>(Таблица1[[#This Row],[Кредитный рейтинг]]-586)/(751-586)</f>
        <v>0.79393939393939394</v>
      </c>
      <c r="U459" s="9">
        <f>Таблица1[[#This Row],[Ежемесячный платеж]]/(Таблица1[[#This Row],[Годовой доход]]/12)</f>
        <v>0.36999928535696419</v>
      </c>
    </row>
    <row r="460" spans="1:21" x14ac:dyDescent="0.3">
      <c r="A460">
        <v>459</v>
      </c>
      <c r="B460">
        <v>0</v>
      </c>
      <c r="D460">
        <v>738</v>
      </c>
      <c r="E460" s="1">
        <v>2081792</v>
      </c>
      <c r="F460">
        <v>27</v>
      </c>
      <c r="G460">
        <v>21511.99</v>
      </c>
      <c r="H460">
        <v>25.6</v>
      </c>
      <c r="I460">
        <v>10</v>
      </c>
      <c r="J460">
        <v>163153</v>
      </c>
      <c r="K460">
        <v>227612</v>
      </c>
      <c r="L460" t="s">
        <v>24</v>
      </c>
      <c r="M460" t="s">
        <v>501</v>
      </c>
      <c r="N460" t="s">
        <v>26</v>
      </c>
      <c r="O460" t="s">
        <v>21</v>
      </c>
      <c r="P460" t="s">
        <v>22</v>
      </c>
      <c r="Q460" t="s">
        <v>23</v>
      </c>
      <c r="R460" t="b">
        <f>OR(Таблица1[[#This Row],[Ежемесячный платеж]]&lt;$AC$5, Таблица1[[#This Row],[Ежемесячный платеж]]&gt;$AC$6)</f>
        <v>0</v>
      </c>
      <c r="T460" s="9">
        <f>(Таблица1[[#This Row],[Кредитный рейтинг]]-586)/(751-586)</f>
        <v>0.92121212121212126</v>
      </c>
      <c r="U460" s="9">
        <f>Таблица1[[#This Row],[Ежемесячный платеж]]/(Таблица1[[#This Row],[Годовой доход]]/12)</f>
        <v>0.12400080315420563</v>
      </c>
    </row>
    <row r="461" spans="1:21" x14ac:dyDescent="0.3">
      <c r="A461">
        <v>460</v>
      </c>
      <c r="B461">
        <v>0</v>
      </c>
      <c r="D461">
        <v>745</v>
      </c>
      <c r="E461" s="1">
        <v>665608</v>
      </c>
      <c r="F461">
        <v>55</v>
      </c>
      <c r="G461">
        <v>14754.07</v>
      </c>
      <c r="H461">
        <v>15.5</v>
      </c>
      <c r="I461">
        <v>5</v>
      </c>
      <c r="J461">
        <v>231553</v>
      </c>
      <c r="K461">
        <v>376552</v>
      </c>
      <c r="L461" t="s">
        <v>63</v>
      </c>
      <c r="M461" t="s">
        <v>502</v>
      </c>
      <c r="N461" t="s">
        <v>26</v>
      </c>
      <c r="O461" t="s">
        <v>34</v>
      </c>
      <c r="P461" t="s">
        <v>22</v>
      </c>
      <c r="Q461" t="s">
        <v>23</v>
      </c>
      <c r="R461" t="b">
        <f>OR(Таблица1[[#This Row],[Ежемесячный платеж]]&lt;$AC$5, Таблица1[[#This Row],[Ежемесячный платеж]]&gt;$AC$6)</f>
        <v>0</v>
      </c>
      <c r="T461" s="9">
        <f>(Таблица1[[#This Row],[Кредитный рейтинг]]-586)/(751-586)</f>
        <v>0.96363636363636362</v>
      </c>
      <c r="U461" s="9">
        <f>Таблица1[[#This Row],[Ежемесячный платеж]]/(Таблица1[[#This Row],[Годовой доход]]/12)</f>
        <v>0.26599566110984241</v>
      </c>
    </row>
    <row r="462" spans="1:21" x14ac:dyDescent="0.3">
      <c r="A462">
        <v>461</v>
      </c>
      <c r="B462">
        <v>0</v>
      </c>
      <c r="C462" s="9">
        <v>556996</v>
      </c>
      <c r="D462">
        <v>733</v>
      </c>
      <c r="E462" s="1">
        <v>4521715</v>
      </c>
      <c r="F462">
        <v>40</v>
      </c>
      <c r="G462">
        <v>44086.65</v>
      </c>
      <c r="H462">
        <v>27</v>
      </c>
      <c r="I462">
        <v>18</v>
      </c>
      <c r="J462">
        <v>106001</v>
      </c>
      <c r="K462">
        <v>1157904</v>
      </c>
      <c r="L462" t="s">
        <v>63</v>
      </c>
      <c r="M462" t="s">
        <v>503</v>
      </c>
      <c r="N462" t="s">
        <v>40</v>
      </c>
      <c r="O462" t="s">
        <v>34</v>
      </c>
      <c r="P462" t="s">
        <v>22</v>
      </c>
      <c r="Q462" t="s">
        <v>23</v>
      </c>
      <c r="R462" t="b">
        <f>OR(Таблица1[[#This Row],[Ежемесячный платеж]]&lt;$AC$5, Таблица1[[#This Row],[Ежемесячный платеж]]&gt;$AC$6)</f>
        <v>1</v>
      </c>
      <c r="S462" s="9">
        <f>(Таблица1[[#This Row],[Размер кредита]]-21824)/(789096-21824)</f>
        <v>0.69749971326987037</v>
      </c>
      <c r="T462" s="9">
        <f>(Таблица1[[#This Row],[Кредитный рейтинг]]-586)/(751-586)</f>
        <v>0.89090909090909087</v>
      </c>
      <c r="U462" s="9">
        <f>Таблица1[[#This Row],[Ежемесячный платеж]]/(Таблица1[[#This Row],[Годовой доход]]/12)</f>
        <v>0.11699981091245247</v>
      </c>
    </row>
    <row r="463" spans="1:21" x14ac:dyDescent="0.3">
      <c r="A463">
        <v>462</v>
      </c>
      <c r="B463">
        <v>0</v>
      </c>
      <c r="C463" s="9">
        <v>158026</v>
      </c>
      <c r="D463">
        <v>716</v>
      </c>
      <c r="E463" s="1">
        <v>1091854</v>
      </c>
      <c r="F463">
        <v>7</v>
      </c>
      <c r="G463">
        <v>11009.55</v>
      </c>
      <c r="H463">
        <v>14.3</v>
      </c>
      <c r="I463">
        <v>7</v>
      </c>
      <c r="J463">
        <v>87438</v>
      </c>
      <c r="K463">
        <v>188540</v>
      </c>
      <c r="L463" t="s">
        <v>24</v>
      </c>
      <c r="M463" t="s">
        <v>504</v>
      </c>
      <c r="N463" t="s">
        <v>20</v>
      </c>
      <c r="O463" t="s">
        <v>21</v>
      </c>
      <c r="P463" t="s">
        <v>22</v>
      </c>
      <c r="Q463" t="s">
        <v>23</v>
      </c>
      <c r="R463" t="b">
        <f>OR(Таблица1[[#This Row],[Ежемесячный платеж]]&lt;$AC$5, Таблица1[[#This Row],[Ежемесячный платеж]]&gt;$AC$6)</f>
        <v>0</v>
      </c>
      <c r="S463" s="9">
        <f>(Таблица1[[#This Row],[Размер кредита]]-21824)/(789096-21824)</f>
        <v>0.17751462323660971</v>
      </c>
      <c r="T463" s="9">
        <f>(Таблица1[[#This Row],[Кредитный рейтинг]]-586)/(751-586)</f>
        <v>0.78787878787878785</v>
      </c>
      <c r="U463" s="9">
        <f>Таблица1[[#This Row],[Ежемесячный платеж]]/(Таблица1[[#This Row],[Годовой доход]]/12)</f>
        <v>0.1210002436223158</v>
      </c>
    </row>
    <row r="464" spans="1:21" x14ac:dyDescent="0.3">
      <c r="A464">
        <v>463</v>
      </c>
      <c r="B464">
        <v>0</v>
      </c>
      <c r="C464" s="9">
        <v>773388</v>
      </c>
      <c r="D464">
        <f>$Y$13</f>
        <v>723</v>
      </c>
      <c r="E464">
        <f>$AB$13</f>
        <v>1168044</v>
      </c>
      <c r="F464">
        <v>0</v>
      </c>
      <c r="G464">
        <v>32008.73</v>
      </c>
      <c r="H464">
        <v>29.2</v>
      </c>
      <c r="I464">
        <v>8</v>
      </c>
      <c r="J464">
        <v>1515592</v>
      </c>
      <c r="K464">
        <v>2321308</v>
      </c>
      <c r="L464" t="s">
        <v>24</v>
      </c>
      <c r="M464" t="s">
        <v>505</v>
      </c>
      <c r="N464" t="s">
        <v>26</v>
      </c>
      <c r="O464" t="s">
        <v>21</v>
      </c>
      <c r="P464" t="s">
        <v>22</v>
      </c>
      <c r="Q464" t="s">
        <v>23</v>
      </c>
      <c r="R464" t="b">
        <f>OR(Таблица1[[#This Row],[Ежемесячный платеж]]&lt;$AC$5, Таблица1[[#This Row],[Ежемесячный платеж]]&gt;$AC$6)</f>
        <v>0</v>
      </c>
      <c r="S464" s="9">
        <f>(Таблица1[[#This Row],[Размер кредита]]-21824)/(789096-21824)</f>
        <v>0.97952746874641583</v>
      </c>
      <c r="T464" s="9">
        <f>(Таблица1[[#This Row],[Кредитный рейтинг]]-586)/(751-586)</f>
        <v>0.83030303030303032</v>
      </c>
      <c r="U464" s="9">
        <f>Таблица1[[#This Row],[Ежемесячный платеж]]/(Таблица1[[#This Row],[Годовой доход]]/12)</f>
        <v>0.32884442709349992</v>
      </c>
    </row>
    <row r="465" spans="1:21" x14ac:dyDescent="0.3">
      <c r="A465">
        <v>464</v>
      </c>
      <c r="B465">
        <v>1</v>
      </c>
      <c r="C465" s="9">
        <v>130746</v>
      </c>
      <c r="D465">
        <v>734</v>
      </c>
      <c r="E465" s="1">
        <v>1018590</v>
      </c>
      <c r="F465">
        <v>29</v>
      </c>
      <c r="G465">
        <v>16891.57</v>
      </c>
      <c r="H465">
        <v>22.8</v>
      </c>
      <c r="I465">
        <v>7</v>
      </c>
      <c r="J465">
        <v>41230</v>
      </c>
      <c r="K465">
        <v>191686</v>
      </c>
      <c r="L465" t="s">
        <v>24</v>
      </c>
      <c r="M465" t="s">
        <v>506</v>
      </c>
      <c r="N465" t="s">
        <v>26</v>
      </c>
      <c r="O465" t="s">
        <v>34</v>
      </c>
      <c r="P465" t="s">
        <v>22</v>
      </c>
      <c r="Q465" t="s">
        <v>23</v>
      </c>
      <c r="R465" t="b">
        <f>OR(Таблица1[[#This Row],[Ежемесячный платеж]]&lt;$AC$5, Таблица1[[#This Row],[Ежемесячный платеж]]&gt;$AC$6)</f>
        <v>0</v>
      </c>
      <c r="S465" s="9">
        <f>(Таблица1[[#This Row],[Размер кредита]]-21824)/(789096-21824)</f>
        <v>0.1419600871659594</v>
      </c>
      <c r="T465" s="9">
        <f>(Таблица1[[#This Row],[Кредитный рейтинг]]-586)/(751-586)</f>
        <v>0.89696969696969697</v>
      </c>
      <c r="U465" s="9">
        <f>Таблица1[[#This Row],[Ежемесячный платеж]]/(Таблица1[[#This Row],[Годовой доход]]/12)</f>
        <v>0.1989994404029099</v>
      </c>
    </row>
    <row r="466" spans="1:21" x14ac:dyDescent="0.3">
      <c r="A466">
        <v>465</v>
      </c>
      <c r="B466">
        <v>0</v>
      </c>
      <c r="C466" s="9">
        <v>208670</v>
      </c>
      <c r="D466">
        <v>703</v>
      </c>
      <c r="E466" s="1">
        <v>566124</v>
      </c>
      <c r="F466">
        <v>0</v>
      </c>
      <c r="G466">
        <v>3811.97</v>
      </c>
      <c r="H466">
        <v>11.7</v>
      </c>
      <c r="I466">
        <v>7</v>
      </c>
      <c r="J466">
        <v>171779</v>
      </c>
      <c r="K466">
        <v>264506</v>
      </c>
      <c r="L466" t="s">
        <v>47</v>
      </c>
      <c r="M466" t="s">
        <v>507</v>
      </c>
      <c r="N466" t="s">
        <v>26</v>
      </c>
      <c r="O466" t="s">
        <v>21</v>
      </c>
      <c r="P466" t="s">
        <v>22</v>
      </c>
      <c r="Q466" t="s">
        <v>23</v>
      </c>
      <c r="R466" t="b">
        <f>OR(Таблица1[[#This Row],[Ежемесячный платеж]]&lt;$AC$5, Таблица1[[#This Row],[Ежемесячный платеж]]&gt;$AC$6)</f>
        <v>0</v>
      </c>
      <c r="S466" s="9">
        <f>(Таблица1[[#This Row],[Размер кредита]]-21824)/(789096-21824)</f>
        <v>0.24351989907099439</v>
      </c>
      <c r="T466" s="9">
        <f>(Таблица1[[#This Row],[Кредитный рейтинг]]-586)/(751-586)</f>
        <v>0.70909090909090911</v>
      </c>
      <c r="U466" s="9">
        <f>Таблица1[[#This Row],[Ежемесячный платеж]]/(Таблица1[[#This Row],[Годовой доход]]/12)</f>
        <v>8.0801449859041474E-2</v>
      </c>
    </row>
    <row r="467" spans="1:21" x14ac:dyDescent="0.3">
      <c r="A467">
        <v>466</v>
      </c>
      <c r="B467">
        <v>1</v>
      </c>
      <c r="C467" s="9">
        <v>298166</v>
      </c>
      <c r="D467">
        <v>717</v>
      </c>
      <c r="E467" s="1">
        <v>2247396</v>
      </c>
      <c r="F467">
        <v>0</v>
      </c>
      <c r="G467">
        <v>35583.769999999997</v>
      </c>
      <c r="H467">
        <v>19.5</v>
      </c>
      <c r="I467">
        <v>22</v>
      </c>
      <c r="J467">
        <v>50825</v>
      </c>
      <c r="K467">
        <v>159060</v>
      </c>
      <c r="L467" t="s">
        <v>24</v>
      </c>
      <c r="M467" t="s">
        <v>508</v>
      </c>
      <c r="N467" t="s">
        <v>26</v>
      </c>
      <c r="O467" t="s">
        <v>21</v>
      </c>
      <c r="P467" t="s">
        <v>22</v>
      </c>
      <c r="Q467" t="s">
        <v>23</v>
      </c>
      <c r="R467" t="b">
        <f>OR(Таблица1[[#This Row],[Ежемесячный платеж]]&lt;$AC$5, Таблица1[[#This Row],[Ежемесячный платеж]]&gt;$AC$6)</f>
        <v>0</v>
      </c>
      <c r="S467" s="9">
        <f>(Таблица1[[#This Row],[Размер кредита]]-21824)/(789096-21824)</f>
        <v>0.36016171579309553</v>
      </c>
      <c r="T467" s="9">
        <f>(Таблица1[[#This Row],[Кредитный рейтинг]]-586)/(751-586)</f>
        <v>0.79393939393939394</v>
      </c>
      <c r="U467" s="9">
        <f>Таблица1[[#This Row],[Ежемесячный платеж]]/(Таблица1[[#This Row],[Годовой доход]]/12)</f>
        <v>0.18999999999999997</v>
      </c>
    </row>
    <row r="468" spans="1:21" x14ac:dyDescent="0.3">
      <c r="A468">
        <v>467</v>
      </c>
      <c r="B468">
        <v>0</v>
      </c>
      <c r="C468" s="9">
        <v>267784</v>
      </c>
      <c r="D468">
        <v>689</v>
      </c>
      <c r="E468" s="1">
        <v>1638104</v>
      </c>
      <c r="F468">
        <v>20</v>
      </c>
      <c r="G468">
        <v>48050.62</v>
      </c>
      <c r="H468">
        <v>12.2</v>
      </c>
      <c r="I468">
        <v>10</v>
      </c>
      <c r="J468">
        <v>60325</v>
      </c>
      <c r="K468">
        <v>403722</v>
      </c>
      <c r="L468" t="s">
        <v>63</v>
      </c>
      <c r="M468" t="s">
        <v>509</v>
      </c>
      <c r="N468" t="s">
        <v>26</v>
      </c>
      <c r="O468" t="s">
        <v>28</v>
      </c>
      <c r="P468" t="s">
        <v>31</v>
      </c>
      <c r="Q468" t="s">
        <v>23</v>
      </c>
      <c r="R468" t="b">
        <f>OR(Таблица1[[#This Row],[Ежемесячный платеж]]&lt;$AC$5, Таблица1[[#This Row],[Ежемесячный платеж]]&gt;$AC$6)</f>
        <v>1</v>
      </c>
      <c r="S468" s="9">
        <f>(Таблица1[[#This Row],[Размер кредита]]-21824)/(789096-21824)</f>
        <v>0.32056428489505678</v>
      </c>
      <c r="T468" s="9">
        <f>(Таблица1[[#This Row],[Кредитный рейтинг]]-586)/(751-586)</f>
        <v>0.62424242424242427</v>
      </c>
      <c r="U468" s="9">
        <f>Таблица1[[#This Row],[Ежемесячный платеж]]/(Таблица1[[#This Row],[Годовой доход]]/12)</f>
        <v>0.35199684513315399</v>
      </c>
    </row>
    <row r="469" spans="1:21" x14ac:dyDescent="0.3">
      <c r="A469">
        <v>468</v>
      </c>
      <c r="B469">
        <v>1</v>
      </c>
      <c r="C469" s="9">
        <v>430012</v>
      </c>
      <c r="D469">
        <v>723</v>
      </c>
      <c r="E469" s="1">
        <v>1392662</v>
      </c>
      <c r="F469">
        <v>0</v>
      </c>
      <c r="G469">
        <v>21470</v>
      </c>
      <c r="H469">
        <v>16</v>
      </c>
      <c r="I469">
        <v>21</v>
      </c>
      <c r="J469">
        <v>597360</v>
      </c>
      <c r="K469">
        <v>2034340</v>
      </c>
      <c r="L469" t="s">
        <v>24</v>
      </c>
      <c r="M469" t="s">
        <v>510</v>
      </c>
      <c r="N469" t="s">
        <v>26</v>
      </c>
      <c r="O469" t="s">
        <v>21</v>
      </c>
      <c r="P469" t="s">
        <v>22</v>
      </c>
      <c r="Q469" t="s">
        <v>23</v>
      </c>
      <c r="R469" t="b">
        <f>OR(Таблица1[[#This Row],[Ежемесячный платеж]]&lt;$AC$5, Таблица1[[#This Row],[Ежемесячный платеж]]&gt;$AC$6)</f>
        <v>0</v>
      </c>
      <c r="S469" s="9">
        <f>(Таблица1[[#This Row],[Размер кредита]]-21824)/(789096-21824)</f>
        <v>0.53199908246358529</v>
      </c>
      <c r="T469" s="9">
        <f>(Таблица1[[#This Row],[Кредитный рейтинг]]-586)/(751-586)</f>
        <v>0.83030303030303032</v>
      </c>
      <c r="U469" s="9">
        <f>Таблица1[[#This Row],[Ежемесячный платеж]]/(Таблица1[[#This Row],[Годовой доход]]/12)</f>
        <v>0.18499822641818331</v>
      </c>
    </row>
    <row r="470" spans="1:21" x14ac:dyDescent="0.3">
      <c r="A470">
        <v>469</v>
      </c>
      <c r="B470">
        <v>0</v>
      </c>
      <c r="C470" s="9">
        <v>44022</v>
      </c>
      <c r="D470">
        <v>666</v>
      </c>
      <c r="E470" s="1">
        <v>910727</v>
      </c>
      <c r="F470">
        <v>24</v>
      </c>
      <c r="G470">
        <v>19808.259999999998</v>
      </c>
      <c r="H470">
        <v>22.5</v>
      </c>
      <c r="I470">
        <v>8</v>
      </c>
      <c r="J470">
        <v>419748</v>
      </c>
      <c r="K470">
        <v>514866</v>
      </c>
      <c r="L470" t="s">
        <v>37</v>
      </c>
      <c r="M470" t="s">
        <v>511</v>
      </c>
      <c r="N470" t="s">
        <v>68</v>
      </c>
      <c r="O470" t="s">
        <v>21</v>
      </c>
      <c r="P470" t="s">
        <v>22</v>
      </c>
      <c r="Q470" t="s">
        <v>36</v>
      </c>
      <c r="R470" t="b">
        <f>OR(Таблица1[[#This Row],[Ежемесячный платеж]]&lt;$AC$5, Таблица1[[#This Row],[Ежемесячный платеж]]&gt;$AC$6)</f>
        <v>0</v>
      </c>
      <c r="S470" s="9">
        <f>(Таблица1[[#This Row],[Размер кредита]]-21824)/(789096-21824)</f>
        <v>2.8931070076843673E-2</v>
      </c>
      <c r="T470" s="9">
        <f>(Таблица1[[#This Row],[Кредитный рейтинг]]-586)/(751-586)</f>
        <v>0.48484848484848486</v>
      </c>
      <c r="U470" s="9">
        <f>Таблица1[[#This Row],[Ежемесячный платеж]]/(Таблица1[[#This Row],[Годовой доход]]/12)</f>
        <v>0.26099931153902317</v>
      </c>
    </row>
    <row r="471" spans="1:21" x14ac:dyDescent="0.3">
      <c r="A471">
        <v>470</v>
      </c>
      <c r="B471">
        <v>0</v>
      </c>
      <c r="C471" s="9">
        <v>140888</v>
      </c>
      <c r="D471">
        <v>693</v>
      </c>
      <c r="E471" s="1">
        <v>1166296</v>
      </c>
      <c r="F471">
        <v>0</v>
      </c>
      <c r="G471">
        <v>7396.32</v>
      </c>
      <c r="H471">
        <v>16.399999999999999</v>
      </c>
      <c r="I471">
        <v>6</v>
      </c>
      <c r="J471">
        <v>1254</v>
      </c>
      <c r="K471">
        <v>145244</v>
      </c>
      <c r="L471" t="s">
        <v>24</v>
      </c>
      <c r="M471" t="s">
        <v>512</v>
      </c>
      <c r="N471" t="s">
        <v>99</v>
      </c>
      <c r="O471" t="s">
        <v>34</v>
      </c>
      <c r="P471" t="s">
        <v>22</v>
      </c>
      <c r="Q471" t="s">
        <v>36</v>
      </c>
      <c r="R471" t="b">
        <f>OR(Таблица1[[#This Row],[Ежемесячный платеж]]&lt;$AC$5, Таблица1[[#This Row],[Ежемесячный платеж]]&gt;$AC$6)</f>
        <v>0</v>
      </c>
      <c r="S471" s="9">
        <f>(Таблица1[[#This Row],[Размер кредита]]-21824)/(789096-21824)</f>
        <v>0.15517834614061246</v>
      </c>
      <c r="T471" s="9">
        <f>(Таблица1[[#This Row],[Кредитный рейтинг]]-586)/(751-586)</f>
        <v>0.64848484848484844</v>
      </c>
      <c r="U471" s="9">
        <f>Таблица1[[#This Row],[Ежемесячный платеж]]/(Таблица1[[#This Row],[Годовой доход]]/12)</f>
        <v>7.6100612537469053E-2</v>
      </c>
    </row>
    <row r="472" spans="1:21" x14ac:dyDescent="0.3">
      <c r="A472">
        <v>471</v>
      </c>
      <c r="B472">
        <v>1</v>
      </c>
      <c r="C472" s="9">
        <v>260216</v>
      </c>
      <c r="D472">
        <v>664</v>
      </c>
      <c r="E472" s="1">
        <v>1685547</v>
      </c>
      <c r="F472">
        <v>0</v>
      </c>
      <c r="G472">
        <v>17698.310000000001</v>
      </c>
      <c r="H472">
        <v>14.8</v>
      </c>
      <c r="I472">
        <v>12</v>
      </c>
      <c r="J472">
        <v>71041</v>
      </c>
      <c r="K472">
        <v>301290</v>
      </c>
      <c r="L472" t="s">
        <v>24</v>
      </c>
      <c r="M472" t="s">
        <v>513</v>
      </c>
      <c r="N472" t="s">
        <v>20</v>
      </c>
      <c r="O472" t="s">
        <v>21</v>
      </c>
      <c r="P472" t="s">
        <v>31</v>
      </c>
      <c r="Q472" t="s">
        <v>23</v>
      </c>
      <c r="R472" t="b">
        <f>OR(Таблица1[[#This Row],[Ежемесячный платеж]]&lt;$AC$5, Таблица1[[#This Row],[Ежемесячный платеж]]&gt;$AC$6)</f>
        <v>0</v>
      </c>
      <c r="S472" s="9">
        <f>(Таблица1[[#This Row],[Размер кредита]]-21824)/(789096-21824)</f>
        <v>0.31070076843674732</v>
      </c>
      <c r="T472" s="9">
        <f>(Таблица1[[#This Row],[Кредитный рейтинг]]-586)/(751-586)</f>
        <v>0.47272727272727272</v>
      </c>
      <c r="U472" s="9">
        <f>Таблица1[[#This Row],[Ежемесячный платеж]]/(Таблица1[[#This Row],[Годовой доход]]/12)</f>
        <v>0.12600047343681312</v>
      </c>
    </row>
    <row r="473" spans="1:21" x14ac:dyDescent="0.3">
      <c r="A473">
        <v>472</v>
      </c>
      <c r="B473">
        <v>0</v>
      </c>
      <c r="C473" s="9">
        <v>151602</v>
      </c>
      <c r="D473">
        <v>739</v>
      </c>
      <c r="E473" s="1">
        <v>1084805</v>
      </c>
      <c r="F473">
        <v>61</v>
      </c>
      <c r="G473">
        <v>7204.99</v>
      </c>
      <c r="H473">
        <v>10.7</v>
      </c>
      <c r="I473">
        <v>6</v>
      </c>
      <c r="J473">
        <v>69331</v>
      </c>
      <c r="K473">
        <v>395472</v>
      </c>
      <c r="L473" t="s">
        <v>29</v>
      </c>
      <c r="M473" t="s">
        <v>514</v>
      </c>
      <c r="N473" t="s">
        <v>26</v>
      </c>
      <c r="O473" t="s">
        <v>34</v>
      </c>
      <c r="P473" t="s">
        <v>22</v>
      </c>
      <c r="Q473" t="s">
        <v>23</v>
      </c>
      <c r="R473" t="b">
        <f>OR(Таблица1[[#This Row],[Ежемесячный платеж]]&lt;$AC$5, Таблица1[[#This Row],[Ежемесячный платеж]]&gt;$AC$6)</f>
        <v>0</v>
      </c>
      <c r="S473" s="9">
        <f>(Таблица1[[#This Row],[Размер кредита]]-21824)/(789096-21824)</f>
        <v>0.16914210345223077</v>
      </c>
      <c r="T473" s="9">
        <f>(Таблица1[[#This Row],[Кредитный рейтинг]]-586)/(751-586)</f>
        <v>0.92727272727272725</v>
      </c>
      <c r="U473" s="9">
        <f>Таблица1[[#This Row],[Ежемесячный платеж]]/(Таблица1[[#This Row],[Годовой доход]]/12)</f>
        <v>7.9700849461423931E-2</v>
      </c>
    </row>
    <row r="474" spans="1:21" x14ac:dyDescent="0.3">
      <c r="A474">
        <v>473</v>
      </c>
      <c r="B474">
        <v>0</v>
      </c>
      <c r="C474" s="9">
        <v>311608</v>
      </c>
      <c r="D474">
        <f>$Y$13</f>
        <v>723</v>
      </c>
      <c r="E474">
        <f>$AB$13</f>
        <v>1168044</v>
      </c>
      <c r="F474">
        <v>0</v>
      </c>
      <c r="G474">
        <v>19115.14</v>
      </c>
      <c r="H474">
        <v>15.9</v>
      </c>
      <c r="I474">
        <v>8</v>
      </c>
      <c r="J474">
        <v>120460</v>
      </c>
      <c r="K474">
        <v>255464</v>
      </c>
      <c r="L474" t="s">
        <v>47</v>
      </c>
      <c r="M474" t="s">
        <v>515</v>
      </c>
      <c r="N474" t="s">
        <v>26</v>
      </c>
      <c r="O474" t="s">
        <v>34</v>
      </c>
      <c r="P474" t="s">
        <v>22</v>
      </c>
      <c r="Q474" t="s">
        <v>23</v>
      </c>
      <c r="R474" t="b">
        <f>OR(Таблица1[[#This Row],[Ежемесячный платеж]]&lt;$AC$5, Таблица1[[#This Row],[Ежемесячный платеж]]&gt;$AC$6)</f>
        <v>0</v>
      </c>
      <c r="S474" s="9">
        <f>(Таблица1[[#This Row],[Размер кредита]]-21824)/(789096-21824)</f>
        <v>0.37768092671177889</v>
      </c>
      <c r="T474" s="9">
        <f>(Таблица1[[#This Row],[Кредитный рейтинг]]-586)/(751-586)</f>
        <v>0.83030303030303032</v>
      </c>
      <c r="U474" s="9">
        <f>Таблица1[[#This Row],[Ежемесячный платеж]]/(Таблица1[[#This Row],[Годовой доход]]/12)</f>
        <v>0.19638102674214328</v>
      </c>
    </row>
    <row r="475" spans="1:21" x14ac:dyDescent="0.3">
      <c r="A475">
        <v>474</v>
      </c>
      <c r="B475">
        <v>0</v>
      </c>
      <c r="D475">
        <v>737</v>
      </c>
      <c r="E475" s="1">
        <v>1324452</v>
      </c>
      <c r="F475">
        <v>25</v>
      </c>
      <c r="G475">
        <v>23619.47</v>
      </c>
      <c r="H475">
        <v>12.8</v>
      </c>
      <c r="I475">
        <v>30</v>
      </c>
      <c r="J475">
        <v>108908</v>
      </c>
      <c r="K475">
        <v>298100</v>
      </c>
      <c r="L475" t="s">
        <v>63</v>
      </c>
      <c r="M475" t="s">
        <v>516</v>
      </c>
      <c r="N475" t="s">
        <v>26</v>
      </c>
      <c r="O475" t="s">
        <v>34</v>
      </c>
      <c r="P475" t="s">
        <v>22</v>
      </c>
      <c r="Q475" t="s">
        <v>23</v>
      </c>
      <c r="R475" t="b">
        <f>OR(Таблица1[[#This Row],[Ежемесячный платеж]]&lt;$AC$5, Таблица1[[#This Row],[Ежемесячный платеж]]&gt;$AC$6)</f>
        <v>0</v>
      </c>
      <c r="T475" s="9">
        <f>(Таблица1[[#This Row],[Кредитный рейтинг]]-586)/(751-586)</f>
        <v>0.91515151515151516</v>
      </c>
      <c r="U475" s="9">
        <f>Таблица1[[#This Row],[Ежемесячный платеж]]/(Таблица1[[#This Row],[Годовой доход]]/12)</f>
        <v>0.21400068858667587</v>
      </c>
    </row>
    <row r="476" spans="1:21" x14ac:dyDescent="0.3">
      <c r="A476">
        <v>475</v>
      </c>
      <c r="B476">
        <v>0</v>
      </c>
      <c r="C476" s="9">
        <v>220770</v>
      </c>
      <c r="D476">
        <v>705</v>
      </c>
      <c r="E476" s="1">
        <v>571995</v>
      </c>
      <c r="F476">
        <v>0</v>
      </c>
      <c r="G476">
        <v>10915.5</v>
      </c>
      <c r="H476">
        <v>21.3</v>
      </c>
      <c r="I476">
        <v>6</v>
      </c>
      <c r="J476">
        <v>93043</v>
      </c>
      <c r="K476">
        <v>139018</v>
      </c>
      <c r="L476" t="s">
        <v>50</v>
      </c>
      <c r="M476" s="2" t="s">
        <v>517</v>
      </c>
      <c r="N476" t="s">
        <v>26</v>
      </c>
      <c r="O476" t="s">
        <v>34</v>
      </c>
      <c r="P476" t="s">
        <v>22</v>
      </c>
      <c r="Q476" t="s">
        <v>36</v>
      </c>
      <c r="R476" t="b">
        <f>OR(Таблица1[[#This Row],[Ежемесячный платеж]]&lt;$AC$5, Таблица1[[#This Row],[Ежемесячный платеж]]&gt;$AC$6)</f>
        <v>0</v>
      </c>
      <c r="S476" s="9">
        <f>(Таблица1[[#This Row],[Размер кредита]]-21824)/(789096-21824)</f>
        <v>0.25929005619910539</v>
      </c>
      <c r="T476" s="9">
        <f>(Таблица1[[#This Row],[Кредитный рейтинг]]-586)/(751-586)</f>
        <v>0.72121212121212119</v>
      </c>
      <c r="U476" s="9">
        <f>Таблица1[[#This Row],[Ежемесячный платеж]]/(Таблица1[[#This Row],[Годовой доход]]/12)</f>
        <v>0.22899850523168908</v>
      </c>
    </row>
    <row r="477" spans="1:21" x14ac:dyDescent="0.3">
      <c r="A477">
        <v>476</v>
      </c>
      <c r="B477">
        <v>1</v>
      </c>
      <c r="C477" s="9">
        <v>176220</v>
      </c>
      <c r="D477">
        <v>717</v>
      </c>
      <c r="E477" s="1">
        <v>1027235</v>
      </c>
      <c r="F477">
        <v>0</v>
      </c>
      <c r="G477">
        <v>9330.7099999999991</v>
      </c>
      <c r="H477">
        <v>25.5</v>
      </c>
      <c r="I477">
        <v>7</v>
      </c>
      <c r="J477">
        <v>99294</v>
      </c>
      <c r="K477">
        <v>283888</v>
      </c>
      <c r="L477" t="s">
        <v>24</v>
      </c>
      <c r="M477" t="s">
        <v>518</v>
      </c>
      <c r="N477" t="s">
        <v>26</v>
      </c>
      <c r="O477" t="s">
        <v>28</v>
      </c>
      <c r="P477" t="s">
        <v>22</v>
      </c>
      <c r="Q477" t="s">
        <v>23</v>
      </c>
      <c r="R477" t="b">
        <f>OR(Таблица1[[#This Row],[Ежемесячный платеж]]&lt;$AC$5, Таблица1[[#This Row],[Ежемесячный платеж]]&gt;$AC$6)</f>
        <v>0</v>
      </c>
      <c r="S477" s="9">
        <f>(Таблица1[[#This Row],[Размер кредита]]-21824)/(789096-21824)</f>
        <v>0.20122720495469665</v>
      </c>
      <c r="T477" s="9">
        <f>(Таблица1[[#This Row],[Кредитный рейтинг]]-586)/(751-586)</f>
        <v>0.79393939393939394</v>
      </c>
      <c r="U477" s="9">
        <f>Таблица1[[#This Row],[Ежемесячный платеж]]/(Таблица1[[#This Row],[Годовой доход]]/12)</f>
        <v>0.10899990751872744</v>
      </c>
    </row>
    <row r="478" spans="1:21" x14ac:dyDescent="0.3">
      <c r="A478">
        <v>477</v>
      </c>
      <c r="B478">
        <v>0</v>
      </c>
      <c r="D478">
        <v>700</v>
      </c>
      <c r="E478" s="1">
        <v>730588</v>
      </c>
      <c r="F478">
        <v>60</v>
      </c>
      <c r="G478">
        <v>6149.16</v>
      </c>
      <c r="H478">
        <v>9.1999999999999993</v>
      </c>
      <c r="I478">
        <v>7</v>
      </c>
      <c r="J478">
        <v>38437</v>
      </c>
      <c r="K478">
        <v>202268</v>
      </c>
      <c r="L478" t="s">
        <v>24</v>
      </c>
      <c r="M478" t="s">
        <v>519</v>
      </c>
      <c r="N478" t="s">
        <v>68</v>
      </c>
      <c r="O478" t="s">
        <v>34</v>
      </c>
      <c r="P478" t="s">
        <v>22</v>
      </c>
      <c r="Q478" t="s">
        <v>23</v>
      </c>
      <c r="R478" t="b">
        <f>OR(Таблица1[[#This Row],[Ежемесячный платеж]]&lt;$AC$5, Таблица1[[#This Row],[Ежемесячный платеж]]&gt;$AC$6)</f>
        <v>0</v>
      </c>
      <c r="T478" s="9">
        <f>(Таблица1[[#This Row],[Кредитный рейтинг]]-586)/(751-586)</f>
        <v>0.69090909090909092</v>
      </c>
      <c r="U478" s="9">
        <f>Таблица1[[#This Row],[Ежемесячный платеж]]/(Таблица1[[#This Row],[Годовой доход]]/12)</f>
        <v>0.10100072818058878</v>
      </c>
    </row>
    <row r="479" spans="1:21" x14ac:dyDescent="0.3">
      <c r="A479">
        <v>478</v>
      </c>
      <c r="B479">
        <v>0</v>
      </c>
      <c r="C479" s="9">
        <v>130988</v>
      </c>
      <c r="D479">
        <f>$Y$13</f>
        <v>723</v>
      </c>
      <c r="E479">
        <f>$AB$13</f>
        <v>1168044</v>
      </c>
      <c r="F479">
        <v>0</v>
      </c>
      <c r="G479">
        <v>15955.25</v>
      </c>
      <c r="H479">
        <v>14.5</v>
      </c>
      <c r="I479">
        <v>11</v>
      </c>
      <c r="J479">
        <v>231610</v>
      </c>
      <c r="K479">
        <v>360448</v>
      </c>
      <c r="L479" t="s">
        <v>32</v>
      </c>
      <c r="M479" t="s">
        <v>520</v>
      </c>
      <c r="N479" t="s">
        <v>26</v>
      </c>
      <c r="O479" t="s">
        <v>34</v>
      </c>
      <c r="P479" t="s">
        <v>22</v>
      </c>
      <c r="Q479" t="s">
        <v>23</v>
      </c>
      <c r="R479" t="b">
        <f>OR(Таблица1[[#This Row],[Ежемесячный платеж]]&lt;$AC$5, Таблица1[[#This Row],[Ежемесячный платеж]]&gt;$AC$6)</f>
        <v>0</v>
      </c>
      <c r="S479" s="9">
        <f>(Таблица1[[#This Row],[Размер кредита]]-21824)/(789096-21824)</f>
        <v>0.14227549030852163</v>
      </c>
      <c r="T479" s="9">
        <f>(Таблица1[[#This Row],[Кредитный рейтинг]]-586)/(751-586)</f>
        <v>0.83030303030303032</v>
      </c>
      <c r="U479" s="9">
        <f>Таблица1[[#This Row],[Ежемесячный платеж]]/(Таблица1[[#This Row],[Годовой доход]]/12)</f>
        <v>0.16391762639078664</v>
      </c>
    </row>
    <row r="480" spans="1:21" x14ac:dyDescent="0.3">
      <c r="A480">
        <v>479</v>
      </c>
      <c r="B480">
        <v>1</v>
      </c>
      <c r="D480">
        <v>723</v>
      </c>
      <c r="E480" s="1">
        <v>898092</v>
      </c>
      <c r="F480">
        <v>0</v>
      </c>
      <c r="G480">
        <v>22976.13</v>
      </c>
      <c r="H480">
        <v>18.3</v>
      </c>
      <c r="I480">
        <v>13</v>
      </c>
      <c r="J480">
        <v>187777</v>
      </c>
      <c r="K480">
        <v>396044</v>
      </c>
      <c r="L480" t="s">
        <v>32</v>
      </c>
      <c r="M480" t="s">
        <v>521</v>
      </c>
      <c r="N480" t="s">
        <v>26</v>
      </c>
      <c r="O480" t="s">
        <v>34</v>
      </c>
      <c r="P480" t="s">
        <v>22</v>
      </c>
      <c r="Q480" t="s">
        <v>23</v>
      </c>
      <c r="R480" t="b">
        <f>OR(Таблица1[[#This Row],[Ежемесячный платеж]]&lt;$AC$5, Таблица1[[#This Row],[Ежемесячный платеж]]&gt;$AC$6)</f>
        <v>0</v>
      </c>
      <c r="T480" s="9">
        <f>(Таблица1[[#This Row],[Кредитный рейтинг]]-586)/(751-586)</f>
        <v>0.83030303030303032</v>
      </c>
      <c r="U480" s="9">
        <f>Таблица1[[#This Row],[Ежемесячный платеж]]/(Таблица1[[#This Row],[Годовой доход]]/12)</f>
        <v>0.30699923838537702</v>
      </c>
    </row>
    <row r="481" spans="1:21" x14ac:dyDescent="0.3">
      <c r="A481">
        <v>480</v>
      </c>
      <c r="B481">
        <v>0</v>
      </c>
      <c r="C481" s="9">
        <v>324346</v>
      </c>
      <c r="D481">
        <v>742</v>
      </c>
      <c r="E481" s="1">
        <v>954370</v>
      </c>
      <c r="F481">
        <v>34</v>
      </c>
      <c r="G481">
        <v>17019.63</v>
      </c>
      <c r="H481">
        <v>10</v>
      </c>
      <c r="I481">
        <v>17</v>
      </c>
      <c r="J481">
        <v>121448</v>
      </c>
      <c r="K481">
        <v>404096</v>
      </c>
      <c r="L481" t="s">
        <v>47</v>
      </c>
      <c r="M481" t="s">
        <v>522</v>
      </c>
      <c r="N481" t="s">
        <v>26</v>
      </c>
      <c r="O481" t="s">
        <v>34</v>
      </c>
      <c r="P481" t="s">
        <v>22</v>
      </c>
      <c r="Q481" t="s">
        <v>23</v>
      </c>
      <c r="R481" t="b">
        <f>OR(Таблица1[[#This Row],[Ежемесячный платеж]]&lt;$AC$5, Таблица1[[#This Row],[Ежемесячный платеж]]&gt;$AC$6)</f>
        <v>0</v>
      </c>
      <c r="S481" s="9">
        <f>(Таблица1[[#This Row],[Размер кредита]]-21824)/(789096-21824)</f>
        <v>0.39428260121573577</v>
      </c>
      <c r="T481" s="9">
        <f>(Таблица1[[#This Row],[Кредитный рейтинг]]-586)/(751-586)</f>
        <v>0.94545454545454544</v>
      </c>
      <c r="U481" s="9">
        <f>Таблица1[[#This Row],[Ежемесячный платеж]]/(Таблица1[[#This Row],[Годовой доход]]/12)</f>
        <v>0.21400039816842528</v>
      </c>
    </row>
    <row r="482" spans="1:21" x14ac:dyDescent="0.3">
      <c r="A482">
        <v>481</v>
      </c>
      <c r="B482">
        <v>3</v>
      </c>
      <c r="D482">
        <v>729</v>
      </c>
      <c r="E482" s="1">
        <v>594301</v>
      </c>
      <c r="F482">
        <v>20</v>
      </c>
      <c r="G482">
        <v>8468.8700000000008</v>
      </c>
      <c r="H482">
        <v>35.9</v>
      </c>
      <c r="I482">
        <v>12</v>
      </c>
      <c r="J482">
        <v>220001</v>
      </c>
      <c r="K482">
        <v>434698</v>
      </c>
      <c r="L482" t="s">
        <v>24</v>
      </c>
      <c r="M482" t="s">
        <v>523</v>
      </c>
      <c r="N482" t="s">
        <v>26</v>
      </c>
      <c r="O482" t="s">
        <v>28</v>
      </c>
      <c r="P482" t="s">
        <v>22</v>
      </c>
      <c r="Q482" t="s">
        <v>23</v>
      </c>
      <c r="R482" t="b">
        <f>OR(Таблица1[[#This Row],[Ежемесячный платеж]]&lt;$AC$5, Таблица1[[#This Row],[Ежемесячный платеж]]&gt;$AC$6)</f>
        <v>0</v>
      </c>
      <c r="T482" s="9">
        <f>(Таблица1[[#This Row],[Кредитный рейтинг]]-586)/(751-586)</f>
        <v>0.8666666666666667</v>
      </c>
      <c r="U482" s="9">
        <f>Таблица1[[#This Row],[Ежемесячный платеж]]/(Таблица1[[#This Row],[Годовой доход]]/12)</f>
        <v>0.17100163048690817</v>
      </c>
    </row>
    <row r="483" spans="1:21" x14ac:dyDescent="0.3">
      <c r="A483">
        <v>482</v>
      </c>
      <c r="B483">
        <v>0</v>
      </c>
      <c r="C483" s="9">
        <v>259138</v>
      </c>
      <c r="D483">
        <v>751</v>
      </c>
      <c r="E483" s="1">
        <v>2517804</v>
      </c>
      <c r="F483">
        <v>37</v>
      </c>
      <c r="G483">
        <v>14687.19</v>
      </c>
      <c r="H483">
        <v>18.8</v>
      </c>
      <c r="I483">
        <v>11</v>
      </c>
      <c r="J483">
        <v>138491</v>
      </c>
      <c r="K483">
        <v>1252878</v>
      </c>
      <c r="L483" t="s">
        <v>24</v>
      </c>
      <c r="M483" t="s">
        <v>524</v>
      </c>
      <c r="N483" t="s">
        <v>26</v>
      </c>
      <c r="O483" t="s">
        <v>21</v>
      </c>
      <c r="P483" t="s">
        <v>22</v>
      </c>
      <c r="Q483" t="s">
        <v>23</v>
      </c>
      <c r="R483" t="b">
        <f>OR(Таблица1[[#This Row],[Ежемесячный платеж]]&lt;$AC$5, Таблица1[[#This Row],[Ежемесячный платеж]]&gt;$AC$6)</f>
        <v>0</v>
      </c>
      <c r="S483" s="9">
        <f>(Таблица1[[#This Row],[Размер кредита]]-21824)/(789096-21824)</f>
        <v>0.30929579080169745</v>
      </c>
      <c r="T483" s="9">
        <f>(Таблица1[[#This Row],[Кредитный рейтинг]]-586)/(751-586)</f>
        <v>1</v>
      </c>
      <c r="U483" s="9">
        <f>Таблица1[[#This Row],[Ежемесячный платеж]]/(Таблица1[[#This Row],[Годовой доход]]/12)</f>
        <v>7.0000000000000007E-2</v>
      </c>
    </row>
    <row r="484" spans="1:21" x14ac:dyDescent="0.3">
      <c r="A484">
        <v>483</v>
      </c>
      <c r="B484">
        <v>0</v>
      </c>
      <c r="C484" s="9">
        <v>32450</v>
      </c>
      <c r="D484">
        <v>711</v>
      </c>
      <c r="E484" s="1">
        <v>653904</v>
      </c>
      <c r="F484">
        <v>34</v>
      </c>
      <c r="G484">
        <v>11770.12</v>
      </c>
      <c r="H484">
        <v>8.1999999999999993</v>
      </c>
      <c r="I484">
        <v>11</v>
      </c>
      <c r="J484">
        <v>129656</v>
      </c>
      <c r="K484">
        <v>231308</v>
      </c>
      <c r="L484" t="s">
        <v>29</v>
      </c>
      <c r="M484" t="s">
        <v>525</v>
      </c>
      <c r="N484" t="s">
        <v>20</v>
      </c>
      <c r="O484" t="s">
        <v>34</v>
      </c>
      <c r="P484" t="s">
        <v>22</v>
      </c>
      <c r="Q484" t="s">
        <v>36</v>
      </c>
      <c r="R484" t="b">
        <f>OR(Таблица1[[#This Row],[Ежемесячный платеж]]&lt;$AC$5, Таблица1[[#This Row],[Ежемесячный платеж]]&gt;$AC$6)</f>
        <v>0</v>
      </c>
      <c r="S484" s="9">
        <f>(Таблица1[[#This Row],[Размер кредита]]-21824)/(789096-21824)</f>
        <v>1.3849065259777497E-2</v>
      </c>
      <c r="T484" s="9">
        <f>(Таблица1[[#This Row],[Кредитный рейтинг]]-586)/(751-586)</f>
        <v>0.75757575757575757</v>
      </c>
      <c r="U484" s="9">
        <f>Таблица1[[#This Row],[Ежемесячный платеж]]/(Таблица1[[#This Row],[Годовой доход]]/12)</f>
        <v>0.21599721059972107</v>
      </c>
    </row>
    <row r="485" spans="1:21" x14ac:dyDescent="0.3">
      <c r="A485">
        <v>484</v>
      </c>
      <c r="B485">
        <v>1</v>
      </c>
      <c r="C485" s="9">
        <v>455906</v>
      </c>
      <c r="D485">
        <v>727</v>
      </c>
      <c r="E485" s="1">
        <v>3562348</v>
      </c>
      <c r="F485">
        <v>0</v>
      </c>
      <c r="G485">
        <v>49576.13</v>
      </c>
      <c r="H485">
        <v>19.399999999999999</v>
      </c>
      <c r="I485">
        <v>14</v>
      </c>
      <c r="J485">
        <v>974415</v>
      </c>
      <c r="K485">
        <v>1399838</v>
      </c>
      <c r="L485" t="s">
        <v>32</v>
      </c>
      <c r="M485" t="s">
        <v>526</v>
      </c>
      <c r="N485" t="s">
        <v>68</v>
      </c>
      <c r="O485" t="s">
        <v>21</v>
      </c>
      <c r="P485" t="s">
        <v>31</v>
      </c>
      <c r="Q485" t="s">
        <v>23</v>
      </c>
      <c r="R485" t="b">
        <f>OR(Таблица1[[#This Row],[Ежемесячный платеж]]&lt;$AC$5, Таблица1[[#This Row],[Ежемесячный платеж]]&gt;$AC$6)</f>
        <v>1</v>
      </c>
      <c r="S485" s="9">
        <f>(Таблица1[[#This Row],[Размер кредита]]-21824)/(789096-21824)</f>
        <v>0.56574721871774281</v>
      </c>
      <c r="T485" s="9">
        <f>(Таблица1[[#This Row],[Кредитный рейтинг]]-586)/(751-586)</f>
        <v>0.8545454545454545</v>
      </c>
      <c r="U485" s="9">
        <f>Таблица1[[#This Row],[Ежемесячный платеж]]/(Таблица1[[#This Row],[Годовой доход]]/12)</f>
        <v>0.16700040535062829</v>
      </c>
    </row>
    <row r="486" spans="1:21" x14ac:dyDescent="0.3">
      <c r="A486">
        <v>485</v>
      </c>
      <c r="B486">
        <v>1</v>
      </c>
      <c r="D486">
        <v>727</v>
      </c>
      <c r="E486" s="1">
        <v>2299836</v>
      </c>
      <c r="F486">
        <v>60</v>
      </c>
      <c r="G486">
        <v>34305.83</v>
      </c>
      <c r="H486">
        <v>12.5</v>
      </c>
      <c r="I486">
        <v>11</v>
      </c>
      <c r="J486">
        <v>30932</v>
      </c>
      <c r="K486">
        <v>99770</v>
      </c>
      <c r="L486" t="s">
        <v>24</v>
      </c>
      <c r="M486" t="s">
        <v>527</v>
      </c>
      <c r="N486" t="s">
        <v>26</v>
      </c>
      <c r="O486" t="s">
        <v>21</v>
      </c>
      <c r="P486" t="s">
        <v>22</v>
      </c>
      <c r="Q486" t="s">
        <v>23</v>
      </c>
      <c r="R486" t="b">
        <f>OR(Таблица1[[#This Row],[Ежемесячный платеж]]&lt;$AC$5, Таблица1[[#This Row],[Ежемесячный платеж]]&gt;$AC$6)</f>
        <v>0</v>
      </c>
      <c r="T486" s="9">
        <f>(Таблица1[[#This Row],[Кредитный рейтинг]]-586)/(751-586)</f>
        <v>0.8545454545454545</v>
      </c>
      <c r="U486" s="9">
        <f>Таблица1[[#This Row],[Ежемесячный платеж]]/(Таблица1[[#This Row],[Годовой доход]]/12)</f>
        <v>0.17899970258748885</v>
      </c>
    </row>
    <row r="487" spans="1:21" x14ac:dyDescent="0.3">
      <c r="A487">
        <v>486</v>
      </c>
      <c r="B487">
        <v>0</v>
      </c>
      <c r="C487" s="9">
        <v>388168</v>
      </c>
      <c r="D487">
        <v>744</v>
      </c>
      <c r="E487" s="1">
        <v>2234856</v>
      </c>
      <c r="F487">
        <v>18</v>
      </c>
      <c r="G487">
        <v>40041.17</v>
      </c>
      <c r="H487">
        <v>21</v>
      </c>
      <c r="I487">
        <v>9</v>
      </c>
      <c r="J487">
        <v>681587</v>
      </c>
      <c r="K487">
        <v>896852</v>
      </c>
      <c r="L487" t="s">
        <v>24</v>
      </c>
      <c r="M487" t="s">
        <v>528</v>
      </c>
      <c r="N487" t="s">
        <v>26</v>
      </c>
      <c r="O487" t="s">
        <v>21</v>
      </c>
      <c r="P487" t="s">
        <v>22</v>
      </c>
      <c r="Q487" t="s">
        <v>36</v>
      </c>
      <c r="R487" t="b">
        <f>OR(Таблица1[[#This Row],[Ежемесячный платеж]]&lt;$AC$5, Таблица1[[#This Row],[Ежемесячный платеж]]&gt;$AC$6)</f>
        <v>0</v>
      </c>
      <c r="S487" s="9">
        <f>(Таблица1[[#This Row],[Размер кредита]]-21824)/(789096-21824)</f>
        <v>0.47746301181328132</v>
      </c>
      <c r="T487" s="9">
        <f>(Таблица1[[#This Row],[Кредитный рейтинг]]-586)/(751-586)</f>
        <v>0.95757575757575752</v>
      </c>
      <c r="U487" s="9">
        <f>Таблица1[[#This Row],[Ежемесячный платеж]]/(Таблица1[[#This Row],[Годовой доход]]/12)</f>
        <v>0.215</v>
      </c>
    </row>
    <row r="488" spans="1:21" x14ac:dyDescent="0.3">
      <c r="A488">
        <v>487</v>
      </c>
      <c r="B488">
        <v>0</v>
      </c>
      <c r="D488">
        <v>743</v>
      </c>
      <c r="E488" s="1">
        <v>2278632</v>
      </c>
      <c r="F488">
        <v>38</v>
      </c>
      <c r="G488">
        <v>32850.239999999998</v>
      </c>
      <c r="H488">
        <v>14.5</v>
      </c>
      <c r="I488">
        <v>12</v>
      </c>
      <c r="J488">
        <v>444315</v>
      </c>
      <c r="K488">
        <v>1309066</v>
      </c>
      <c r="L488" t="s">
        <v>47</v>
      </c>
      <c r="M488" t="s">
        <v>529</v>
      </c>
      <c r="N488" t="s">
        <v>26</v>
      </c>
      <c r="O488" t="s">
        <v>34</v>
      </c>
      <c r="P488" t="s">
        <v>22</v>
      </c>
      <c r="Q488" t="s">
        <v>23</v>
      </c>
      <c r="R488" t="b">
        <f>OR(Таблица1[[#This Row],[Ежемесячный платеж]]&lt;$AC$5, Таблица1[[#This Row],[Ежемесячный платеж]]&gt;$AC$6)</f>
        <v>0</v>
      </c>
      <c r="T488" s="9">
        <f>(Таблица1[[#This Row],[Кредитный рейтинг]]-586)/(751-586)</f>
        <v>0.95151515151515154</v>
      </c>
      <c r="U488" s="9">
        <f>Таблица1[[#This Row],[Ежемесячный платеж]]/(Таблица1[[#This Row],[Годовой доход]]/12)</f>
        <v>0.17299979987992795</v>
      </c>
    </row>
    <row r="489" spans="1:21" x14ac:dyDescent="0.3">
      <c r="A489">
        <v>488</v>
      </c>
      <c r="B489">
        <v>0</v>
      </c>
      <c r="C489" s="9">
        <v>261492</v>
      </c>
      <c r="D489">
        <v>732</v>
      </c>
      <c r="E489" s="1">
        <v>463258</v>
      </c>
      <c r="F489">
        <v>0</v>
      </c>
      <c r="G489">
        <v>8724.61</v>
      </c>
      <c r="H489">
        <v>9.9</v>
      </c>
      <c r="I489">
        <v>9</v>
      </c>
      <c r="J489">
        <v>134862</v>
      </c>
      <c r="K489">
        <v>281358</v>
      </c>
      <c r="L489" t="s">
        <v>32</v>
      </c>
      <c r="M489" t="s">
        <v>530</v>
      </c>
      <c r="N489" t="s">
        <v>68</v>
      </c>
      <c r="O489" t="s">
        <v>34</v>
      </c>
      <c r="P489" t="s">
        <v>22</v>
      </c>
      <c r="Q489" t="s">
        <v>36</v>
      </c>
      <c r="R489" t="b">
        <f>OR(Таблица1[[#This Row],[Ежемесячный платеж]]&lt;$AC$5, Таблица1[[#This Row],[Ежемесячный платеж]]&gt;$AC$6)</f>
        <v>0</v>
      </c>
      <c r="S489" s="9">
        <f>(Таблица1[[#This Row],[Размер кредита]]-21824)/(789096-21824)</f>
        <v>0.31236380318843904</v>
      </c>
      <c r="T489" s="9">
        <f>(Таблица1[[#This Row],[Кредитный рейтинг]]-586)/(751-586)</f>
        <v>0.88484848484848488</v>
      </c>
      <c r="U489" s="9">
        <f>Таблица1[[#This Row],[Ежемесячный платеж]]/(Таблица1[[#This Row],[Годовой доход]]/12)</f>
        <v>0.22599786727914034</v>
      </c>
    </row>
    <row r="490" spans="1:21" x14ac:dyDescent="0.3">
      <c r="A490">
        <v>489</v>
      </c>
      <c r="B490">
        <v>0</v>
      </c>
      <c r="C490" s="9">
        <v>171776</v>
      </c>
      <c r="D490">
        <v>747</v>
      </c>
      <c r="E490" s="1">
        <v>1168272</v>
      </c>
      <c r="F490">
        <v>0</v>
      </c>
      <c r="G490">
        <v>11293.22</v>
      </c>
      <c r="H490">
        <v>11.4</v>
      </c>
      <c r="I490">
        <v>4</v>
      </c>
      <c r="J490">
        <v>82270</v>
      </c>
      <c r="K490">
        <v>118030</v>
      </c>
      <c r="L490" t="s">
        <v>63</v>
      </c>
      <c r="M490" t="s">
        <v>531</v>
      </c>
      <c r="N490" t="s">
        <v>26</v>
      </c>
      <c r="O490" t="s">
        <v>34</v>
      </c>
      <c r="P490" t="s">
        <v>22</v>
      </c>
      <c r="Q490" t="s">
        <v>23</v>
      </c>
      <c r="R490" t="b">
        <f>OR(Таблица1[[#This Row],[Ежемесячный платеж]]&lt;$AC$5, Таблица1[[#This Row],[Ежемесячный платеж]]&gt;$AC$6)</f>
        <v>0</v>
      </c>
      <c r="S490" s="9">
        <f>(Таблица1[[#This Row],[Размер кредита]]-21824)/(789096-21824)</f>
        <v>0.19543525633673586</v>
      </c>
      <c r="T490" s="9">
        <f>(Таблица1[[#This Row],[Кредитный рейтинг]]-586)/(751-586)</f>
        <v>0.97575757575757571</v>
      </c>
      <c r="U490" s="9">
        <f>Таблица1[[#This Row],[Ежемесячный платеж]]/(Таблица1[[#This Row],[Годовой доход]]/12)</f>
        <v>0.11599921935987509</v>
      </c>
    </row>
    <row r="491" spans="1:21" x14ac:dyDescent="0.3">
      <c r="A491">
        <v>490</v>
      </c>
      <c r="B491">
        <v>0</v>
      </c>
      <c r="C491" s="9">
        <v>648516</v>
      </c>
      <c r="D491">
        <v>730</v>
      </c>
      <c r="E491" s="1">
        <v>1400205</v>
      </c>
      <c r="F491">
        <v>69</v>
      </c>
      <c r="G491">
        <v>21353.15</v>
      </c>
      <c r="H491">
        <v>19</v>
      </c>
      <c r="I491">
        <v>8</v>
      </c>
      <c r="J491">
        <v>265905</v>
      </c>
      <c r="K491">
        <v>332156</v>
      </c>
      <c r="L491" t="s">
        <v>69</v>
      </c>
      <c r="M491" t="s">
        <v>532</v>
      </c>
      <c r="N491" t="s">
        <v>26</v>
      </c>
      <c r="O491" t="s">
        <v>21</v>
      </c>
      <c r="P491" t="s">
        <v>22</v>
      </c>
      <c r="Q491" t="s">
        <v>23</v>
      </c>
      <c r="R491" t="b">
        <f>OR(Таблица1[[#This Row],[Ежемесячный платеж]]&lt;$AC$5, Таблица1[[#This Row],[Ежемесячный платеж]]&gt;$AC$6)</f>
        <v>0</v>
      </c>
      <c r="S491" s="9">
        <f>(Таблица1[[#This Row],[Размер кредита]]-21824)/(789096-21824)</f>
        <v>0.81677944718431017</v>
      </c>
      <c r="T491" s="9">
        <f>(Таблица1[[#This Row],[Кредитный рейтинг]]-586)/(751-586)</f>
        <v>0.87272727272727268</v>
      </c>
      <c r="U491" s="9">
        <f>Таблица1[[#This Row],[Ежемесячный платеж]]/(Таблица1[[#This Row],[Годовой доход]]/12)</f>
        <v>0.18300020354162427</v>
      </c>
    </row>
    <row r="492" spans="1:21" x14ac:dyDescent="0.3">
      <c r="A492">
        <v>491</v>
      </c>
      <c r="B492">
        <v>0</v>
      </c>
      <c r="C492" s="9">
        <v>214962</v>
      </c>
      <c r="D492">
        <v>745</v>
      </c>
      <c r="E492" s="1">
        <v>540607</v>
      </c>
      <c r="F492">
        <v>0</v>
      </c>
      <c r="G492">
        <v>7703.74</v>
      </c>
      <c r="H492">
        <v>19.399999999999999</v>
      </c>
      <c r="I492">
        <v>7</v>
      </c>
      <c r="J492">
        <v>114247</v>
      </c>
      <c r="K492">
        <v>399652</v>
      </c>
      <c r="L492" t="s">
        <v>24</v>
      </c>
      <c r="M492" t="s">
        <v>533</v>
      </c>
      <c r="N492" t="s">
        <v>26</v>
      </c>
      <c r="O492" t="s">
        <v>21</v>
      </c>
      <c r="P492" t="s">
        <v>22</v>
      </c>
      <c r="Q492" t="s">
        <v>23</v>
      </c>
      <c r="R492" t="b">
        <f>OR(Таблица1[[#This Row],[Ежемесячный платеж]]&lt;$AC$5, Таблица1[[#This Row],[Ежемесячный платеж]]&gt;$AC$6)</f>
        <v>0</v>
      </c>
      <c r="S492" s="9">
        <f>(Таблица1[[#This Row],[Размер кредита]]-21824)/(789096-21824)</f>
        <v>0.25172038077761211</v>
      </c>
      <c r="T492" s="9">
        <f>(Таблица1[[#This Row],[Кредитный рейтинг]]-586)/(751-586)</f>
        <v>0.96363636363636362</v>
      </c>
      <c r="U492" s="9">
        <f>Таблица1[[#This Row],[Ежемесячный платеж]]/(Таблица1[[#This Row],[Годовой доход]]/12)</f>
        <v>0.17100200330369381</v>
      </c>
    </row>
    <row r="493" spans="1:21" x14ac:dyDescent="0.3">
      <c r="A493">
        <v>492</v>
      </c>
      <c r="B493">
        <v>0</v>
      </c>
      <c r="C493" s="9">
        <v>448932</v>
      </c>
      <c r="D493">
        <v>738</v>
      </c>
      <c r="E493" s="1">
        <v>1473317</v>
      </c>
      <c r="F493">
        <v>25</v>
      </c>
      <c r="G493">
        <v>17557.14</v>
      </c>
      <c r="H493">
        <v>14.7</v>
      </c>
      <c r="I493">
        <v>10</v>
      </c>
      <c r="J493">
        <v>160569</v>
      </c>
      <c r="K493">
        <v>321112</v>
      </c>
      <c r="L493" t="s">
        <v>18</v>
      </c>
      <c r="M493" t="s">
        <v>534</v>
      </c>
      <c r="N493" t="s">
        <v>26</v>
      </c>
      <c r="O493" t="s">
        <v>28</v>
      </c>
      <c r="P493" t="s">
        <v>22</v>
      </c>
      <c r="Q493" t="s">
        <v>23</v>
      </c>
      <c r="R493" t="b">
        <f>OR(Таблица1[[#This Row],[Ежемесячный платеж]]&lt;$AC$5, Таблица1[[#This Row],[Ежемесячный платеж]]&gt;$AC$6)</f>
        <v>0</v>
      </c>
      <c r="S493" s="9">
        <f>(Таблица1[[#This Row],[Размер кредита]]-21824)/(789096-21824)</f>
        <v>0.55665787360935892</v>
      </c>
      <c r="T493" s="9">
        <f>(Таблица1[[#This Row],[Кредитный рейтинг]]-586)/(751-586)</f>
        <v>0.92121212121212126</v>
      </c>
      <c r="U493" s="9">
        <f>Таблица1[[#This Row],[Ежемесячный платеж]]/(Таблица1[[#This Row],[Годовой доход]]/12)</f>
        <v>0.14300091562101028</v>
      </c>
    </row>
    <row r="494" spans="1:21" x14ac:dyDescent="0.3">
      <c r="A494">
        <v>493</v>
      </c>
      <c r="B494">
        <v>0</v>
      </c>
      <c r="C494" s="9">
        <v>764918</v>
      </c>
      <c r="D494">
        <f>$Y$13</f>
        <v>723</v>
      </c>
      <c r="E494">
        <f>$AB$13</f>
        <v>1168044</v>
      </c>
      <c r="F494">
        <v>0</v>
      </c>
      <c r="G494">
        <v>17232.43</v>
      </c>
      <c r="H494">
        <v>16.5</v>
      </c>
      <c r="I494">
        <v>7</v>
      </c>
      <c r="J494">
        <v>333735</v>
      </c>
      <c r="K494">
        <v>1146706</v>
      </c>
      <c r="L494" t="s">
        <v>47</v>
      </c>
      <c r="M494" t="s">
        <v>535</v>
      </c>
      <c r="N494" t="s">
        <v>26</v>
      </c>
      <c r="O494" t="s">
        <v>21</v>
      </c>
      <c r="P494" t="s">
        <v>31</v>
      </c>
      <c r="Q494" t="s">
        <v>23</v>
      </c>
      <c r="R494" t="b">
        <f>OR(Таблица1[[#This Row],[Ежемесячный платеж]]&lt;$AC$5, Таблица1[[#This Row],[Ежемесячный платеж]]&gt;$AC$6)</f>
        <v>0</v>
      </c>
      <c r="S494" s="9">
        <f>(Таблица1[[#This Row],[Размер кредита]]-21824)/(789096-21824)</f>
        <v>0.96848835875673811</v>
      </c>
      <c r="T494" s="9">
        <f>(Таблица1[[#This Row],[Кредитный рейтинг]]-586)/(751-586)</f>
        <v>0.83030303030303032</v>
      </c>
      <c r="U494" s="9">
        <f>Таблица1[[#This Row],[Ежемесячный платеж]]/(Таблица1[[#This Row],[Годовой доход]]/12)</f>
        <v>0.1770388444270935</v>
      </c>
    </row>
    <row r="495" spans="1:21" x14ac:dyDescent="0.3">
      <c r="A495">
        <v>494</v>
      </c>
      <c r="B495">
        <v>0</v>
      </c>
      <c r="D495">
        <v>748</v>
      </c>
      <c r="E495" s="1">
        <v>902538</v>
      </c>
      <c r="F495">
        <v>0</v>
      </c>
      <c r="G495">
        <v>14688.71</v>
      </c>
      <c r="H495">
        <v>26.5</v>
      </c>
      <c r="I495">
        <v>6</v>
      </c>
      <c r="J495">
        <v>3173</v>
      </c>
      <c r="K495">
        <v>244750</v>
      </c>
      <c r="L495" t="s">
        <v>32</v>
      </c>
      <c r="M495" t="s">
        <v>536</v>
      </c>
      <c r="N495" t="s">
        <v>40</v>
      </c>
      <c r="O495" t="s">
        <v>34</v>
      </c>
      <c r="P495" t="s">
        <v>22</v>
      </c>
      <c r="Q495" t="s">
        <v>23</v>
      </c>
      <c r="R495" t="b">
        <f>OR(Таблица1[[#This Row],[Ежемесячный платеж]]&lt;$AC$5, Таблица1[[#This Row],[Ежемесячный платеж]]&gt;$AC$6)</f>
        <v>0</v>
      </c>
      <c r="T495" s="9">
        <f>(Таблица1[[#This Row],[Кредитный рейтинг]]-586)/(751-586)</f>
        <v>0.98181818181818181</v>
      </c>
      <c r="U495" s="9">
        <f>Таблица1[[#This Row],[Ежемесячный платеж]]/(Таблица1[[#This Row],[Годовой доход]]/12)</f>
        <v>0.1952987242642415</v>
      </c>
    </row>
    <row r="496" spans="1:21" x14ac:dyDescent="0.3">
      <c r="A496">
        <v>495</v>
      </c>
      <c r="B496">
        <v>0</v>
      </c>
      <c r="C496" s="9">
        <v>447524</v>
      </c>
      <c r="D496">
        <v>741</v>
      </c>
      <c r="E496" s="1">
        <v>2705486</v>
      </c>
      <c r="F496">
        <v>0</v>
      </c>
      <c r="G496">
        <v>29985.8</v>
      </c>
      <c r="H496">
        <v>29</v>
      </c>
      <c r="I496">
        <v>9</v>
      </c>
      <c r="J496">
        <v>485697</v>
      </c>
      <c r="K496">
        <v>962984</v>
      </c>
      <c r="L496" t="s">
        <v>24</v>
      </c>
      <c r="M496" t="s">
        <v>537</v>
      </c>
      <c r="N496" t="s">
        <v>26</v>
      </c>
      <c r="O496" t="s">
        <v>34</v>
      </c>
      <c r="P496" t="s">
        <v>22</v>
      </c>
      <c r="Q496" t="s">
        <v>23</v>
      </c>
      <c r="R496" t="b">
        <f>OR(Таблица1[[#This Row],[Ежемесячный платеж]]&lt;$AC$5, Таблица1[[#This Row],[Ежемесячный платеж]]&gt;$AC$6)</f>
        <v>0</v>
      </c>
      <c r="S496" s="9">
        <f>(Таблица1[[#This Row],[Размер кредита]]-21824)/(789096-21824)</f>
        <v>0.55482280077990598</v>
      </c>
      <c r="T496" s="9">
        <f>(Таблица1[[#This Row],[Кредитный рейтинг]]-586)/(751-586)</f>
        <v>0.93939393939393945</v>
      </c>
      <c r="U496" s="9">
        <f>Таблица1[[#This Row],[Ежемесячный платеж]]/(Таблица1[[#This Row],[Годовой доход]]/12)</f>
        <v>0.13299998595446438</v>
      </c>
    </row>
    <row r="497" spans="1:21" x14ac:dyDescent="0.3">
      <c r="A497">
        <v>496</v>
      </c>
      <c r="B497">
        <v>0</v>
      </c>
      <c r="C497" s="9">
        <v>484968</v>
      </c>
      <c r="D497">
        <v>733</v>
      </c>
      <c r="E497" s="1">
        <v>1523040</v>
      </c>
      <c r="F497">
        <v>0</v>
      </c>
      <c r="G497">
        <v>30587.72</v>
      </c>
      <c r="H497">
        <v>16.8</v>
      </c>
      <c r="I497">
        <v>13</v>
      </c>
      <c r="J497">
        <v>491359</v>
      </c>
      <c r="K497">
        <v>1338656</v>
      </c>
      <c r="L497" t="s">
        <v>18</v>
      </c>
      <c r="M497" t="s">
        <v>538</v>
      </c>
      <c r="N497" t="s">
        <v>26</v>
      </c>
      <c r="O497" t="s">
        <v>34</v>
      </c>
      <c r="P497" t="s">
        <v>31</v>
      </c>
      <c r="Q497" t="s">
        <v>36</v>
      </c>
      <c r="R497" t="b">
        <f>OR(Таблица1[[#This Row],[Ежемесячный платеж]]&lt;$AC$5, Таблица1[[#This Row],[Ежемесячный платеж]]&gt;$AC$6)</f>
        <v>0</v>
      </c>
      <c r="S497" s="9">
        <f>(Таблица1[[#This Row],[Размер кредита]]-21824)/(789096-21824)</f>
        <v>0.60362426883816955</v>
      </c>
      <c r="T497" s="9">
        <f>(Таблица1[[#This Row],[Кредитный рейтинг]]-586)/(751-586)</f>
        <v>0.89090909090909087</v>
      </c>
      <c r="U497" s="9">
        <f>Таблица1[[#This Row],[Ежемесячный платеж]]/(Таблица1[[#This Row],[Годовой доход]]/12)</f>
        <v>0.24100000000000002</v>
      </c>
    </row>
    <row r="498" spans="1:21" x14ac:dyDescent="0.3">
      <c r="A498">
        <v>497</v>
      </c>
      <c r="B498">
        <v>0</v>
      </c>
      <c r="C498" s="9">
        <v>129756</v>
      </c>
      <c r="D498">
        <v>745</v>
      </c>
      <c r="E498" s="1">
        <v>1270036</v>
      </c>
      <c r="F498">
        <v>0</v>
      </c>
      <c r="G498">
        <v>25675.84</v>
      </c>
      <c r="H498">
        <v>26.5</v>
      </c>
      <c r="I498">
        <v>9</v>
      </c>
      <c r="J498">
        <v>684893</v>
      </c>
      <c r="K498">
        <v>858242</v>
      </c>
      <c r="L498" t="s">
        <v>63</v>
      </c>
      <c r="M498" t="s">
        <v>539</v>
      </c>
      <c r="N498" t="s">
        <v>20</v>
      </c>
      <c r="O498" t="s">
        <v>21</v>
      </c>
      <c r="P498" t="s">
        <v>22</v>
      </c>
      <c r="Q498" t="s">
        <v>36</v>
      </c>
      <c r="R498" t="b">
        <f>OR(Таблица1[[#This Row],[Ежемесячный платеж]]&lt;$AC$5, Таблица1[[#This Row],[Ежемесячный платеж]]&gt;$AC$6)</f>
        <v>0</v>
      </c>
      <c r="S498" s="9">
        <f>(Таблица1[[#This Row],[Размер кредита]]-21824)/(789096-21824)</f>
        <v>0.1406698015827503</v>
      </c>
      <c r="T498" s="9">
        <f>(Таблица1[[#This Row],[Кредитный рейтинг]]-586)/(751-586)</f>
        <v>0.96363636363636362</v>
      </c>
      <c r="U498" s="9">
        <f>Таблица1[[#This Row],[Ежемесячный платеж]]/(Таблица1[[#This Row],[Годовой доход]]/12)</f>
        <v>0.24259948536891868</v>
      </c>
    </row>
    <row r="499" spans="1:21" x14ac:dyDescent="0.3">
      <c r="A499">
        <v>498</v>
      </c>
      <c r="B499">
        <v>1</v>
      </c>
      <c r="C499" s="9">
        <v>221320</v>
      </c>
      <c r="D499">
        <v>740</v>
      </c>
      <c r="E499" s="1">
        <v>860130</v>
      </c>
      <c r="F499">
        <v>21</v>
      </c>
      <c r="G499">
        <v>5390.11</v>
      </c>
      <c r="H499">
        <v>14</v>
      </c>
      <c r="I499">
        <v>11</v>
      </c>
      <c r="J499">
        <v>117952</v>
      </c>
      <c r="K499">
        <v>378334</v>
      </c>
      <c r="L499" t="s">
        <v>24</v>
      </c>
      <c r="M499" t="s">
        <v>540</v>
      </c>
      <c r="N499" t="s">
        <v>26</v>
      </c>
      <c r="O499" t="s">
        <v>21</v>
      </c>
      <c r="P499" t="s">
        <v>22</v>
      </c>
      <c r="Q499" t="s">
        <v>36</v>
      </c>
      <c r="R499" t="b">
        <f>OR(Таблица1[[#This Row],[Ежемесячный платеж]]&lt;$AC$5, Таблица1[[#This Row],[Ежемесячный платеж]]&gt;$AC$6)</f>
        <v>0</v>
      </c>
      <c r="S499" s="9">
        <f>(Таблица1[[#This Row],[Размер кредита]]-21824)/(789096-21824)</f>
        <v>0.26000688152311047</v>
      </c>
      <c r="T499" s="9">
        <f>(Таблица1[[#This Row],[Кредитный рейтинг]]-586)/(751-586)</f>
        <v>0.93333333333333335</v>
      </c>
      <c r="U499" s="9">
        <f>Таблица1[[#This Row],[Ежемесячный платеж]]/(Таблица1[[#This Row],[Годовой доход]]/12)</f>
        <v>7.5199469847581177E-2</v>
      </c>
    </row>
    <row r="500" spans="1:21" x14ac:dyDescent="0.3">
      <c r="A500">
        <v>499</v>
      </c>
      <c r="B500">
        <v>0</v>
      </c>
      <c r="C500" s="9">
        <v>66572</v>
      </c>
      <c r="D500">
        <v>747</v>
      </c>
      <c r="E500" s="1">
        <v>785707</v>
      </c>
      <c r="F500">
        <v>0</v>
      </c>
      <c r="G500">
        <v>13618.82</v>
      </c>
      <c r="H500">
        <v>8.3000000000000007</v>
      </c>
      <c r="I500">
        <v>7</v>
      </c>
      <c r="J500">
        <v>16302</v>
      </c>
      <c r="K500">
        <v>132990</v>
      </c>
      <c r="L500" t="s">
        <v>41</v>
      </c>
      <c r="M500" t="s">
        <v>541</v>
      </c>
      <c r="N500" t="s">
        <v>68</v>
      </c>
      <c r="O500" t="s">
        <v>21</v>
      </c>
      <c r="P500" t="s">
        <v>22</v>
      </c>
      <c r="Q500" t="s">
        <v>23</v>
      </c>
      <c r="R500" t="b">
        <f>OR(Таблица1[[#This Row],[Ежемесячный платеж]]&lt;$AC$5, Таблица1[[#This Row],[Ежемесячный платеж]]&gt;$AC$6)</f>
        <v>0</v>
      </c>
      <c r="S500" s="9">
        <f>(Таблица1[[#This Row],[Размер кредита]]-21824)/(789096-21824)</f>
        <v>5.8320908361050576E-2</v>
      </c>
      <c r="T500" s="9">
        <f>(Таблица1[[#This Row],[Кредитный рейтинг]]-586)/(751-586)</f>
        <v>0.97575757575757571</v>
      </c>
      <c r="U500" s="9">
        <f>Таблица1[[#This Row],[Ежемесячный платеж]]/(Таблица1[[#This Row],[Годовой доход]]/12)</f>
        <v>0.20799845234928541</v>
      </c>
    </row>
    <row r="501" spans="1:21" x14ac:dyDescent="0.3">
      <c r="A501">
        <v>500</v>
      </c>
      <c r="B501">
        <v>0</v>
      </c>
      <c r="C501" s="9">
        <v>462792</v>
      </c>
      <c r="D501">
        <v>749</v>
      </c>
      <c r="E501" s="1">
        <v>2207743</v>
      </c>
      <c r="F501">
        <v>0</v>
      </c>
      <c r="G501">
        <v>19869.63</v>
      </c>
      <c r="H501">
        <v>24.3</v>
      </c>
      <c r="I501">
        <v>11</v>
      </c>
      <c r="J501">
        <v>710334</v>
      </c>
      <c r="K501">
        <v>1815682</v>
      </c>
      <c r="L501" t="s">
        <v>24</v>
      </c>
      <c r="M501" t="s">
        <v>542</v>
      </c>
      <c r="N501" t="s">
        <v>26</v>
      </c>
      <c r="O501" t="s">
        <v>21</v>
      </c>
      <c r="P501" t="s">
        <v>22</v>
      </c>
      <c r="Q501" t="s">
        <v>23</v>
      </c>
      <c r="R501" t="b">
        <f>OR(Таблица1[[#This Row],[Ежемесячный платеж]]&lt;$AC$5, Таблица1[[#This Row],[Ежемесячный платеж]]&gt;$AC$6)</f>
        <v>0</v>
      </c>
      <c r="S501" s="9">
        <f>(Таблица1[[#This Row],[Размер кредита]]-21824)/(789096-21824)</f>
        <v>0.57472187177428602</v>
      </c>
      <c r="T501" s="9">
        <f>(Таблица1[[#This Row],[Кредитный рейтинг]]-586)/(751-586)</f>
        <v>0.98787878787878791</v>
      </c>
      <c r="U501" s="9">
        <f>Таблица1[[#This Row],[Ежемесячный платеж]]/(Таблица1[[#This Row],[Годовой доход]]/12)</f>
        <v>0.10799969018132999</v>
      </c>
    </row>
    <row r="502" spans="1:21" x14ac:dyDescent="0.3">
      <c r="A502">
        <v>501</v>
      </c>
      <c r="B502">
        <v>0</v>
      </c>
      <c r="C502" s="9">
        <v>222574</v>
      </c>
      <c r="D502">
        <f>$Y$13</f>
        <v>723</v>
      </c>
      <c r="E502">
        <f>$AB$13</f>
        <v>1168044</v>
      </c>
      <c r="F502">
        <v>0</v>
      </c>
      <c r="G502">
        <v>19798.95</v>
      </c>
      <c r="H502">
        <v>25.7</v>
      </c>
      <c r="I502">
        <v>11</v>
      </c>
      <c r="J502">
        <v>81396</v>
      </c>
      <c r="K502">
        <v>1847802</v>
      </c>
      <c r="L502" t="s">
        <v>29</v>
      </c>
      <c r="M502" t="s">
        <v>543</v>
      </c>
      <c r="N502" t="s">
        <v>26</v>
      </c>
      <c r="O502" t="s">
        <v>21</v>
      </c>
      <c r="P502" t="s">
        <v>22</v>
      </c>
      <c r="Q502" t="s">
        <v>23</v>
      </c>
      <c r="R502" t="b">
        <f>OR(Таблица1[[#This Row],[Ежемесячный платеж]]&lt;$AC$5, Таблица1[[#This Row],[Ежемесячный платеж]]&gt;$AC$6)</f>
        <v>0</v>
      </c>
      <c r="S502" s="9">
        <f>(Таблица1[[#This Row],[Размер кредита]]-21824)/(789096-21824)</f>
        <v>0.26164124326184196</v>
      </c>
      <c r="T502" s="9">
        <f>(Таблица1[[#This Row],[Кредитный рейтинг]]-586)/(751-586)</f>
        <v>0.83030303030303032</v>
      </c>
      <c r="U502" s="9">
        <f>Таблица1[[#This Row],[Ежемесячный платеж]]/(Таблица1[[#This Row],[Годовой доход]]/12)</f>
        <v>0.20340620730040992</v>
      </c>
    </row>
    <row r="503" spans="1:21" x14ac:dyDescent="0.3">
      <c r="A503">
        <v>502</v>
      </c>
      <c r="B503">
        <v>0</v>
      </c>
      <c r="C503" s="9">
        <v>752004</v>
      </c>
      <c r="D503">
        <f>$Y$13</f>
        <v>723</v>
      </c>
      <c r="E503">
        <f>$AB$13</f>
        <v>1168044</v>
      </c>
      <c r="F503">
        <v>3</v>
      </c>
      <c r="G503">
        <v>21714.15</v>
      </c>
      <c r="H503">
        <v>20.100000000000001</v>
      </c>
      <c r="I503">
        <v>11</v>
      </c>
      <c r="J503">
        <v>572356</v>
      </c>
      <c r="K503">
        <v>864028</v>
      </c>
      <c r="L503" t="s">
        <v>24</v>
      </c>
      <c r="M503" t="s">
        <v>544</v>
      </c>
      <c r="N503" t="s">
        <v>26</v>
      </c>
      <c r="O503" t="s">
        <v>21</v>
      </c>
      <c r="P503" t="s">
        <v>31</v>
      </c>
      <c r="Q503" t="s">
        <v>36</v>
      </c>
      <c r="R503" t="b">
        <f>OR(Таблица1[[#This Row],[Ежемесячный платеж]]&lt;$AC$5, Таблица1[[#This Row],[Ежемесячный платеж]]&gt;$AC$6)</f>
        <v>0</v>
      </c>
      <c r="S503" s="9">
        <f>(Таблица1[[#This Row],[Размер кредита]]-21824)/(789096-21824)</f>
        <v>0.95165730014909966</v>
      </c>
      <c r="T503" s="9">
        <f>(Таблица1[[#This Row],[Кредитный рейтинг]]-586)/(751-586)</f>
        <v>0.83030303030303032</v>
      </c>
      <c r="U503" s="9">
        <f>Таблица1[[#This Row],[Ежемесячный платеж]]/(Таблица1[[#This Row],[Годовой доход]]/12)</f>
        <v>0.22308217841108727</v>
      </c>
    </row>
    <row r="504" spans="1:21" x14ac:dyDescent="0.3">
      <c r="A504">
        <v>503</v>
      </c>
      <c r="B504">
        <v>0</v>
      </c>
      <c r="C504" s="9">
        <v>445632</v>
      </c>
      <c r="D504">
        <v>680</v>
      </c>
      <c r="E504" s="1">
        <v>877059</v>
      </c>
      <c r="F504">
        <v>12</v>
      </c>
      <c r="G504">
        <v>12205.6</v>
      </c>
      <c r="H504">
        <v>33.5</v>
      </c>
      <c r="I504">
        <v>9</v>
      </c>
      <c r="J504">
        <v>344584</v>
      </c>
      <c r="K504">
        <v>701206</v>
      </c>
      <c r="L504" t="s">
        <v>24</v>
      </c>
      <c r="M504" t="s">
        <v>545</v>
      </c>
      <c r="N504" t="s">
        <v>20</v>
      </c>
      <c r="O504" t="s">
        <v>34</v>
      </c>
      <c r="P504" t="s">
        <v>31</v>
      </c>
      <c r="Q504" t="s">
        <v>36</v>
      </c>
      <c r="R504" t="b">
        <f>OR(Таблица1[[#This Row],[Ежемесячный платеж]]&lt;$AC$5, Таблица1[[#This Row],[Ежемесячный платеж]]&gt;$AC$6)</f>
        <v>0</v>
      </c>
      <c r="S504" s="9">
        <f>(Таблица1[[#This Row],[Размер кредита]]-21824)/(789096-21824)</f>
        <v>0.55235692166532857</v>
      </c>
      <c r="T504" s="9">
        <f>(Таблица1[[#This Row],[Кредитный рейтинг]]-586)/(751-586)</f>
        <v>0.5696969696969697</v>
      </c>
      <c r="U504" s="9">
        <f>Таблица1[[#This Row],[Ежемесячный платеж]]/(Таблица1[[#This Row],[Годовой доход]]/12)</f>
        <v>0.16699811529212971</v>
      </c>
    </row>
    <row r="505" spans="1:21" x14ac:dyDescent="0.3">
      <c r="A505">
        <v>504</v>
      </c>
      <c r="B505">
        <v>0</v>
      </c>
      <c r="C505" s="9">
        <v>219054</v>
      </c>
      <c r="D505">
        <v>723</v>
      </c>
      <c r="E505" s="1">
        <v>1067154</v>
      </c>
      <c r="F505">
        <v>29</v>
      </c>
      <c r="G505">
        <v>24455.66</v>
      </c>
      <c r="H505">
        <v>15.4</v>
      </c>
      <c r="I505">
        <v>8</v>
      </c>
      <c r="J505">
        <v>100814</v>
      </c>
      <c r="K505">
        <v>130284</v>
      </c>
      <c r="L505" t="s">
        <v>50</v>
      </c>
      <c r="M505" t="s">
        <v>546</v>
      </c>
      <c r="N505" t="s">
        <v>26</v>
      </c>
      <c r="O505" t="s">
        <v>21</v>
      </c>
      <c r="P505" t="s">
        <v>22</v>
      </c>
      <c r="Q505" t="s">
        <v>36</v>
      </c>
      <c r="R505" t="b">
        <f>OR(Таблица1[[#This Row],[Ежемесячный платеж]]&lt;$AC$5, Таблица1[[#This Row],[Ежемесячный платеж]]&gt;$AC$6)</f>
        <v>0</v>
      </c>
      <c r="S505" s="9">
        <f>(Таблица1[[#This Row],[Размер кредита]]-21824)/(789096-21824)</f>
        <v>0.25705356118820966</v>
      </c>
      <c r="T505" s="9">
        <f>(Таблица1[[#This Row],[Кредитный рейтинг]]-586)/(751-586)</f>
        <v>0.83030303030303032</v>
      </c>
      <c r="U505" s="9">
        <f>Таблица1[[#This Row],[Ежемесячный платеж]]/(Таблица1[[#This Row],[Годовой доход]]/12)</f>
        <v>0.27500053413096892</v>
      </c>
    </row>
    <row r="506" spans="1:21" x14ac:dyDescent="0.3">
      <c r="A506">
        <v>505</v>
      </c>
      <c r="B506">
        <v>0</v>
      </c>
      <c r="D506">
        <v>735</v>
      </c>
      <c r="E506" s="1">
        <v>799292</v>
      </c>
      <c r="F506">
        <v>0</v>
      </c>
      <c r="G506">
        <v>15253.01</v>
      </c>
      <c r="H506">
        <v>11.2</v>
      </c>
      <c r="I506">
        <v>6</v>
      </c>
      <c r="J506">
        <v>195149</v>
      </c>
      <c r="K506">
        <v>269984</v>
      </c>
      <c r="L506" t="s">
        <v>69</v>
      </c>
      <c r="M506" t="s">
        <v>547</v>
      </c>
      <c r="N506" t="s">
        <v>26</v>
      </c>
      <c r="O506" t="s">
        <v>34</v>
      </c>
      <c r="P506" t="s">
        <v>22</v>
      </c>
      <c r="Q506" t="s">
        <v>23</v>
      </c>
      <c r="R506" t="b">
        <f>OR(Таблица1[[#This Row],[Ежемесячный платеж]]&lt;$AC$5, Таблица1[[#This Row],[Ежемесячный платеж]]&gt;$AC$6)</f>
        <v>0</v>
      </c>
      <c r="T506" s="9">
        <f>(Таблица1[[#This Row],[Кредитный рейтинг]]-586)/(751-586)</f>
        <v>0.90303030303030307</v>
      </c>
      <c r="U506" s="9">
        <f>Таблица1[[#This Row],[Ежемесячный платеж]]/(Таблица1[[#This Row],[Годовой доход]]/12)</f>
        <v>0.22899781306456213</v>
      </c>
    </row>
    <row r="507" spans="1:21" x14ac:dyDescent="0.3">
      <c r="A507">
        <v>506</v>
      </c>
      <c r="B507">
        <v>0</v>
      </c>
      <c r="C507" s="9">
        <v>132616</v>
      </c>
      <c r="D507">
        <v>743</v>
      </c>
      <c r="E507" s="1">
        <v>1527144</v>
      </c>
      <c r="F507">
        <v>25</v>
      </c>
      <c r="G507">
        <v>40342.32</v>
      </c>
      <c r="H507">
        <v>22.4</v>
      </c>
      <c r="I507">
        <v>16</v>
      </c>
      <c r="J507">
        <v>159030</v>
      </c>
      <c r="K507">
        <v>814770</v>
      </c>
      <c r="L507" t="s">
        <v>24</v>
      </c>
      <c r="M507" t="s">
        <v>548</v>
      </c>
      <c r="N507" t="s">
        <v>26</v>
      </c>
      <c r="O507" t="s">
        <v>21</v>
      </c>
      <c r="P507" t="s">
        <v>22</v>
      </c>
      <c r="Q507" t="s">
        <v>23</v>
      </c>
      <c r="R507" t="b">
        <f>OR(Таблица1[[#This Row],[Ежемесячный платеж]]&lt;$AC$5, Таблица1[[#This Row],[Ежемесячный платеж]]&gt;$AC$6)</f>
        <v>0</v>
      </c>
      <c r="S507" s="9">
        <f>(Таблица1[[#This Row],[Размер кредита]]-21824)/(789096-21824)</f>
        <v>0.14439729326757655</v>
      </c>
      <c r="T507" s="9">
        <f>(Таблица1[[#This Row],[Кредитный рейтинг]]-586)/(751-586)</f>
        <v>0.95151515151515154</v>
      </c>
      <c r="U507" s="9">
        <f>Таблица1[[#This Row],[Ежемесячный платеж]]/(Таблица1[[#This Row],[Годовой доход]]/12)</f>
        <v>0.31700209017617198</v>
      </c>
    </row>
    <row r="508" spans="1:21" x14ac:dyDescent="0.3">
      <c r="A508">
        <v>507</v>
      </c>
      <c r="B508">
        <v>0</v>
      </c>
      <c r="C508" s="9">
        <v>590986</v>
      </c>
      <c r="D508">
        <v>613</v>
      </c>
      <c r="E508" s="1">
        <v>1156511</v>
      </c>
      <c r="F508">
        <v>0</v>
      </c>
      <c r="G508">
        <v>22060.52</v>
      </c>
      <c r="H508">
        <v>14.1</v>
      </c>
      <c r="I508">
        <v>11</v>
      </c>
      <c r="J508">
        <v>268926</v>
      </c>
      <c r="K508">
        <v>331254</v>
      </c>
      <c r="L508" t="s">
        <v>29</v>
      </c>
      <c r="M508" t="s">
        <v>549</v>
      </c>
      <c r="N508" t="s">
        <v>26</v>
      </c>
      <c r="O508" t="s">
        <v>34</v>
      </c>
      <c r="P508" t="s">
        <v>31</v>
      </c>
      <c r="Q508" t="s">
        <v>23</v>
      </c>
      <c r="R508" t="b">
        <f>OR(Таблица1[[#This Row],[Ежемесячный платеж]]&lt;$AC$5, Таблица1[[#This Row],[Ежемесячный платеж]]&gt;$AC$6)</f>
        <v>0</v>
      </c>
      <c r="S508" s="9">
        <f>(Таблица1[[#This Row],[Размер кредита]]-21824)/(789096-21824)</f>
        <v>0.74179951829338231</v>
      </c>
      <c r="T508" s="9">
        <f>(Таблица1[[#This Row],[Кредитный рейтинг]]-586)/(751-586)</f>
        <v>0.16363636363636364</v>
      </c>
      <c r="U508" s="9">
        <f>Таблица1[[#This Row],[Ежемесячный платеж]]/(Таблица1[[#This Row],[Годовой доход]]/12)</f>
        <v>0.22890075407843072</v>
      </c>
    </row>
    <row r="509" spans="1:21" x14ac:dyDescent="0.3">
      <c r="A509">
        <v>508</v>
      </c>
      <c r="B509">
        <v>0</v>
      </c>
      <c r="C509" s="9">
        <v>96800</v>
      </c>
      <c r="D509">
        <v>712</v>
      </c>
      <c r="E509" s="1">
        <v>371564</v>
      </c>
      <c r="F509">
        <v>65</v>
      </c>
      <c r="G509">
        <v>6874.01</v>
      </c>
      <c r="H509">
        <v>14.1</v>
      </c>
      <c r="I509">
        <v>14</v>
      </c>
      <c r="J509">
        <v>177688</v>
      </c>
      <c r="K509">
        <v>340054</v>
      </c>
      <c r="L509" t="s">
        <v>29</v>
      </c>
      <c r="M509" t="s">
        <v>550</v>
      </c>
      <c r="N509" t="s">
        <v>26</v>
      </c>
      <c r="O509" t="s">
        <v>34</v>
      </c>
      <c r="P509" t="s">
        <v>22</v>
      </c>
      <c r="Q509" t="s">
        <v>23</v>
      </c>
      <c r="R509" t="b">
        <f>OR(Таблица1[[#This Row],[Ежемесячный платеж]]&lt;$AC$5, Таблица1[[#This Row],[Ежемесячный платеж]]&gt;$AC$6)</f>
        <v>0</v>
      </c>
      <c r="S509" s="9">
        <f>(Таблица1[[#This Row],[Размер кредита]]-21824)/(789096-21824)</f>
        <v>9.7717628168367932E-2</v>
      </c>
      <c r="T509" s="9">
        <f>(Таблица1[[#This Row],[Кредитный рейтинг]]-586)/(751-586)</f>
        <v>0.76363636363636367</v>
      </c>
      <c r="U509" s="9">
        <f>Таблица1[[#This Row],[Ежемесячный платеж]]/(Таблица1[[#This Row],[Годовой доход]]/12)</f>
        <v>0.22200245448967068</v>
      </c>
    </row>
    <row r="510" spans="1:21" x14ac:dyDescent="0.3">
      <c r="A510">
        <v>509</v>
      </c>
      <c r="B510">
        <v>0</v>
      </c>
      <c r="C510" s="9">
        <v>43054</v>
      </c>
      <c r="D510">
        <v>747</v>
      </c>
      <c r="E510" s="1">
        <v>490713</v>
      </c>
      <c r="F510">
        <v>81</v>
      </c>
      <c r="G510">
        <v>8346.32</v>
      </c>
      <c r="H510">
        <v>21.7</v>
      </c>
      <c r="I510">
        <v>10</v>
      </c>
      <c r="J510">
        <v>75962</v>
      </c>
      <c r="K510">
        <v>240988</v>
      </c>
      <c r="L510" t="s">
        <v>41</v>
      </c>
      <c r="M510" t="s">
        <v>551</v>
      </c>
      <c r="N510" t="s">
        <v>26</v>
      </c>
      <c r="O510" t="s">
        <v>34</v>
      </c>
      <c r="P510" t="s">
        <v>22</v>
      </c>
      <c r="Q510" t="s">
        <v>23</v>
      </c>
      <c r="R510" t="b">
        <f>OR(Таблица1[[#This Row],[Ежемесячный платеж]]&lt;$AC$5, Таблица1[[#This Row],[Ежемесячный платеж]]&gt;$AC$6)</f>
        <v>0</v>
      </c>
      <c r="S510" s="9">
        <f>(Таблица1[[#This Row],[Размер кредита]]-21824)/(789096-21824)</f>
        <v>2.7669457506594792E-2</v>
      </c>
      <c r="T510" s="9">
        <f>(Таблица1[[#This Row],[Кредитный рейтинг]]-586)/(751-586)</f>
        <v>0.97575757575757571</v>
      </c>
      <c r="U510" s="9">
        <f>Таблица1[[#This Row],[Ежемесячный платеж]]/(Таблица1[[#This Row],[Годовой доход]]/12)</f>
        <v>0.20410268323847136</v>
      </c>
    </row>
    <row r="511" spans="1:21" x14ac:dyDescent="0.3">
      <c r="A511">
        <v>510</v>
      </c>
      <c r="B511">
        <v>0</v>
      </c>
      <c r="C511" s="9">
        <v>321420</v>
      </c>
      <c r="D511">
        <v>745</v>
      </c>
      <c r="E511" s="1">
        <v>1542192</v>
      </c>
      <c r="F511">
        <v>39</v>
      </c>
      <c r="G511">
        <v>12106.23</v>
      </c>
      <c r="H511">
        <v>21.4</v>
      </c>
      <c r="I511">
        <v>4</v>
      </c>
      <c r="J511">
        <v>121657</v>
      </c>
      <c r="K511">
        <v>145068</v>
      </c>
      <c r="L511" t="s">
        <v>29</v>
      </c>
      <c r="M511" t="s">
        <v>552</v>
      </c>
      <c r="N511" t="s">
        <v>26</v>
      </c>
      <c r="O511" t="s">
        <v>21</v>
      </c>
      <c r="P511" t="s">
        <v>22</v>
      </c>
      <c r="Q511" t="s">
        <v>36</v>
      </c>
      <c r="R511" t="b">
        <f>OR(Таблица1[[#This Row],[Ежемесячный платеж]]&lt;$AC$5, Таблица1[[#This Row],[Ежемесячный платеж]]&gt;$AC$6)</f>
        <v>0</v>
      </c>
      <c r="S511" s="9">
        <f>(Таблица1[[#This Row],[Размер кредита]]-21824)/(789096-21824)</f>
        <v>0.39046909049202888</v>
      </c>
      <c r="T511" s="9">
        <f>(Таблица1[[#This Row],[Кредитный рейтинг]]-586)/(751-586)</f>
        <v>0.96363636363636362</v>
      </c>
      <c r="U511" s="9">
        <f>Таблица1[[#This Row],[Ежемесячный платеж]]/(Таблица1[[#This Row],[Годовой доход]]/12)</f>
        <v>9.4200177409816677E-2</v>
      </c>
    </row>
    <row r="512" spans="1:21" x14ac:dyDescent="0.3">
      <c r="A512">
        <v>511</v>
      </c>
      <c r="B512">
        <v>1</v>
      </c>
      <c r="C512" s="9">
        <v>88374</v>
      </c>
      <c r="D512">
        <f>$Y$13</f>
        <v>723</v>
      </c>
      <c r="E512">
        <f>$AB$13</f>
        <v>1168044</v>
      </c>
      <c r="F512">
        <v>4</v>
      </c>
      <c r="G512">
        <v>18904.810000000001</v>
      </c>
      <c r="H512">
        <v>15.8</v>
      </c>
      <c r="I512">
        <v>14</v>
      </c>
      <c r="J512">
        <v>50996</v>
      </c>
      <c r="K512">
        <v>260128</v>
      </c>
      <c r="L512" t="s">
        <v>41</v>
      </c>
      <c r="M512" t="s">
        <v>553</v>
      </c>
      <c r="N512" t="s">
        <v>26</v>
      </c>
      <c r="O512" t="s">
        <v>34</v>
      </c>
      <c r="P512" t="s">
        <v>22</v>
      </c>
      <c r="Q512" t="s">
        <v>23</v>
      </c>
      <c r="R512" t="b">
        <f>OR(Таблица1[[#This Row],[Ежемесячный платеж]]&lt;$AC$5, Таблица1[[#This Row],[Ежемесячный платеж]]&gt;$AC$6)</f>
        <v>0</v>
      </c>
      <c r="S512" s="9">
        <f>(Таблица1[[#This Row],[Размер кредита]]-21824)/(789096-21824)</f>
        <v>8.6735864204610616E-2</v>
      </c>
      <c r="T512" s="9">
        <f>(Таблица1[[#This Row],[Кредитный рейтинг]]-586)/(751-586)</f>
        <v>0.83030303030303032</v>
      </c>
      <c r="U512" s="9">
        <f>Таблица1[[#This Row],[Ежемесячный платеж]]/(Таблица1[[#This Row],[Годовой доход]]/12)</f>
        <v>0.19422018348623854</v>
      </c>
    </row>
    <row r="513" spans="1:21" x14ac:dyDescent="0.3">
      <c r="A513">
        <v>512</v>
      </c>
      <c r="B513">
        <v>0</v>
      </c>
      <c r="C513" s="9">
        <v>483098</v>
      </c>
      <c r="D513">
        <v>698</v>
      </c>
      <c r="E513" s="1">
        <v>1467978</v>
      </c>
      <c r="F513">
        <v>0</v>
      </c>
      <c r="G513">
        <v>33396.300000000003</v>
      </c>
      <c r="H513">
        <v>16.3</v>
      </c>
      <c r="I513">
        <v>43</v>
      </c>
      <c r="J513">
        <v>719283</v>
      </c>
      <c r="K513">
        <v>1091552</v>
      </c>
      <c r="L513" t="s">
        <v>29</v>
      </c>
      <c r="M513" t="s">
        <v>554</v>
      </c>
      <c r="N513" t="s">
        <v>26</v>
      </c>
      <c r="O513" t="s">
        <v>21</v>
      </c>
      <c r="P513" t="s">
        <v>31</v>
      </c>
      <c r="Q513" t="s">
        <v>23</v>
      </c>
      <c r="R513" t="b">
        <f>OR(Таблица1[[#This Row],[Ежемесячный платеж]]&lt;$AC$5, Таблица1[[#This Row],[Ежемесячный платеж]]&gt;$AC$6)</f>
        <v>0</v>
      </c>
      <c r="S513" s="9">
        <f>(Таблица1[[#This Row],[Размер кредита]]-21824)/(789096-21824)</f>
        <v>0.60118706273655231</v>
      </c>
      <c r="T513" s="9">
        <f>(Таблица1[[#This Row],[Кредитный рейтинг]]-586)/(751-586)</f>
        <v>0.67878787878787883</v>
      </c>
      <c r="U513" s="9">
        <f>Таблица1[[#This Row],[Ежемесячный платеж]]/(Таблица1[[#This Row],[Годовой доход]]/12)</f>
        <v>0.27299836918536929</v>
      </c>
    </row>
    <row r="514" spans="1:21" x14ac:dyDescent="0.3">
      <c r="A514">
        <v>513</v>
      </c>
      <c r="B514">
        <v>0</v>
      </c>
      <c r="C514" s="9">
        <v>244398</v>
      </c>
      <c r="D514">
        <f>$Y$13</f>
        <v>723</v>
      </c>
      <c r="E514">
        <f>$AB$13</f>
        <v>1168044</v>
      </c>
      <c r="F514">
        <v>0</v>
      </c>
      <c r="G514">
        <v>4844.24</v>
      </c>
      <c r="H514">
        <v>13.3</v>
      </c>
      <c r="I514">
        <v>7</v>
      </c>
      <c r="J514">
        <v>190456</v>
      </c>
      <c r="K514">
        <v>371250</v>
      </c>
      <c r="L514" t="s">
        <v>47</v>
      </c>
      <c r="M514" t="s">
        <v>555</v>
      </c>
      <c r="N514" t="s">
        <v>68</v>
      </c>
      <c r="O514" t="s">
        <v>21</v>
      </c>
      <c r="P514" t="s">
        <v>22</v>
      </c>
      <c r="Q514" t="s">
        <v>36</v>
      </c>
      <c r="R514" t="b">
        <f>OR(Таблица1[[#This Row],[Ежемесячный платеж]]&lt;$AC$5, Таблица1[[#This Row],[Ежемесячный платеж]]&gt;$AC$6)</f>
        <v>0</v>
      </c>
      <c r="S514" s="9">
        <f>(Таблица1[[#This Row],[Размер кредита]]-21824)/(789096-21824)</f>
        <v>0.2900848721183622</v>
      </c>
      <c r="T514" s="9">
        <f>(Таблица1[[#This Row],[Кредитный рейтинг]]-586)/(751-586)</f>
        <v>0.83030303030303032</v>
      </c>
      <c r="U514" s="9">
        <f>Таблица1[[#This Row],[Ежемесячный платеж]]/(Таблица1[[#This Row],[Годовой доход]]/12)</f>
        <v>4.9767714229943388E-2</v>
      </c>
    </row>
    <row r="515" spans="1:21" x14ac:dyDescent="0.3">
      <c r="A515">
        <v>514</v>
      </c>
      <c r="B515">
        <v>0</v>
      </c>
      <c r="C515" s="9">
        <v>423676</v>
      </c>
      <c r="D515">
        <f>$Y$13</f>
        <v>723</v>
      </c>
      <c r="E515">
        <f>$AB$13</f>
        <v>1168044</v>
      </c>
      <c r="F515">
        <v>33</v>
      </c>
      <c r="G515">
        <v>97671.02</v>
      </c>
      <c r="H515">
        <v>19.7</v>
      </c>
      <c r="I515">
        <v>22</v>
      </c>
      <c r="J515">
        <v>676951</v>
      </c>
      <c r="K515">
        <v>917840</v>
      </c>
      <c r="L515" t="s">
        <v>47</v>
      </c>
      <c r="M515" t="s">
        <v>556</v>
      </c>
      <c r="N515" t="s">
        <v>26</v>
      </c>
      <c r="O515" t="s">
        <v>21</v>
      </c>
      <c r="P515" t="s">
        <v>22</v>
      </c>
      <c r="Q515" t="s">
        <v>36</v>
      </c>
      <c r="R515" t="b">
        <f>OR(Таблица1[[#This Row],[Ежемесячный платеж]]&lt;$AC$5, Таблица1[[#This Row],[Ежемесячный платеж]]&gt;$AC$6)</f>
        <v>1</v>
      </c>
      <c r="S515" s="9">
        <f>(Таблица1[[#This Row],[Размер кредита]]-21824)/(789096-21824)</f>
        <v>0.52374125473104716</v>
      </c>
      <c r="T515" s="9">
        <f>(Таблица1[[#This Row],[Кредитный рейтинг]]-586)/(751-586)</f>
        <v>0.83030303030303032</v>
      </c>
      <c r="U515" s="9">
        <f>Таблица1[[#This Row],[Ежемесячный платеж]]/(Таблица1[[#This Row],[Годовой доход]]/12)</f>
        <v>1.0034315830568028</v>
      </c>
    </row>
    <row r="516" spans="1:21" x14ac:dyDescent="0.3">
      <c r="A516">
        <v>515</v>
      </c>
      <c r="B516">
        <v>0</v>
      </c>
      <c r="D516">
        <v>747</v>
      </c>
      <c r="E516" s="1">
        <v>4995328</v>
      </c>
      <c r="F516">
        <v>0</v>
      </c>
      <c r="G516">
        <v>30471.439999999999</v>
      </c>
      <c r="H516">
        <v>14.3</v>
      </c>
      <c r="I516">
        <v>11</v>
      </c>
      <c r="J516">
        <v>1046672</v>
      </c>
      <c r="K516">
        <v>1702162</v>
      </c>
      <c r="L516" t="s">
        <v>41</v>
      </c>
      <c r="M516" t="s">
        <v>557</v>
      </c>
      <c r="N516" t="s">
        <v>26</v>
      </c>
      <c r="O516" t="s">
        <v>21</v>
      </c>
      <c r="P516" t="s">
        <v>22</v>
      </c>
      <c r="Q516" t="s">
        <v>23</v>
      </c>
      <c r="R516" t="b">
        <f>OR(Таблица1[[#This Row],[Ежемесячный платеж]]&lt;$AC$5, Таблица1[[#This Row],[Ежемесячный платеж]]&gt;$AC$6)</f>
        <v>0</v>
      </c>
      <c r="T516" s="9">
        <f>(Таблица1[[#This Row],[Кредитный рейтинг]]-586)/(751-586)</f>
        <v>0.97575757575757571</v>
      </c>
      <c r="U516" s="9">
        <f>Таблица1[[#This Row],[Ежемесячный платеж]]/(Таблица1[[#This Row],[Годовой доход]]/12)</f>
        <v>7.3199853943524823E-2</v>
      </c>
    </row>
    <row r="517" spans="1:21" x14ac:dyDescent="0.3">
      <c r="A517">
        <v>516</v>
      </c>
      <c r="B517">
        <v>1</v>
      </c>
      <c r="C517" s="9">
        <v>215138</v>
      </c>
      <c r="D517">
        <f>$Y$13</f>
        <v>723</v>
      </c>
      <c r="E517">
        <f>$AB$13</f>
        <v>1168044</v>
      </c>
      <c r="F517">
        <v>66</v>
      </c>
      <c r="G517">
        <v>11380.24</v>
      </c>
      <c r="H517">
        <v>18.100000000000001</v>
      </c>
      <c r="I517">
        <v>9</v>
      </c>
      <c r="J517">
        <v>289199</v>
      </c>
      <c r="K517">
        <v>350636</v>
      </c>
      <c r="L517" t="s">
        <v>24</v>
      </c>
      <c r="M517" s="2" t="s">
        <v>558</v>
      </c>
      <c r="N517" t="s">
        <v>26</v>
      </c>
      <c r="O517" t="s">
        <v>21</v>
      </c>
      <c r="P517" t="s">
        <v>22</v>
      </c>
      <c r="Q517" t="s">
        <v>23</v>
      </c>
      <c r="R517" t="b">
        <f>OR(Таблица1[[#This Row],[Ежемесячный платеж]]&lt;$AC$5, Таблица1[[#This Row],[Ежемесячный платеж]]&gt;$AC$6)</f>
        <v>0</v>
      </c>
      <c r="S517" s="9">
        <f>(Таблица1[[#This Row],[Размер кредита]]-21824)/(789096-21824)</f>
        <v>0.25194976488129373</v>
      </c>
      <c r="T517" s="9">
        <f>(Таблица1[[#This Row],[Кредитный рейтинг]]-586)/(751-586)</f>
        <v>0.83030303030303032</v>
      </c>
      <c r="U517" s="9">
        <f>Таблица1[[#This Row],[Ежемесячный платеж]]/(Таблица1[[#This Row],[Годовой доход]]/12)</f>
        <v>0.11691586960765177</v>
      </c>
    </row>
    <row r="518" spans="1:21" x14ac:dyDescent="0.3">
      <c r="A518">
        <v>517</v>
      </c>
      <c r="B518">
        <v>0</v>
      </c>
      <c r="C518" s="9">
        <v>782408</v>
      </c>
      <c r="D518">
        <f>$Y$13</f>
        <v>723</v>
      </c>
      <c r="E518">
        <f>$AB$13</f>
        <v>1168044</v>
      </c>
      <c r="F518">
        <v>0</v>
      </c>
      <c r="G518">
        <v>69227.64</v>
      </c>
      <c r="H518">
        <v>33.4</v>
      </c>
      <c r="I518">
        <v>12</v>
      </c>
      <c r="J518">
        <v>246658</v>
      </c>
      <c r="K518">
        <v>531828</v>
      </c>
      <c r="L518" t="s">
        <v>41</v>
      </c>
      <c r="M518" t="s">
        <v>559</v>
      </c>
      <c r="N518" t="s">
        <v>26</v>
      </c>
      <c r="O518" t="s">
        <v>21</v>
      </c>
      <c r="P518" t="s">
        <v>22</v>
      </c>
      <c r="Q518" t="s">
        <v>23</v>
      </c>
      <c r="R518" t="b">
        <f>OR(Таблица1[[#This Row],[Ежемесячный платеж]]&lt;$AC$5, Таблица1[[#This Row],[Ежемесячный платеж]]&gt;$AC$6)</f>
        <v>1</v>
      </c>
      <c r="S518" s="9">
        <f>(Таблица1[[#This Row],[Размер кредита]]-21824)/(789096-21824)</f>
        <v>0.99128340406009863</v>
      </c>
      <c r="T518" s="9">
        <f>(Таблица1[[#This Row],[Кредитный рейтинг]]-586)/(751-586)</f>
        <v>0.83030303030303032</v>
      </c>
      <c r="U518" s="9">
        <f>Таблица1[[#This Row],[Ежемесячный платеж]]/(Таблица1[[#This Row],[Годовой доход]]/12)</f>
        <v>0.71121608432559047</v>
      </c>
    </row>
    <row r="519" spans="1:21" x14ac:dyDescent="0.3">
      <c r="A519">
        <v>518</v>
      </c>
      <c r="B519">
        <v>0</v>
      </c>
      <c r="C519" s="9">
        <v>257554</v>
      </c>
      <c r="D519">
        <v>732</v>
      </c>
      <c r="E519" s="1">
        <v>885096</v>
      </c>
      <c r="F519">
        <v>0</v>
      </c>
      <c r="G519">
        <v>11211.14</v>
      </c>
      <c r="H519">
        <v>21.6</v>
      </c>
      <c r="I519">
        <v>4</v>
      </c>
      <c r="J519">
        <v>197239</v>
      </c>
      <c r="K519">
        <v>302478</v>
      </c>
      <c r="L519" t="s">
        <v>18</v>
      </c>
      <c r="M519" t="s">
        <v>560</v>
      </c>
      <c r="N519" t="s">
        <v>26</v>
      </c>
      <c r="O519" t="s">
        <v>34</v>
      </c>
      <c r="P519" t="s">
        <v>22</v>
      </c>
      <c r="Q519" t="s">
        <v>23</v>
      </c>
      <c r="R519" t="b">
        <f>OR(Таблица1[[#This Row],[Ежемесячный платеж]]&lt;$AC$5, Таблица1[[#This Row],[Ежемесячный платеж]]&gt;$AC$6)</f>
        <v>0</v>
      </c>
      <c r="S519" s="9">
        <f>(Таблица1[[#This Row],[Размер кредита]]-21824)/(789096-21824)</f>
        <v>0.30723133386856288</v>
      </c>
      <c r="T519" s="9">
        <f>(Таблица1[[#This Row],[Кредитный рейтинг]]-586)/(751-586)</f>
        <v>0.88484848484848488</v>
      </c>
      <c r="U519" s="9">
        <f>Таблица1[[#This Row],[Ежемесячный платеж]]/(Таблица1[[#This Row],[Годовой доход]]/12)</f>
        <v>0.15199896960329726</v>
      </c>
    </row>
    <row r="520" spans="1:21" x14ac:dyDescent="0.3">
      <c r="A520">
        <v>519</v>
      </c>
      <c r="B520">
        <v>0</v>
      </c>
      <c r="C520" s="9">
        <v>268752</v>
      </c>
      <c r="D520">
        <v>747</v>
      </c>
      <c r="E520" s="1">
        <v>812364</v>
      </c>
      <c r="F520">
        <v>0</v>
      </c>
      <c r="G520">
        <v>6654.56</v>
      </c>
      <c r="H520">
        <v>15.3</v>
      </c>
      <c r="I520">
        <v>9</v>
      </c>
      <c r="J520">
        <v>278103</v>
      </c>
      <c r="K520">
        <v>615692</v>
      </c>
      <c r="L520" t="s">
        <v>29</v>
      </c>
      <c r="M520" t="s">
        <v>561</v>
      </c>
      <c r="N520" t="s">
        <v>26</v>
      </c>
      <c r="O520" t="s">
        <v>21</v>
      </c>
      <c r="P520" t="s">
        <v>22</v>
      </c>
      <c r="Q520" t="s">
        <v>23</v>
      </c>
      <c r="R520" t="b">
        <f>OR(Таблица1[[#This Row],[Ежемесячный платеж]]&lt;$AC$5, Таблица1[[#This Row],[Ежемесячный платеж]]&gt;$AC$6)</f>
        <v>0</v>
      </c>
      <c r="S520" s="9">
        <f>(Таблица1[[#This Row],[Размер кредита]]-21824)/(789096-21824)</f>
        <v>0.32182589746530565</v>
      </c>
      <c r="T520" s="9">
        <f>(Таблица1[[#This Row],[Кредитный рейтинг]]-586)/(751-586)</f>
        <v>0.97575757575757571</v>
      </c>
      <c r="U520" s="9">
        <f>Таблица1[[#This Row],[Ежемесячный платеж]]/(Таблица1[[#This Row],[Годовой доход]]/12)</f>
        <v>9.8299186079146797E-2</v>
      </c>
    </row>
    <row r="521" spans="1:21" x14ac:dyDescent="0.3">
      <c r="A521">
        <v>520</v>
      </c>
      <c r="B521">
        <v>0</v>
      </c>
      <c r="C521" s="9">
        <v>147400</v>
      </c>
      <c r="D521">
        <v>745</v>
      </c>
      <c r="E521" s="1">
        <v>2314428</v>
      </c>
      <c r="F521">
        <v>0</v>
      </c>
      <c r="G521">
        <v>20058.3</v>
      </c>
      <c r="H521">
        <v>19.8</v>
      </c>
      <c r="I521">
        <v>8</v>
      </c>
      <c r="J521">
        <v>40603</v>
      </c>
      <c r="K521">
        <v>528198</v>
      </c>
      <c r="L521" t="s">
        <v>47</v>
      </c>
      <c r="M521" t="s">
        <v>562</v>
      </c>
      <c r="N521" t="s">
        <v>26</v>
      </c>
      <c r="O521" t="s">
        <v>34</v>
      </c>
      <c r="P521" t="s">
        <v>22</v>
      </c>
      <c r="Q521" t="s">
        <v>23</v>
      </c>
      <c r="R521" t="b">
        <f>OR(Таблица1[[#This Row],[Ежемесячный платеж]]&lt;$AC$5, Таблица1[[#This Row],[Ежемесячный платеж]]&gt;$AC$6)</f>
        <v>0</v>
      </c>
      <c r="S521" s="9">
        <f>(Таблица1[[#This Row],[Размер кредита]]-21824)/(789096-21824)</f>
        <v>0.16366555797683222</v>
      </c>
      <c r="T521" s="9">
        <f>(Таблица1[[#This Row],[Кредитный рейтинг]]-586)/(751-586)</f>
        <v>0.96363636363636362</v>
      </c>
      <c r="U521" s="9">
        <f>Таблица1[[#This Row],[Ежемесячный платеж]]/(Таблица1[[#This Row],[Годовой доход]]/12)</f>
        <v>0.10399960595015269</v>
      </c>
    </row>
    <row r="522" spans="1:21" x14ac:dyDescent="0.3">
      <c r="A522">
        <v>521</v>
      </c>
      <c r="B522">
        <v>1</v>
      </c>
      <c r="C522" s="9">
        <v>263428</v>
      </c>
      <c r="D522">
        <f>$Y$13</f>
        <v>723</v>
      </c>
      <c r="E522">
        <f>$AB$13</f>
        <v>1168044</v>
      </c>
      <c r="F522">
        <v>52</v>
      </c>
      <c r="G522">
        <v>12417.64</v>
      </c>
      <c r="H522">
        <v>13.6</v>
      </c>
      <c r="I522">
        <v>5</v>
      </c>
      <c r="J522">
        <v>82023</v>
      </c>
      <c r="K522">
        <v>412984</v>
      </c>
      <c r="L522" t="s">
        <v>52</v>
      </c>
      <c r="M522" t="s">
        <v>563</v>
      </c>
      <c r="N522" t="s">
        <v>26</v>
      </c>
      <c r="O522" t="s">
        <v>21</v>
      </c>
      <c r="P522" t="s">
        <v>22</v>
      </c>
      <c r="Q522" t="s">
        <v>23</v>
      </c>
      <c r="R522" t="b">
        <f>OR(Таблица1[[#This Row],[Ежемесячный платеж]]&lt;$AC$5, Таблица1[[#This Row],[Ежемесячный платеж]]&gt;$AC$6)</f>
        <v>0</v>
      </c>
      <c r="S522" s="9">
        <f>(Таблица1[[#This Row],[Размер кредита]]-21824)/(789096-21824)</f>
        <v>0.31488702832893678</v>
      </c>
      <c r="T522" s="9">
        <f>(Таблица1[[#This Row],[Кредитный рейтинг]]-586)/(751-586)</f>
        <v>0.83030303030303032</v>
      </c>
      <c r="U522" s="9">
        <f>Таблица1[[#This Row],[Ежемесячный платеж]]/(Таблица1[[#This Row],[Годовой доход]]/12)</f>
        <v>0.12757368729260199</v>
      </c>
    </row>
    <row r="523" spans="1:21" x14ac:dyDescent="0.3">
      <c r="A523">
        <v>522</v>
      </c>
      <c r="B523">
        <v>0</v>
      </c>
      <c r="C523" s="9">
        <v>444400</v>
      </c>
      <c r="D523">
        <f>$Y$13</f>
        <v>723</v>
      </c>
      <c r="E523">
        <f>$AB$13</f>
        <v>1168044</v>
      </c>
      <c r="F523">
        <v>0</v>
      </c>
      <c r="G523">
        <v>1367.24</v>
      </c>
      <c r="H523">
        <v>9</v>
      </c>
      <c r="I523">
        <v>7</v>
      </c>
      <c r="J523">
        <v>57494</v>
      </c>
      <c r="K523">
        <v>443806</v>
      </c>
      <c r="L523" t="s">
        <v>63</v>
      </c>
      <c r="M523" t="s">
        <v>564</v>
      </c>
      <c r="N523" t="s">
        <v>26</v>
      </c>
      <c r="O523" t="s">
        <v>34</v>
      </c>
      <c r="P523" t="s">
        <v>22</v>
      </c>
      <c r="Q523" t="s">
        <v>23</v>
      </c>
      <c r="R523" t="b">
        <f>OR(Таблица1[[#This Row],[Ежемесячный платеж]]&lt;$AC$5, Таблица1[[#This Row],[Ежемесячный платеж]]&gt;$AC$6)</f>
        <v>0</v>
      </c>
      <c r="S523" s="9">
        <f>(Таблица1[[#This Row],[Размер кредита]]-21824)/(789096-21824)</f>
        <v>0.5507512329395573</v>
      </c>
      <c r="T523" s="9">
        <f>(Таблица1[[#This Row],[Кредитный рейтинг]]-586)/(751-586)</f>
        <v>0.83030303030303032</v>
      </c>
      <c r="U523" s="9">
        <f>Таблица1[[#This Row],[Ежемесячный платеж]]/(Таблица1[[#This Row],[Годовой доход]]/12)</f>
        <v>1.4046457154011321E-2</v>
      </c>
    </row>
    <row r="524" spans="1:21" x14ac:dyDescent="0.3">
      <c r="A524">
        <v>523</v>
      </c>
      <c r="B524">
        <v>0</v>
      </c>
      <c r="C524" s="9">
        <v>387288</v>
      </c>
      <c r="D524">
        <v>740</v>
      </c>
      <c r="E524" s="1">
        <v>2489988</v>
      </c>
      <c r="F524">
        <v>0</v>
      </c>
      <c r="G524">
        <v>18571.169999999998</v>
      </c>
      <c r="H524">
        <v>11.1</v>
      </c>
      <c r="I524">
        <v>12</v>
      </c>
      <c r="J524">
        <v>167276</v>
      </c>
      <c r="K524">
        <v>430408</v>
      </c>
      <c r="L524" t="s">
        <v>63</v>
      </c>
      <c r="M524" t="s">
        <v>565</v>
      </c>
      <c r="N524" t="s">
        <v>26</v>
      </c>
      <c r="O524" t="s">
        <v>34</v>
      </c>
      <c r="P524" t="s">
        <v>22</v>
      </c>
      <c r="Q524" t="s">
        <v>23</v>
      </c>
      <c r="R524" t="b">
        <f>OR(Таблица1[[#This Row],[Ежемесячный платеж]]&lt;$AC$5, Таблица1[[#This Row],[Ежемесячный платеж]]&gt;$AC$6)</f>
        <v>0</v>
      </c>
      <c r="S524" s="9">
        <f>(Таблица1[[#This Row],[Размер кредита]]-21824)/(789096-21824)</f>
        <v>0.47631609129487329</v>
      </c>
      <c r="T524" s="9">
        <f>(Таблица1[[#This Row],[Кредитный рейтинг]]-586)/(751-586)</f>
        <v>0.93333333333333335</v>
      </c>
      <c r="U524" s="9">
        <f>Таблица1[[#This Row],[Ежемесячный платеж]]/(Таблица1[[#This Row],[Годовой доход]]/12)</f>
        <v>8.950004578335316E-2</v>
      </c>
    </row>
    <row r="525" spans="1:21" x14ac:dyDescent="0.3">
      <c r="A525">
        <v>524</v>
      </c>
      <c r="B525">
        <v>0</v>
      </c>
      <c r="C525" s="9">
        <v>682858</v>
      </c>
      <c r="D525">
        <f>$Y$13</f>
        <v>723</v>
      </c>
      <c r="E525">
        <f>$AB$13</f>
        <v>1168044</v>
      </c>
      <c r="F525">
        <v>35</v>
      </c>
      <c r="G525">
        <v>33470.400000000001</v>
      </c>
      <c r="H525">
        <v>29.5</v>
      </c>
      <c r="I525">
        <v>7</v>
      </c>
      <c r="J525">
        <v>482771</v>
      </c>
      <c r="K525">
        <v>746306</v>
      </c>
      <c r="L525" t="s">
        <v>24</v>
      </c>
      <c r="M525" t="s">
        <v>566</v>
      </c>
      <c r="N525" t="s">
        <v>26</v>
      </c>
      <c r="O525" t="s">
        <v>34</v>
      </c>
      <c r="P525" t="s">
        <v>22</v>
      </c>
      <c r="Q525" t="s">
        <v>23</v>
      </c>
      <c r="R525" t="b">
        <f>OR(Таблица1[[#This Row],[Ежемесячный платеж]]&lt;$AC$5, Таблица1[[#This Row],[Ежемесячный платеж]]&gt;$AC$6)</f>
        <v>0</v>
      </c>
      <c r="S525" s="9">
        <f>(Таблица1[[#This Row],[Размер кредита]]-21824)/(789096-21824)</f>
        <v>0.86153802041518524</v>
      </c>
      <c r="T525" s="9">
        <f>(Таблица1[[#This Row],[Кредитный рейтинг]]-586)/(751-586)</f>
        <v>0.83030303030303032</v>
      </c>
      <c r="U525" s="9">
        <f>Таблица1[[#This Row],[Ежемесячный платеж]]/(Таблица1[[#This Row],[Годовой доход]]/12)</f>
        <v>0.34386101893421822</v>
      </c>
    </row>
    <row r="526" spans="1:21" x14ac:dyDescent="0.3">
      <c r="A526">
        <v>525</v>
      </c>
      <c r="B526">
        <v>1</v>
      </c>
      <c r="C526" s="9">
        <v>234762</v>
      </c>
      <c r="D526">
        <v>731</v>
      </c>
      <c r="E526" s="1">
        <v>784833</v>
      </c>
      <c r="F526">
        <v>0</v>
      </c>
      <c r="G526">
        <v>5958.21</v>
      </c>
      <c r="H526">
        <v>14.1</v>
      </c>
      <c r="I526">
        <v>4</v>
      </c>
      <c r="J526">
        <v>88122</v>
      </c>
      <c r="K526">
        <v>123398</v>
      </c>
      <c r="L526" t="s">
        <v>41</v>
      </c>
      <c r="M526" t="s">
        <v>567</v>
      </c>
      <c r="N526" t="s">
        <v>26</v>
      </c>
      <c r="O526" t="s">
        <v>34</v>
      </c>
      <c r="P526" t="s">
        <v>22</v>
      </c>
      <c r="Q526" t="s">
        <v>23</v>
      </c>
      <c r="R526" t="b">
        <f>OR(Таблица1[[#This Row],[Ежемесячный платеж]]&lt;$AC$5, Таблица1[[#This Row],[Ежемесячный платеж]]&gt;$AC$6)</f>
        <v>0</v>
      </c>
      <c r="S526" s="9">
        <f>(Таблица1[[#This Row],[Размер кредита]]-21824)/(789096-21824)</f>
        <v>0.27752609244179377</v>
      </c>
      <c r="T526" s="9">
        <f>(Таблица1[[#This Row],[Кредитный рейтинг]]-586)/(751-586)</f>
        <v>0.87878787878787878</v>
      </c>
      <c r="U526" s="9">
        <f>Таблица1[[#This Row],[Ежемесячный платеж]]/(Таблица1[[#This Row],[Годовой доход]]/12)</f>
        <v>9.1100297770353694E-2</v>
      </c>
    </row>
    <row r="527" spans="1:21" x14ac:dyDescent="0.3">
      <c r="A527">
        <v>526</v>
      </c>
      <c r="B527">
        <v>0</v>
      </c>
      <c r="C527" s="9">
        <v>107844</v>
      </c>
      <c r="D527">
        <f>$Y$13</f>
        <v>723</v>
      </c>
      <c r="E527">
        <f>$AB$13</f>
        <v>1168044</v>
      </c>
      <c r="F527">
        <v>0</v>
      </c>
      <c r="G527">
        <v>16912.47</v>
      </c>
      <c r="H527">
        <v>31.3</v>
      </c>
      <c r="I527">
        <v>12</v>
      </c>
      <c r="J527">
        <v>239058</v>
      </c>
      <c r="K527">
        <v>423896</v>
      </c>
      <c r="L527" t="s">
        <v>18</v>
      </c>
      <c r="M527" t="s">
        <v>568</v>
      </c>
      <c r="N527" t="s">
        <v>26</v>
      </c>
      <c r="O527" t="s">
        <v>21</v>
      </c>
      <c r="P527" t="s">
        <v>22</v>
      </c>
      <c r="Q527" t="s">
        <v>23</v>
      </c>
      <c r="R527" t="b">
        <f>OR(Таблица1[[#This Row],[Ежемесячный платеж]]&lt;$AC$5, Таблица1[[#This Row],[Ежемесячный платеж]]&gt;$AC$6)</f>
        <v>0</v>
      </c>
      <c r="S527" s="9">
        <f>(Таблица1[[#This Row],[Размер кредита]]-21824)/(789096-21824)</f>
        <v>0.11211148067438927</v>
      </c>
      <c r="T527" s="9">
        <f>(Таблица1[[#This Row],[Кредитный рейтинг]]-586)/(751-586)</f>
        <v>0.83030303030303032</v>
      </c>
      <c r="U527" s="9">
        <f>Таблица1[[#This Row],[Ежемесячный платеж]]/(Таблица1[[#This Row],[Годовой доход]]/12)</f>
        <v>0.17375170798360337</v>
      </c>
    </row>
    <row r="528" spans="1:21" x14ac:dyDescent="0.3">
      <c r="A528">
        <v>527</v>
      </c>
      <c r="B528">
        <v>0</v>
      </c>
      <c r="C528" s="9">
        <v>259754</v>
      </c>
      <c r="D528">
        <f>$Y$13</f>
        <v>723</v>
      </c>
      <c r="E528">
        <f>$AB$13</f>
        <v>1168044</v>
      </c>
      <c r="F528">
        <v>11</v>
      </c>
      <c r="G528">
        <v>21872.04</v>
      </c>
      <c r="H528">
        <v>13.1</v>
      </c>
      <c r="I528">
        <v>13</v>
      </c>
      <c r="J528">
        <v>209551</v>
      </c>
      <c r="K528">
        <v>441144</v>
      </c>
      <c r="L528" t="s">
        <v>24</v>
      </c>
      <c r="M528" t="s">
        <v>569</v>
      </c>
      <c r="N528" t="s">
        <v>26</v>
      </c>
      <c r="O528" t="s">
        <v>34</v>
      </c>
      <c r="P528" t="s">
        <v>31</v>
      </c>
      <c r="Q528" t="s">
        <v>36</v>
      </c>
      <c r="R528" t="b">
        <f>OR(Таблица1[[#This Row],[Ежемесячный платеж]]&lt;$AC$5, Таблица1[[#This Row],[Ежемесячный платеж]]&gt;$AC$6)</f>
        <v>0</v>
      </c>
      <c r="S528" s="9">
        <f>(Таблица1[[#This Row],[Размер кредита]]-21824)/(789096-21824)</f>
        <v>0.31009863516458308</v>
      </c>
      <c r="T528" s="9">
        <f>(Таблица1[[#This Row],[Кредитный рейтинг]]-586)/(751-586)</f>
        <v>0.83030303030303032</v>
      </c>
      <c r="U528" s="9">
        <f>Таблица1[[#This Row],[Ежемесячный платеж]]/(Таблица1[[#This Row],[Годовой доход]]/12)</f>
        <v>0.22470427483896155</v>
      </c>
    </row>
    <row r="529" spans="1:21" x14ac:dyDescent="0.3">
      <c r="A529">
        <v>528</v>
      </c>
      <c r="B529">
        <v>0</v>
      </c>
      <c r="C529" s="9">
        <v>264836</v>
      </c>
      <c r="D529">
        <v>703</v>
      </c>
      <c r="E529" s="1">
        <v>1277066</v>
      </c>
      <c r="F529">
        <v>0</v>
      </c>
      <c r="G529">
        <v>14473.44</v>
      </c>
      <c r="H529">
        <v>17.2</v>
      </c>
      <c r="I529">
        <v>7</v>
      </c>
      <c r="J529">
        <v>40280</v>
      </c>
      <c r="K529">
        <v>249370</v>
      </c>
      <c r="L529" t="s">
        <v>50</v>
      </c>
      <c r="M529" t="s">
        <v>570</v>
      </c>
      <c r="N529" t="s">
        <v>2041</v>
      </c>
      <c r="O529" t="s">
        <v>21</v>
      </c>
      <c r="P529" t="s">
        <v>31</v>
      </c>
      <c r="Q529" t="s">
        <v>23</v>
      </c>
      <c r="R529" t="b">
        <f>OR(Таблица1[[#This Row],[Ежемесячный платеж]]&lt;$AC$5, Таблица1[[#This Row],[Ежемесячный платеж]]&gt;$AC$6)</f>
        <v>0</v>
      </c>
      <c r="S529" s="9">
        <f>(Таблица1[[#This Row],[Размер кредита]]-21824)/(789096-21824)</f>
        <v>0.31672210115838972</v>
      </c>
      <c r="T529" s="9">
        <f>(Таблица1[[#This Row],[Кредитный рейтинг]]-586)/(751-586)</f>
        <v>0.70909090909090911</v>
      </c>
      <c r="U529" s="9">
        <f>Таблица1[[#This Row],[Ежемесячный платеж]]/(Таблица1[[#This Row],[Годовой доход]]/12)</f>
        <v>0.13600023804564526</v>
      </c>
    </row>
    <row r="530" spans="1:21" x14ac:dyDescent="0.3">
      <c r="A530">
        <v>529</v>
      </c>
      <c r="B530">
        <v>0</v>
      </c>
      <c r="C530" s="9">
        <v>223102</v>
      </c>
      <c r="D530">
        <v>724</v>
      </c>
      <c r="E530" s="1">
        <v>1965322</v>
      </c>
      <c r="F530">
        <v>0</v>
      </c>
      <c r="G530">
        <v>20799.68</v>
      </c>
      <c r="H530">
        <v>31</v>
      </c>
      <c r="I530">
        <v>4</v>
      </c>
      <c r="J530">
        <v>233472</v>
      </c>
      <c r="K530">
        <v>299046</v>
      </c>
      <c r="L530" t="s">
        <v>47</v>
      </c>
      <c r="M530" t="s">
        <v>571</v>
      </c>
      <c r="N530" t="s">
        <v>26</v>
      </c>
      <c r="O530" t="s">
        <v>34</v>
      </c>
      <c r="P530" t="s">
        <v>22</v>
      </c>
      <c r="Q530" t="s">
        <v>23</v>
      </c>
      <c r="R530" t="b">
        <f>OR(Таблица1[[#This Row],[Ежемесячный платеж]]&lt;$AC$5, Таблица1[[#This Row],[Ежемесячный платеж]]&gt;$AC$6)</f>
        <v>0</v>
      </c>
      <c r="S530" s="9">
        <f>(Таблица1[[#This Row],[Размер кредита]]-21824)/(789096-21824)</f>
        <v>0.26232939557288681</v>
      </c>
      <c r="T530" s="9">
        <f>(Таблица1[[#This Row],[Кредитный рейтинг]]-586)/(751-586)</f>
        <v>0.83636363636363631</v>
      </c>
      <c r="U530" s="9">
        <f>Таблица1[[#This Row],[Ежемесячный платеж]]/(Таблица1[[#This Row],[Годовой доход]]/12)</f>
        <v>0.12700013534677779</v>
      </c>
    </row>
    <row r="531" spans="1:21" x14ac:dyDescent="0.3">
      <c r="A531">
        <v>530</v>
      </c>
      <c r="B531">
        <v>2</v>
      </c>
      <c r="C531" s="9">
        <v>748154</v>
      </c>
      <c r="D531">
        <v>668</v>
      </c>
      <c r="E531" s="1">
        <v>7669160</v>
      </c>
      <c r="F531">
        <v>0</v>
      </c>
      <c r="G531">
        <v>12078.87</v>
      </c>
      <c r="H531">
        <v>20.9</v>
      </c>
      <c r="I531">
        <v>7</v>
      </c>
      <c r="J531">
        <v>46721</v>
      </c>
      <c r="K531">
        <v>314556</v>
      </c>
      <c r="L531" t="s">
        <v>32</v>
      </c>
      <c r="M531" t="s">
        <v>572</v>
      </c>
      <c r="N531" t="s">
        <v>68</v>
      </c>
      <c r="O531" t="s">
        <v>34</v>
      </c>
      <c r="P531" t="s">
        <v>22</v>
      </c>
      <c r="Q531" t="s">
        <v>23</v>
      </c>
      <c r="R531" t="b">
        <f>OR(Таблица1[[#This Row],[Ежемесячный платеж]]&lt;$AC$5, Таблица1[[#This Row],[Ежемесячный платеж]]&gt;$AC$6)</f>
        <v>0</v>
      </c>
      <c r="S531" s="9">
        <f>(Таблица1[[#This Row],[Размер кредита]]-21824)/(789096-21824)</f>
        <v>0.94663952288106434</v>
      </c>
      <c r="T531" s="9">
        <f>(Таблица1[[#This Row],[Кредитный рейтинг]]-586)/(751-586)</f>
        <v>0.49696969696969695</v>
      </c>
      <c r="U531" s="9">
        <f>Таблица1[[#This Row],[Ежемесячный платеж]]/(Таблица1[[#This Row],[Годовой доход]]/12)</f>
        <v>1.8899910811614313E-2</v>
      </c>
    </row>
    <row r="532" spans="1:21" x14ac:dyDescent="0.3">
      <c r="A532">
        <v>531</v>
      </c>
      <c r="B532">
        <v>1</v>
      </c>
      <c r="C532" s="9">
        <v>434896</v>
      </c>
      <c r="D532">
        <v>723</v>
      </c>
      <c r="E532" s="1">
        <v>1032878</v>
      </c>
      <c r="F532">
        <v>0</v>
      </c>
      <c r="G532">
        <v>20657.560000000001</v>
      </c>
      <c r="H532">
        <v>18.600000000000001</v>
      </c>
      <c r="I532">
        <v>12</v>
      </c>
      <c r="J532">
        <v>313595</v>
      </c>
      <c r="K532">
        <v>459052</v>
      </c>
      <c r="L532" t="s">
        <v>18</v>
      </c>
      <c r="M532" t="s">
        <v>573</v>
      </c>
      <c r="N532" t="s">
        <v>26</v>
      </c>
      <c r="O532" t="s">
        <v>34</v>
      </c>
      <c r="P532" t="s">
        <v>31</v>
      </c>
      <c r="Q532" t="s">
        <v>23</v>
      </c>
      <c r="R532" t="b">
        <f>OR(Таблица1[[#This Row],[Ежемесячный платеж]]&lt;$AC$5, Таблица1[[#This Row],[Ежемесячный платеж]]&gt;$AC$6)</f>
        <v>0</v>
      </c>
      <c r="S532" s="9">
        <f>(Таблица1[[#This Row],[Размер кредита]]-21824)/(789096-21824)</f>
        <v>0.53836449134075004</v>
      </c>
      <c r="T532" s="9">
        <f>(Таблица1[[#This Row],[Кредитный рейтинг]]-586)/(751-586)</f>
        <v>0.83030303030303032</v>
      </c>
      <c r="U532" s="9">
        <f>Таблица1[[#This Row],[Ежемесячный платеж]]/(Таблица1[[#This Row],[Годовой доход]]/12)</f>
        <v>0.24</v>
      </c>
    </row>
    <row r="533" spans="1:21" x14ac:dyDescent="0.3">
      <c r="A533">
        <v>532</v>
      </c>
      <c r="B533">
        <v>0</v>
      </c>
      <c r="C533" s="9">
        <v>156552</v>
      </c>
      <c r="D533">
        <v>720</v>
      </c>
      <c r="E533" s="1">
        <v>1840397</v>
      </c>
      <c r="F533">
        <v>45</v>
      </c>
      <c r="G533">
        <v>31440.25</v>
      </c>
      <c r="H533">
        <v>19.100000000000001</v>
      </c>
      <c r="I533">
        <v>10</v>
      </c>
      <c r="J533">
        <v>258400</v>
      </c>
      <c r="K533">
        <v>406538</v>
      </c>
      <c r="L533" t="s">
        <v>24</v>
      </c>
      <c r="M533" t="s">
        <v>574</v>
      </c>
      <c r="N533" t="s">
        <v>26</v>
      </c>
      <c r="O533" t="s">
        <v>21</v>
      </c>
      <c r="P533" t="s">
        <v>22</v>
      </c>
      <c r="Q533" t="s">
        <v>23</v>
      </c>
      <c r="R533" t="b">
        <f>OR(Таблица1[[#This Row],[Ежемесячный платеж]]&lt;$AC$5, Таблица1[[#This Row],[Ежемесячный платеж]]&gt;$AC$6)</f>
        <v>0</v>
      </c>
      <c r="S533" s="9">
        <f>(Таблица1[[#This Row],[Размер кредита]]-21824)/(789096-21824)</f>
        <v>0.17559353136827618</v>
      </c>
      <c r="T533" s="9">
        <f>(Таблица1[[#This Row],[Кредитный рейтинг]]-586)/(751-586)</f>
        <v>0.81212121212121213</v>
      </c>
      <c r="U533" s="9">
        <f>Таблица1[[#This Row],[Ежемесячный платеж]]/(Таблица1[[#This Row],[Годовой доход]]/12)</f>
        <v>0.2050008775280551</v>
      </c>
    </row>
    <row r="534" spans="1:21" x14ac:dyDescent="0.3">
      <c r="A534">
        <v>533</v>
      </c>
      <c r="B534">
        <v>0</v>
      </c>
      <c r="C534" s="9">
        <v>132000</v>
      </c>
      <c r="D534">
        <v>713</v>
      </c>
      <c r="E534" s="1">
        <v>440895</v>
      </c>
      <c r="F534">
        <v>0</v>
      </c>
      <c r="G534">
        <v>6797.06</v>
      </c>
      <c r="H534">
        <v>11.9</v>
      </c>
      <c r="I534">
        <v>11</v>
      </c>
      <c r="J534">
        <v>207347</v>
      </c>
      <c r="K534">
        <v>301246</v>
      </c>
      <c r="L534" t="s">
        <v>47</v>
      </c>
      <c r="M534" t="s">
        <v>575</v>
      </c>
      <c r="N534" t="s">
        <v>26</v>
      </c>
      <c r="O534" t="s">
        <v>21</v>
      </c>
      <c r="P534" t="s">
        <v>22</v>
      </c>
      <c r="Q534" t="s">
        <v>23</v>
      </c>
      <c r="R534" t="b">
        <f>OR(Таблица1[[#This Row],[Ежемесячный платеж]]&lt;$AC$5, Таблица1[[#This Row],[Ежемесячный платеж]]&gt;$AC$6)</f>
        <v>0</v>
      </c>
      <c r="S534" s="9">
        <f>(Таблица1[[#This Row],[Размер кредита]]-21824)/(789096-21824)</f>
        <v>0.14359444890469089</v>
      </c>
      <c r="T534" s="9">
        <f>(Таблица1[[#This Row],[Кредитный рейтинг]]-586)/(751-586)</f>
        <v>0.76969696969696966</v>
      </c>
      <c r="U534" s="9">
        <f>Таблица1[[#This Row],[Ежемесячный платеж]]/(Таблица1[[#This Row],[Годовой доход]]/12)</f>
        <v>0.18499806076276665</v>
      </c>
    </row>
    <row r="535" spans="1:21" x14ac:dyDescent="0.3">
      <c r="A535">
        <v>534</v>
      </c>
      <c r="B535">
        <v>0</v>
      </c>
      <c r="C535" s="9">
        <v>358116</v>
      </c>
      <c r="D535">
        <v>721</v>
      </c>
      <c r="E535" s="1">
        <v>1507783</v>
      </c>
      <c r="F535">
        <v>0</v>
      </c>
      <c r="G535">
        <v>34679.18</v>
      </c>
      <c r="H535">
        <v>19</v>
      </c>
      <c r="I535">
        <v>7</v>
      </c>
      <c r="J535">
        <v>760399</v>
      </c>
      <c r="K535">
        <v>928774</v>
      </c>
      <c r="L535" t="s">
        <v>29</v>
      </c>
      <c r="M535" t="s">
        <v>576</v>
      </c>
      <c r="N535" t="s">
        <v>103</v>
      </c>
      <c r="O535" t="s">
        <v>21</v>
      </c>
      <c r="P535" t="s">
        <v>31</v>
      </c>
      <c r="Q535" t="s">
        <v>23</v>
      </c>
      <c r="R535" t="b">
        <f>OR(Таблица1[[#This Row],[Ежемесячный платеж]]&lt;$AC$5, Таблица1[[#This Row],[Ежемесячный платеж]]&gt;$AC$6)</f>
        <v>0</v>
      </c>
      <c r="S535" s="9">
        <f>(Таблица1[[#This Row],[Размер кредита]]-21824)/(789096-21824)</f>
        <v>0.43829567610964559</v>
      </c>
      <c r="T535" s="9">
        <f>(Таблица1[[#This Row],[Кредитный рейтинг]]-586)/(751-586)</f>
        <v>0.81818181818181823</v>
      </c>
      <c r="U535" s="9">
        <f>Таблица1[[#This Row],[Ежемесячный платеж]]/(Таблица1[[#This Row],[Годовой доход]]/12)</f>
        <v>0.27600136093854355</v>
      </c>
    </row>
    <row r="536" spans="1:21" x14ac:dyDescent="0.3">
      <c r="A536">
        <v>535</v>
      </c>
      <c r="B536">
        <v>1</v>
      </c>
      <c r="C536" s="9">
        <v>224598</v>
      </c>
      <c r="D536">
        <f>$Y$13</f>
        <v>723</v>
      </c>
      <c r="E536">
        <f>$AB$13</f>
        <v>1168044</v>
      </c>
      <c r="F536">
        <v>7</v>
      </c>
      <c r="G536">
        <v>16325.94</v>
      </c>
      <c r="H536">
        <v>30.5</v>
      </c>
      <c r="I536">
        <v>22</v>
      </c>
      <c r="J536">
        <v>107616</v>
      </c>
      <c r="K536">
        <v>2009788</v>
      </c>
      <c r="L536" t="s">
        <v>32</v>
      </c>
      <c r="M536" t="s">
        <v>577</v>
      </c>
      <c r="N536" t="s">
        <v>68</v>
      </c>
      <c r="O536" t="s">
        <v>21</v>
      </c>
      <c r="P536" t="s">
        <v>22</v>
      </c>
      <c r="Q536" t="s">
        <v>23</v>
      </c>
      <c r="R536" t="b">
        <f>OR(Таблица1[[#This Row],[Ежемесячный платеж]]&lt;$AC$5, Таблица1[[#This Row],[Ежемесячный платеж]]&gt;$AC$6)</f>
        <v>0</v>
      </c>
      <c r="S536" s="9">
        <f>(Таблица1[[#This Row],[Размер кредита]]-21824)/(789096-21824)</f>
        <v>0.26427916045418054</v>
      </c>
      <c r="T536" s="9">
        <f>(Таблица1[[#This Row],[Кредитный рейтинг]]-586)/(751-586)</f>
        <v>0.83030303030303032</v>
      </c>
      <c r="U536" s="9">
        <f>Таблица1[[#This Row],[Ежемесячный платеж]]/(Таблица1[[#This Row],[Годовой доход]]/12)</f>
        <v>0.16772594183095843</v>
      </c>
    </row>
    <row r="537" spans="1:21" x14ac:dyDescent="0.3">
      <c r="A537">
        <v>536</v>
      </c>
      <c r="B537">
        <v>0</v>
      </c>
      <c r="C537" s="9">
        <v>108130</v>
      </c>
      <c r="D537">
        <v>730</v>
      </c>
      <c r="E537" s="1">
        <v>672372</v>
      </c>
      <c r="F537">
        <v>53</v>
      </c>
      <c r="G537">
        <v>7883.48</v>
      </c>
      <c r="H537">
        <v>13.4</v>
      </c>
      <c r="I537">
        <v>6</v>
      </c>
      <c r="J537">
        <v>216068</v>
      </c>
      <c r="K537">
        <v>674366</v>
      </c>
      <c r="L537" t="s">
        <v>41</v>
      </c>
      <c r="M537" t="s">
        <v>578</v>
      </c>
      <c r="N537" t="s">
        <v>99</v>
      </c>
      <c r="O537" t="s">
        <v>34</v>
      </c>
      <c r="P537" t="s">
        <v>31</v>
      </c>
      <c r="Q537" t="s">
        <v>36</v>
      </c>
      <c r="R537" t="b">
        <f>OR(Таблица1[[#This Row],[Ежемесячный платеж]]&lt;$AC$5, Таблица1[[#This Row],[Ежемесячный платеж]]&gt;$AC$6)</f>
        <v>0</v>
      </c>
      <c r="S537" s="9">
        <f>(Таблица1[[#This Row],[Размер кредита]]-21824)/(789096-21824)</f>
        <v>0.11248422984287189</v>
      </c>
      <c r="T537" s="9">
        <f>(Таблица1[[#This Row],[Кредитный рейтинг]]-586)/(751-586)</f>
        <v>0.87272727272727268</v>
      </c>
      <c r="U537" s="9">
        <f>Таблица1[[#This Row],[Ежемесячный платеж]]/(Таблица1[[#This Row],[Годовой доход]]/12)</f>
        <v>0.1406985418786029</v>
      </c>
    </row>
    <row r="538" spans="1:21" x14ac:dyDescent="0.3">
      <c r="A538">
        <v>537</v>
      </c>
      <c r="B538">
        <v>0</v>
      </c>
      <c r="C538" s="9">
        <v>526460</v>
      </c>
      <c r="D538">
        <v>688</v>
      </c>
      <c r="E538" s="1">
        <v>1041979</v>
      </c>
      <c r="F538">
        <v>0</v>
      </c>
      <c r="G538">
        <v>28306.959999999999</v>
      </c>
      <c r="H538">
        <v>30.8</v>
      </c>
      <c r="I538">
        <v>20</v>
      </c>
      <c r="J538">
        <v>157434</v>
      </c>
      <c r="K538">
        <v>197494</v>
      </c>
      <c r="L538" t="s">
        <v>29</v>
      </c>
      <c r="M538" t="s">
        <v>579</v>
      </c>
      <c r="N538" t="s">
        <v>26</v>
      </c>
      <c r="O538" t="s">
        <v>21</v>
      </c>
      <c r="P538" t="s">
        <v>31</v>
      </c>
      <c r="Q538" t="s">
        <v>36</v>
      </c>
      <c r="R538" t="b">
        <f>OR(Таблица1[[#This Row],[Ежемесячный платеж]]&lt;$AC$5, Таблица1[[#This Row],[Ежемесячный платеж]]&gt;$AC$6)</f>
        <v>0</v>
      </c>
      <c r="S538" s="9">
        <f>(Таблица1[[#This Row],[Размер кредита]]-21824)/(789096-21824)</f>
        <v>0.65770157128111018</v>
      </c>
      <c r="T538" s="9">
        <f>(Таблица1[[#This Row],[Кредитный рейтинг]]-586)/(751-586)</f>
        <v>0.61818181818181817</v>
      </c>
      <c r="U538" s="9">
        <f>Таблица1[[#This Row],[Ежемесячный платеж]]/(Таблица1[[#This Row],[Годовой доход]]/12)</f>
        <v>0.32599843183020005</v>
      </c>
    </row>
    <row r="539" spans="1:21" x14ac:dyDescent="0.3">
      <c r="A539">
        <v>538</v>
      </c>
      <c r="B539">
        <v>0</v>
      </c>
      <c r="C539" s="9">
        <v>608014</v>
      </c>
      <c r="D539">
        <v>709</v>
      </c>
      <c r="E539" s="1">
        <v>1067686</v>
      </c>
      <c r="F539">
        <v>13</v>
      </c>
      <c r="G539">
        <v>16460.080000000002</v>
      </c>
      <c r="H539">
        <v>18.100000000000001</v>
      </c>
      <c r="I539">
        <v>7</v>
      </c>
      <c r="J539">
        <v>88084</v>
      </c>
      <c r="K539">
        <v>352946</v>
      </c>
      <c r="L539" t="s">
        <v>69</v>
      </c>
      <c r="M539" t="s">
        <v>580</v>
      </c>
      <c r="N539" t="s">
        <v>71</v>
      </c>
      <c r="O539" t="s">
        <v>21</v>
      </c>
      <c r="P539" t="s">
        <v>22</v>
      </c>
      <c r="Q539" t="s">
        <v>23</v>
      </c>
      <c r="R539" t="b">
        <f>OR(Таблица1[[#This Row],[Ежемесячный платеж]]&lt;$AC$5, Таблица1[[#This Row],[Ежемесячный платеж]]&gt;$AC$6)</f>
        <v>0</v>
      </c>
      <c r="S539" s="9">
        <f>(Таблица1[[#This Row],[Размер кредита]]-21824)/(789096-21824)</f>
        <v>0.76399243032457853</v>
      </c>
      <c r="T539" s="9">
        <f>(Таблица1[[#This Row],[Кредитный рейтинг]]-586)/(751-586)</f>
        <v>0.74545454545454548</v>
      </c>
      <c r="U539" s="9">
        <f>Таблица1[[#This Row],[Ежемесячный платеж]]/(Таблица1[[#This Row],[Годовой доход]]/12)</f>
        <v>0.18499911022529097</v>
      </c>
    </row>
    <row r="540" spans="1:21" x14ac:dyDescent="0.3">
      <c r="A540">
        <v>539</v>
      </c>
      <c r="B540">
        <v>0</v>
      </c>
      <c r="C540" s="9">
        <v>435864</v>
      </c>
      <c r="D540">
        <f>$Y$13</f>
        <v>723</v>
      </c>
      <c r="E540">
        <f>$AB$13</f>
        <v>1168044</v>
      </c>
      <c r="F540">
        <v>34</v>
      </c>
      <c r="G540">
        <v>15429.9</v>
      </c>
      <c r="H540">
        <v>17.3</v>
      </c>
      <c r="I540">
        <v>19</v>
      </c>
      <c r="J540">
        <v>338485</v>
      </c>
      <c r="K540">
        <v>928730</v>
      </c>
      <c r="L540" t="s">
        <v>50</v>
      </c>
      <c r="M540" t="s">
        <v>581</v>
      </c>
      <c r="N540" t="s">
        <v>26</v>
      </c>
      <c r="O540" t="s">
        <v>34</v>
      </c>
      <c r="P540" t="s">
        <v>31</v>
      </c>
      <c r="Q540" t="s">
        <v>36</v>
      </c>
      <c r="R540" t="b">
        <f>OR(Таблица1[[#This Row],[Ежемесячный платеж]]&lt;$AC$5, Таблица1[[#This Row],[Ежемесячный платеж]]&gt;$AC$6)</f>
        <v>0</v>
      </c>
      <c r="S540" s="9">
        <f>(Таблица1[[#This Row],[Размер кредита]]-21824)/(789096-21824)</f>
        <v>0.53962610391099897</v>
      </c>
      <c r="T540" s="9">
        <f>(Таблица1[[#This Row],[Кредитный рейтинг]]-586)/(751-586)</f>
        <v>0.83030303030303032</v>
      </c>
      <c r="U540" s="9">
        <f>Таблица1[[#This Row],[Ежемесячный платеж]]/(Таблица1[[#This Row],[Годовой доход]]/12)</f>
        <v>0.15852039820417724</v>
      </c>
    </row>
    <row r="541" spans="1:21" x14ac:dyDescent="0.3">
      <c r="A541">
        <v>540</v>
      </c>
      <c r="B541">
        <v>0</v>
      </c>
      <c r="C541" s="9">
        <v>436524</v>
      </c>
      <c r="D541">
        <f>$Y$13</f>
        <v>723</v>
      </c>
      <c r="E541">
        <f>$AB$13</f>
        <v>1168044</v>
      </c>
      <c r="F541">
        <v>7</v>
      </c>
      <c r="G541">
        <v>11100.18</v>
      </c>
      <c r="H541">
        <v>20</v>
      </c>
      <c r="I541">
        <v>17</v>
      </c>
      <c r="J541">
        <v>364192</v>
      </c>
      <c r="K541">
        <v>2652232</v>
      </c>
      <c r="L541" t="s">
        <v>24</v>
      </c>
      <c r="M541" t="s">
        <v>582</v>
      </c>
      <c r="N541" t="s">
        <v>26</v>
      </c>
      <c r="O541" t="s">
        <v>21</v>
      </c>
      <c r="P541" t="s">
        <v>31</v>
      </c>
      <c r="Q541" t="s">
        <v>23</v>
      </c>
      <c r="R541" t="b">
        <f>OR(Таблица1[[#This Row],[Ежемесячный платеж]]&lt;$AC$5, Таблица1[[#This Row],[Ежемесячный платеж]]&gt;$AC$6)</f>
        <v>0</v>
      </c>
      <c r="S541" s="9">
        <f>(Таблица1[[#This Row],[Размер кредита]]-21824)/(789096-21824)</f>
        <v>0.54048629429980499</v>
      </c>
      <c r="T541" s="9">
        <f>(Таблица1[[#This Row],[Кредитный рейтинг]]-586)/(751-586)</f>
        <v>0.83030303030303032</v>
      </c>
      <c r="U541" s="9">
        <f>Таблица1[[#This Row],[Ежемесячный платеж]]/(Таблица1[[#This Row],[Годовой доход]]/12)</f>
        <v>0.11403864922896741</v>
      </c>
    </row>
    <row r="542" spans="1:21" x14ac:dyDescent="0.3">
      <c r="A542">
        <v>541</v>
      </c>
      <c r="B542">
        <v>0</v>
      </c>
      <c r="C542" s="9">
        <v>288354</v>
      </c>
      <c r="D542">
        <v>618</v>
      </c>
      <c r="E542" s="1">
        <v>2298696</v>
      </c>
      <c r="F542">
        <v>0</v>
      </c>
      <c r="G542">
        <v>33331.129999999997</v>
      </c>
      <c r="H542">
        <v>15.5</v>
      </c>
      <c r="I542">
        <v>18</v>
      </c>
      <c r="J542">
        <v>657913</v>
      </c>
      <c r="K542">
        <v>1429230</v>
      </c>
      <c r="L542" t="s">
        <v>24</v>
      </c>
      <c r="M542" t="s">
        <v>583</v>
      </c>
      <c r="N542" t="s">
        <v>68</v>
      </c>
      <c r="O542" t="s">
        <v>21</v>
      </c>
      <c r="P542" t="s">
        <v>31</v>
      </c>
      <c r="Q542" t="s">
        <v>36</v>
      </c>
      <c r="R542" t="b">
        <f>OR(Таблица1[[#This Row],[Ежемесячный платеж]]&lt;$AC$5, Таблица1[[#This Row],[Ежемесячный платеж]]&gt;$AC$6)</f>
        <v>0</v>
      </c>
      <c r="S542" s="9">
        <f>(Таблица1[[#This Row],[Размер кредита]]-21824)/(789096-21824)</f>
        <v>0.34737355201284553</v>
      </c>
      <c r="T542" s="9">
        <f>(Таблица1[[#This Row],[Кредитный рейтинг]]-586)/(751-586)</f>
        <v>0.19393939393939394</v>
      </c>
      <c r="U542" s="9">
        <f>Таблица1[[#This Row],[Ежемесячный платеж]]/(Таблица1[[#This Row],[Годовой доход]]/12)</f>
        <v>0.1740001983733386</v>
      </c>
    </row>
    <row r="543" spans="1:21" x14ac:dyDescent="0.3">
      <c r="A543">
        <v>542</v>
      </c>
      <c r="B543">
        <v>1</v>
      </c>
      <c r="C543" s="9">
        <v>132462</v>
      </c>
      <c r="D543">
        <v>691</v>
      </c>
      <c r="E543" s="1">
        <v>781736</v>
      </c>
      <c r="F543">
        <v>0</v>
      </c>
      <c r="G543">
        <v>4156.0600000000004</v>
      </c>
      <c r="H543">
        <v>15.6</v>
      </c>
      <c r="I543">
        <v>4</v>
      </c>
      <c r="J543">
        <v>82517</v>
      </c>
      <c r="K543">
        <v>203302</v>
      </c>
      <c r="L543" t="s">
        <v>24</v>
      </c>
      <c r="M543" t="s">
        <v>584</v>
      </c>
      <c r="N543" t="s">
        <v>26</v>
      </c>
      <c r="O543" t="s">
        <v>21</v>
      </c>
      <c r="P543" t="s">
        <v>22</v>
      </c>
      <c r="Q543" t="s">
        <v>23</v>
      </c>
      <c r="R543" t="b">
        <f>OR(Таблица1[[#This Row],[Ежемесячный платеж]]&lt;$AC$5, Таблица1[[#This Row],[Ежемесячный платеж]]&gt;$AC$6)</f>
        <v>0</v>
      </c>
      <c r="S543" s="9">
        <f>(Таблица1[[#This Row],[Размер кредита]]-21824)/(789096-21824)</f>
        <v>0.14419658217685513</v>
      </c>
      <c r="T543" s="9">
        <f>(Таблица1[[#This Row],[Кредитный рейтинг]]-586)/(751-586)</f>
        <v>0.63636363636363635</v>
      </c>
      <c r="U543" s="9">
        <f>Таблица1[[#This Row],[Ежемесячный платеж]]/(Таблица1[[#This Row],[Годовой доход]]/12)</f>
        <v>6.3797394516818984E-2</v>
      </c>
    </row>
    <row r="544" spans="1:21" x14ac:dyDescent="0.3">
      <c r="A544">
        <v>543</v>
      </c>
      <c r="B544">
        <v>0</v>
      </c>
      <c r="D544">
        <v>747</v>
      </c>
      <c r="E544" s="1">
        <v>805030</v>
      </c>
      <c r="F544">
        <v>53</v>
      </c>
      <c r="G544">
        <v>7781.83</v>
      </c>
      <c r="H544">
        <v>18.2</v>
      </c>
      <c r="I544">
        <v>19</v>
      </c>
      <c r="J544">
        <v>152969</v>
      </c>
      <c r="K544">
        <v>487938</v>
      </c>
      <c r="L544" t="s">
        <v>41</v>
      </c>
      <c r="M544" t="s">
        <v>585</v>
      </c>
      <c r="N544" t="s">
        <v>26</v>
      </c>
      <c r="O544" t="s">
        <v>34</v>
      </c>
      <c r="P544" t="s">
        <v>22</v>
      </c>
      <c r="Q544" t="s">
        <v>23</v>
      </c>
      <c r="R544" t="b">
        <f>OR(Таблица1[[#This Row],[Ежемесячный платеж]]&lt;$AC$5, Таблица1[[#This Row],[Ежемесячный платеж]]&gt;$AC$6)</f>
        <v>0</v>
      </c>
      <c r="T544" s="9">
        <f>(Таблица1[[#This Row],[Кредитный рейтинг]]-586)/(751-586)</f>
        <v>0.97575757575757571</v>
      </c>
      <c r="U544" s="9">
        <f>Таблица1[[#This Row],[Ежемесячный платеж]]/(Таблица1[[#This Row],[Годовой доход]]/12)</f>
        <v>0.11599811187160727</v>
      </c>
    </row>
    <row r="545" spans="1:21" x14ac:dyDescent="0.3">
      <c r="A545">
        <v>544</v>
      </c>
      <c r="B545">
        <v>1</v>
      </c>
      <c r="D545">
        <v>716</v>
      </c>
      <c r="E545" s="1">
        <v>2197901</v>
      </c>
      <c r="F545">
        <v>0</v>
      </c>
      <c r="G545">
        <v>21429.53</v>
      </c>
      <c r="H545">
        <v>27.7</v>
      </c>
      <c r="I545">
        <v>8</v>
      </c>
      <c r="J545">
        <v>40945</v>
      </c>
      <c r="K545">
        <v>49390</v>
      </c>
      <c r="L545" t="s">
        <v>32</v>
      </c>
      <c r="M545" t="s">
        <v>586</v>
      </c>
      <c r="N545" t="s">
        <v>20</v>
      </c>
      <c r="O545" t="s">
        <v>21</v>
      </c>
      <c r="P545" t="s">
        <v>22</v>
      </c>
      <c r="Q545" t="s">
        <v>23</v>
      </c>
      <c r="R545" t="b">
        <f>OR(Таблица1[[#This Row],[Ежемесячный платеж]]&lt;$AC$5, Таблица1[[#This Row],[Ежемесячный платеж]]&gt;$AC$6)</f>
        <v>0</v>
      </c>
      <c r="T545" s="9">
        <f>(Таблица1[[#This Row],[Кредитный рейтинг]]-586)/(751-586)</f>
        <v>0.78787878787878785</v>
      </c>
      <c r="U545" s="9">
        <f>Таблица1[[#This Row],[Ежемесячный платеж]]/(Таблица1[[#This Row],[Годовой доход]]/12)</f>
        <v>0.11699997406616586</v>
      </c>
    </row>
    <row r="546" spans="1:21" x14ac:dyDescent="0.3">
      <c r="A546">
        <v>545</v>
      </c>
      <c r="B546">
        <v>0</v>
      </c>
      <c r="C546" s="9">
        <v>306482</v>
      </c>
      <c r="D546">
        <v>740</v>
      </c>
      <c r="E546" s="1">
        <v>1134414</v>
      </c>
      <c r="F546">
        <v>41</v>
      </c>
      <c r="G546">
        <v>22688.28</v>
      </c>
      <c r="H546">
        <v>19.600000000000001</v>
      </c>
      <c r="I546">
        <v>12</v>
      </c>
      <c r="J546">
        <v>194389</v>
      </c>
      <c r="K546">
        <v>389400</v>
      </c>
      <c r="L546" t="s">
        <v>24</v>
      </c>
      <c r="M546" t="s">
        <v>587</v>
      </c>
      <c r="N546" t="s">
        <v>26</v>
      </c>
      <c r="O546" t="s">
        <v>34</v>
      </c>
      <c r="P546" t="s">
        <v>22</v>
      </c>
      <c r="Q546" t="s">
        <v>23</v>
      </c>
      <c r="R546" t="b">
        <f>OR(Таблица1[[#This Row],[Ежемесячный платеж]]&lt;$AC$5, Таблица1[[#This Row],[Ежемесячный платеж]]&gt;$AC$6)</f>
        <v>0</v>
      </c>
      <c r="S546" s="9">
        <f>(Таблица1[[#This Row],[Размер кредита]]-21824)/(789096-21824)</f>
        <v>0.37100011469205185</v>
      </c>
      <c r="T546" s="9">
        <f>(Таблица1[[#This Row],[Кредитный рейтинг]]-586)/(751-586)</f>
        <v>0.93333333333333335</v>
      </c>
      <c r="U546" s="9">
        <f>Таблица1[[#This Row],[Ежемесячный платеж]]/(Таблица1[[#This Row],[Годовой доход]]/12)</f>
        <v>0.24</v>
      </c>
    </row>
    <row r="547" spans="1:21" x14ac:dyDescent="0.3">
      <c r="A547">
        <v>546</v>
      </c>
      <c r="B547">
        <v>0</v>
      </c>
      <c r="C547" s="9">
        <v>246620</v>
      </c>
      <c r="D547">
        <f>$Y$13</f>
        <v>723</v>
      </c>
      <c r="E547">
        <f>$AB$13</f>
        <v>1168044</v>
      </c>
      <c r="F547">
        <v>0</v>
      </c>
      <c r="G547">
        <v>12994.86</v>
      </c>
      <c r="H547">
        <v>32.200000000000003</v>
      </c>
      <c r="I547">
        <v>9</v>
      </c>
      <c r="J547">
        <v>202559</v>
      </c>
      <c r="K547">
        <v>264110</v>
      </c>
      <c r="L547" t="s">
        <v>24</v>
      </c>
      <c r="M547" t="s">
        <v>588</v>
      </c>
      <c r="N547" t="s">
        <v>26</v>
      </c>
      <c r="O547" t="s">
        <v>34</v>
      </c>
      <c r="P547" t="s">
        <v>31</v>
      </c>
      <c r="Q547" t="s">
        <v>23</v>
      </c>
      <c r="R547" t="b">
        <f>OR(Таблица1[[#This Row],[Ежемесячный платеж]]&lt;$AC$5, Таблица1[[#This Row],[Ежемесячный платеж]]&gt;$AC$6)</f>
        <v>0</v>
      </c>
      <c r="S547" s="9">
        <f>(Таблица1[[#This Row],[Размер кредита]]-21824)/(789096-21824)</f>
        <v>0.29298084642734257</v>
      </c>
      <c r="T547" s="9">
        <f>(Таблица1[[#This Row],[Кредитный рейтинг]]-586)/(751-586)</f>
        <v>0.83030303030303032</v>
      </c>
      <c r="U547" s="9">
        <f>Таблица1[[#This Row],[Ежемесячный платеж]]/(Таблица1[[#This Row],[Годовой доход]]/12)</f>
        <v>0.1335038063634589</v>
      </c>
    </row>
    <row r="548" spans="1:21" x14ac:dyDescent="0.3">
      <c r="A548">
        <v>547</v>
      </c>
      <c r="B548">
        <v>0</v>
      </c>
      <c r="C548" s="9">
        <v>327866</v>
      </c>
      <c r="D548">
        <v>726</v>
      </c>
      <c r="E548" s="1">
        <v>1359108</v>
      </c>
      <c r="F548">
        <v>70</v>
      </c>
      <c r="G548">
        <v>5742.18</v>
      </c>
      <c r="H548">
        <v>16.2</v>
      </c>
      <c r="I548">
        <v>11</v>
      </c>
      <c r="J548">
        <v>164958</v>
      </c>
      <c r="K548">
        <v>427306</v>
      </c>
      <c r="L548" t="s">
        <v>18</v>
      </c>
      <c r="M548" t="s">
        <v>589</v>
      </c>
      <c r="N548" t="s">
        <v>26</v>
      </c>
      <c r="O548" t="s">
        <v>28</v>
      </c>
      <c r="P548" t="s">
        <v>22</v>
      </c>
      <c r="Q548" t="s">
        <v>23</v>
      </c>
      <c r="R548" t="b">
        <f>OR(Таблица1[[#This Row],[Ежемесячный платеж]]&lt;$AC$5, Таблица1[[#This Row],[Ежемесячный платеж]]&gt;$AC$6)</f>
        <v>0</v>
      </c>
      <c r="S548" s="9">
        <f>(Таблица1[[#This Row],[Размер кредита]]-21824)/(789096-21824)</f>
        <v>0.39887028328936802</v>
      </c>
      <c r="T548" s="9">
        <f>(Таблица1[[#This Row],[Кредитный рейтинг]]-586)/(751-586)</f>
        <v>0.84848484848484851</v>
      </c>
      <c r="U548" s="9">
        <f>Таблица1[[#This Row],[Ежемесячный платеж]]/(Таблица1[[#This Row],[Годовой доход]]/12)</f>
        <v>5.069954705586311E-2</v>
      </c>
    </row>
    <row r="549" spans="1:21" x14ac:dyDescent="0.3">
      <c r="A549">
        <v>548</v>
      </c>
      <c r="B549">
        <v>0</v>
      </c>
      <c r="D549">
        <v>739</v>
      </c>
      <c r="E549" s="1">
        <v>1029439</v>
      </c>
      <c r="F549">
        <v>20</v>
      </c>
      <c r="G549">
        <v>12696.18</v>
      </c>
      <c r="H549">
        <v>14.5</v>
      </c>
      <c r="I549">
        <v>13</v>
      </c>
      <c r="J549">
        <v>76760</v>
      </c>
      <c r="K549">
        <v>305426</v>
      </c>
      <c r="L549" t="s">
        <v>24</v>
      </c>
      <c r="M549" t="s">
        <v>590</v>
      </c>
      <c r="N549" t="s">
        <v>26</v>
      </c>
      <c r="O549" t="s">
        <v>34</v>
      </c>
      <c r="P549" t="s">
        <v>22</v>
      </c>
      <c r="Q549" t="s">
        <v>23</v>
      </c>
      <c r="R549" t="b">
        <f>OR(Таблица1[[#This Row],[Ежемесячный платеж]]&lt;$AC$5, Таблица1[[#This Row],[Ежемесячный платеж]]&gt;$AC$6)</f>
        <v>0</v>
      </c>
      <c r="T549" s="9">
        <f>(Таблица1[[#This Row],[Кредитный рейтинг]]-586)/(751-586)</f>
        <v>0.92727272727272725</v>
      </c>
      <c r="U549" s="9">
        <f>Таблица1[[#This Row],[Ежемесячный платеж]]/(Таблица1[[#This Row],[Годовой доход]]/12)</f>
        <v>0.14799726841512709</v>
      </c>
    </row>
    <row r="550" spans="1:21" x14ac:dyDescent="0.3">
      <c r="A550">
        <v>549</v>
      </c>
      <c r="B550">
        <v>0</v>
      </c>
      <c r="D550">
        <v>719</v>
      </c>
      <c r="E550" s="1">
        <v>1090543</v>
      </c>
      <c r="F550">
        <v>0</v>
      </c>
      <c r="G550">
        <v>26718.18</v>
      </c>
      <c r="H550">
        <v>20.9</v>
      </c>
      <c r="I550">
        <v>15</v>
      </c>
      <c r="J550">
        <v>264461</v>
      </c>
      <c r="K550">
        <v>407176</v>
      </c>
      <c r="L550" t="s">
        <v>24</v>
      </c>
      <c r="M550" t="s">
        <v>591</v>
      </c>
      <c r="N550" t="s">
        <v>26</v>
      </c>
      <c r="O550" t="s">
        <v>34</v>
      </c>
      <c r="P550" t="s">
        <v>31</v>
      </c>
      <c r="Q550" t="s">
        <v>23</v>
      </c>
      <c r="R550" t="b">
        <f>OR(Таблица1[[#This Row],[Ежемесячный платеж]]&lt;$AC$5, Таблица1[[#This Row],[Ежемесячный платеж]]&gt;$AC$6)</f>
        <v>0</v>
      </c>
      <c r="T550" s="9">
        <f>(Таблица1[[#This Row],[Кредитный рейтинг]]-586)/(751-586)</f>
        <v>0.80606060606060603</v>
      </c>
      <c r="U550" s="9">
        <f>Таблица1[[#This Row],[Ежемесячный платеж]]/(Таблица1[[#This Row],[Годовой доход]]/12)</f>
        <v>0.29399864104395701</v>
      </c>
    </row>
    <row r="551" spans="1:21" x14ac:dyDescent="0.3">
      <c r="A551">
        <v>550</v>
      </c>
      <c r="B551">
        <v>0</v>
      </c>
      <c r="C551" s="9">
        <v>110044</v>
      </c>
      <c r="D551">
        <v>729</v>
      </c>
      <c r="E551" s="1">
        <v>1478637</v>
      </c>
      <c r="F551">
        <v>0</v>
      </c>
      <c r="G551">
        <v>27601.49</v>
      </c>
      <c r="H551">
        <v>17</v>
      </c>
      <c r="I551">
        <v>16</v>
      </c>
      <c r="J551">
        <v>364933</v>
      </c>
      <c r="K551">
        <v>523600</v>
      </c>
      <c r="L551" t="s">
        <v>32</v>
      </c>
      <c r="M551" t="s">
        <v>592</v>
      </c>
      <c r="N551" t="s">
        <v>26</v>
      </c>
      <c r="O551" t="s">
        <v>34</v>
      </c>
      <c r="P551" t="s">
        <v>22</v>
      </c>
      <c r="Q551" t="s">
        <v>23</v>
      </c>
      <c r="R551" t="b">
        <f>OR(Таблица1[[#This Row],[Ежемесячный платеж]]&lt;$AC$5, Таблица1[[#This Row],[Ежемесячный платеж]]&gt;$AC$6)</f>
        <v>0</v>
      </c>
      <c r="S551" s="9">
        <f>(Таблица1[[#This Row],[Размер кредита]]-21824)/(789096-21824)</f>
        <v>0.11497878197040945</v>
      </c>
      <c r="T551" s="9">
        <f>(Таблица1[[#This Row],[Кредитный рейтинг]]-586)/(751-586)</f>
        <v>0.8666666666666667</v>
      </c>
      <c r="U551" s="9">
        <f>Таблица1[[#This Row],[Ежемесячный платеж]]/(Таблица1[[#This Row],[Годовой доход]]/12)</f>
        <v>0.22400215874484408</v>
      </c>
    </row>
    <row r="552" spans="1:21" x14ac:dyDescent="0.3">
      <c r="A552">
        <v>551</v>
      </c>
      <c r="B552">
        <v>1</v>
      </c>
      <c r="D552">
        <v>748</v>
      </c>
      <c r="E552" s="1">
        <v>758556</v>
      </c>
      <c r="F552">
        <v>0</v>
      </c>
      <c r="G552">
        <v>9165.7900000000009</v>
      </c>
      <c r="H552">
        <v>15.3</v>
      </c>
      <c r="I552">
        <v>7</v>
      </c>
      <c r="J552">
        <v>154299</v>
      </c>
      <c r="K552">
        <v>271920</v>
      </c>
      <c r="L552" t="s">
        <v>32</v>
      </c>
      <c r="M552" t="s">
        <v>593</v>
      </c>
      <c r="N552" t="s">
        <v>26</v>
      </c>
      <c r="O552" t="s">
        <v>21</v>
      </c>
      <c r="P552" t="s">
        <v>22</v>
      </c>
      <c r="Q552" t="s">
        <v>23</v>
      </c>
      <c r="R552" t="b">
        <f>OR(Таблица1[[#This Row],[Ежемесячный платеж]]&lt;$AC$5, Таблица1[[#This Row],[Ежемесячный платеж]]&gt;$AC$6)</f>
        <v>0</v>
      </c>
      <c r="T552" s="9">
        <f>(Таблица1[[#This Row],[Кредитный рейтинг]]-586)/(751-586)</f>
        <v>0.98181818181818181</v>
      </c>
      <c r="U552" s="9">
        <f>Таблица1[[#This Row],[Ежемесячный платеж]]/(Таблица1[[#This Row],[Годовой доход]]/12)</f>
        <v>0.14499849714457472</v>
      </c>
    </row>
    <row r="553" spans="1:21" x14ac:dyDescent="0.3">
      <c r="A553">
        <v>552</v>
      </c>
      <c r="B553">
        <v>0</v>
      </c>
      <c r="C553" s="9">
        <v>131560</v>
      </c>
      <c r="D553">
        <v>740</v>
      </c>
      <c r="E553" s="1">
        <v>1488479</v>
      </c>
      <c r="F553">
        <v>0</v>
      </c>
      <c r="G553">
        <v>36467.65</v>
      </c>
      <c r="H553">
        <v>21.9</v>
      </c>
      <c r="I553">
        <v>25</v>
      </c>
      <c r="J553">
        <v>295317</v>
      </c>
      <c r="K553">
        <v>697818</v>
      </c>
      <c r="L553" t="s">
        <v>47</v>
      </c>
      <c r="M553" t="s">
        <v>594</v>
      </c>
      <c r="N553" t="s">
        <v>76</v>
      </c>
      <c r="O553" t="s">
        <v>28</v>
      </c>
      <c r="P553" t="s">
        <v>22</v>
      </c>
      <c r="Q553" t="s">
        <v>23</v>
      </c>
      <c r="R553" t="b">
        <f>OR(Таблица1[[#This Row],[Ежемесячный платеж]]&lt;$AC$5, Таблица1[[#This Row],[Ежемесячный платеж]]&gt;$AC$6)</f>
        <v>0</v>
      </c>
      <c r="S553" s="9">
        <f>(Таблица1[[#This Row],[Размер кредита]]-21824)/(789096-21824)</f>
        <v>0.14302098864548687</v>
      </c>
      <c r="T553" s="9">
        <f>(Таблица1[[#This Row],[Кредитный рейтинг]]-586)/(751-586)</f>
        <v>0.93333333333333335</v>
      </c>
      <c r="U553" s="9">
        <f>Таблица1[[#This Row],[Ежемесячный платеж]]/(Таблица1[[#This Row],[Годовой доход]]/12)</f>
        <v>0.29399931070576069</v>
      </c>
    </row>
    <row r="554" spans="1:21" x14ac:dyDescent="0.3">
      <c r="A554">
        <v>553</v>
      </c>
      <c r="B554">
        <v>0</v>
      </c>
      <c r="C554" s="9">
        <v>757768</v>
      </c>
      <c r="D554">
        <v>739</v>
      </c>
      <c r="E554" s="1">
        <v>4674475</v>
      </c>
      <c r="F554">
        <v>3</v>
      </c>
      <c r="G554">
        <v>71285.72</v>
      </c>
      <c r="H554">
        <v>16</v>
      </c>
      <c r="I554">
        <v>12</v>
      </c>
      <c r="J554">
        <v>475133</v>
      </c>
      <c r="K554">
        <v>883058</v>
      </c>
      <c r="L554" t="s">
        <v>50</v>
      </c>
      <c r="M554" t="s">
        <v>595</v>
      </c>
      <c r="N554" t="s">
        <v>26</v>
      </c>
      <c r="O554" t="s">
        <v>34</v>
      </c>
      <c r="P554" t="s">
        <v>31</v>
      </c>
      <c r="Q554" t="s">
        <v>23</v>
      </c>
      <c r="R554" t="b">
        <f>OR(Таблица1[[#This Row],[Ежемесячный платеж]]&lt;$AC$5, Таблица1[[#This Row],[Ежемесячный платеж]]&gt;$AC$6)</f>
        <v>1</v>
      </c>
      <c r="S554" s="9">
        <f>(Таблица1[[#This Row],[Размер кредита]]-21824)/(789096-21824)</f>
        <v>0.95916962954467255</v>
      </c>
      <c r="T554" s="9">
        <f>(Таблица1[[#This Row],[Кредитный рейтинг]]-586)/(751-586)</f>
        <v>0.92727272727272725</v>
      </c>
      <c r="U554" s="9">
        <f>Таблица1[[#This Row],[Ежемесячный платеж]]/(Таблица1[[#This Row],[Годовой доход]]/12)</f>
        <v>0.18299993903058634</v>
      </c>
    </row>
    <row r="555" spans="1:21" x14ac:dyDescent="0.3">
      <c r="A555">
        <v>554</v>
      </c>
      <c r="B555">
        <v>0</v>
      </c>
      <c r="C555" s="9">
        <v>109714</v>
      </c>
      <c r="D555">
        <v>744</v>
      </c>
      <c r="E555" s="1">
        <v>1629744</v>
      </c>
      <c r="F555">
        <v>0</v>
      </c>
      <c r="G555">
        <v>4875.59</v>
      </c>
      <c r="H555">
        <v>14.5</v>
      </c>
      <c r="I555">
        <v>6</v>
      </c>
      <c r="J555">
        <v>188423</v>
      </c>
      <c r="K555">
        <v>571142</v>
      </c>
      <c r="L555" t="s">
        <v>47</v>
      </c>
      <c r="M555" t="s">
        <v>596</v>
      </c>
      <c r="N555" t="s">
        <v>26</v>
      </c>
      <c r="O555" t="s">
        <v>28</v>
      </c>
      <c r="P555" t="s">
        <v>22</v>
      </c>
      <c r="Q555" t="s">
        <v>23</v>
      </c>
      <c r="R555" t="b">
        <f>OR(Таблица1[[#This Row],[Ежемесячный платеж]]&lt;$AC$5, Таблица1[[#This Row],[Ежемесячный платеж]]&gt;$AC$6)</f>
        <v>0</v>
      </c>
      <c r="S555" s="9">
        <f>(Таблица1[[#This Row],[Размер кредита]]-21824)/(789096-21824)</f>
        <v>0.11454868677600642</v>
      </c>
      <c r="T555" s="9">
        <f>(Таблица1[[#This Row],[Кредитный рейтинг]]-586)/(751-586)</f>
        <v>0.95757575757575752</v>
      </c>
      <c r="U555" s="9">
        <f>Таблица1[[#This Row],[Ежемесячный платеж]]/(Таблица1[[#This Row],[Годовой доход]]/12)</f>
        <v>3.5899552322327923E-2</v>
      </c>
    </row>
    <row r="556" spans="1:21" x14ac:dyDescent="0.3">
      <c r="A556">
        <v>555</v>
      </c>
      <c r="B556">
        <v>0</v>
      </c>
      <c r="C556" s="9">
        <v>111980</v>
      </c>
      <c r="D556">
        <v>722</v>
      </c>
      <c r="E556" s="1">
        <v>1160520</v>
      </c>
      <c r="F556">
        <v>0</v>
      </c>
      <c r="G556">
        <v>28916.29</v>
      </c>
      <c r="H556">
        <v>22.5</v>
      </c>
      <c r="I556">
        <v>9</v>
      </c>
      <c r="J556">
        <v>320131</v>
      </c>
      <c r="K556">
        <v>685168</v>
      </c>
      <c r="L556" t="s">
        <v>24</v>
      </c>
      <c r="M556" t="s">
        <v>597</v>
      </c>
      <c r="N556" t="s">
        <v>68</v>
      </c>
      <c r="O556" t="s">
        <v>21</v>
      </c>
      <c r="P556" t="s">
        <v>22</v>
      </c>
      <c r="Q556" t="s">
        <v>23</v>
      </c>
      <c r="R556" t="b">
        <f>OR(Таблица1[[#This Row],[Ежемесячный платеж]]&lt;$AC$5, Таблица1[[#This Row],[Ежемесячный платеж]]&gt;$AC$6)</f>
        <v>0</v>
      </c>
      <c r="S556" s="9">
        <f>(Таблица1[[#This Row],[Размер кредита]]-21824)/(789096-21824)</f>
        <v>0.11750200711090722</v>
      </c>
      <c r="T556" s="9">
        <f>(Таблица1[[#This Row],[Кредитный рейтинг]]-586)/(751-586)</f>
        <v>0.82424242424242422</v>
      </c>
      <c r="U556" s="9">
        <f>Таблица1[[#This Row],[Ежемесячный платеж]]/(Таблица1[[#This Row],[Годовой доход]]/12)</f>
        <v>0.29899999999999999</v>
      </c>
    </row>
    <row r="557" spans="1:21" x14ac:dyDescent="0.3">
      <c r="A557">
        <v>556</v>
      </c>
      <c r="B557">
        <v>0</v>
      </c>
      <c r="C557" s="9">
        <v>248402</v>
      </c>
      <c r="D557">
        <f>$Y$13</f>
        <v>723</v>
      </c>
      <c r="E557">
        <f>$AB$13</f>
        <v>1168044</v>
      </c>
      <c r="F557">
        <v>0</v>
      </c>
      <c r="G557">
        <v>7943.52</v>
      </c>
      <c r="H557">
        <v>9.5</v>
      </c>
      <c r="I557">
        <v>11</v>
      </c>
      <c r="J557">
        <v>261991</v>
      </c>
      <c r="K557">
        <v>369512</v>
      </c>
      <c r="L557" t="s">
        <v>29</v>
      </c>
      <c r="M557" t="s">
        <v>598</v>
      </c>
      <c r="N557" t="s">
        <v>26</v>
      </c>
      <c r="O557" t="s">
        <v>21</v>
      </c>
      <c r="P557" t="s">
        <v>22</v>
      </c>
      <c r="Q557" t="s">
        <v>36</v>
      </c>
      <c r="R557" t="b">
        <f>OR(Таблица1[[#This Row],[Ежемесячный платеж]]&lt;$AC$5, Таблица1[[#This Row],[Ежемесячный платеж]]&gt;$AC$6)</f>
        <v>0</v>
      </c>
      <c r="S557" s="9">
        <f>(Таблица1[[#This Row],[Размер кредита]]-21824)/(789096-21824)</f>
        <v>0.29530336047711891</v>
      </c>
      <c r="T557" s="9">
        <f>(Таблица1[[#This Row],[Кредитный рейтинг]]-586)/(751-586)</f>
        <v>0.83030303030303032</v>
      </c>
      <c r="U557" s="9">
        <f>Таблица1[[#This Row],[Ежемесячный платеж]]/(Таблица1[[#This Row],[Годовой доход]]/12)</f>
        <v>8.1608432559047442E-2</v>
      </c>
    </row>
    <row r="558" spans="1:21" x14ac:dyDescent="0.3">
      <c r="A558">
        <v>557</v>
      </c>
      <c r="B558">
        <v>0</v>
      </c>
      <c r="C558" s="9">
        <v>774246</v>
      </c>
      <c r="D558">
        <v>736</v>
      </c>
      <c r="E558" s="1">
        <v>2838543</v>
      </c>
      <c r="F558">
        <v>0</v>
      </c>
      <c r="G558">
        <v>40685.839999999997</v>
      </c>
      <c r="H558">
        <v>20.100000000000001</v>
      </c>
      <c r="I558">
        <v>15</v>
      </c>
      <c r="J558">
        <v>752590</v>
      </c>
      <c r="K558">
        <v>1158784</v>
      </c>
      <c r="L558" t="s">
        <v>52</v>
      </c>
      <c r="M558" t="s">
        <v>599</v>
      </c>
      <c r="N558" t="s">
        <v>26</v>
      </c>
      <c r="O558" t="s">
        <v>21</v>
      </c>
      <c r="P558" t="s">
        <v>22</v>
      </c>
      <c r="Q558" t="s">
        <v>23</v>
      </c>
      <c r="R558" t="b">
        <f>OR(Таблица1[[#This Row],[Ежемесячный платеж]]&lt;$AC$5, Таблица1[[#This Row],[Ежемесячный платеж]]&gt;$AC$6)</f>
        <v>0</v>
      </c>
      <c r="S558" s="9">
        <f>(Таблица1[[#This Row],[Размер кредита]]-21824)/(789096-21824)</f>
        <v>0.9806457162518637</v>
      </c>
      <c r="T558" s="9">
        <f>(Таблица1[[#This Row],[Кредитный рейтинг]]-586)/(751-586)</f>
        <v>0.90909090909090906</v>
      </c>
      <c r="U558" s="9">
        <f>Таблица1[[#This Row],[Ежемесячный платеж]]/(Таблица1[[#This Row],[Годовой доход]]/12)</f>
        <v>0.17200024096869412</v>
      </c>
    </row>
    <row r="559" spans="1:21" x14ac:dyDescent="0.3">
      <c r="A559">
        <v>558</v>
      </c>
      <c r="B559">
        <v>0</v>
      </c>
      <c r="C559" s="9">
        <v>130152</v>
      </c>
      <c r="D559">
        <f>$Y$13</f>
        <v>723</v>
      </c>
      <c r="E559">
        <f>$AB$13</f>
        <v>1168044</v>
      </c>
      <c r="F559">
        <v>0</v>
      </c>
      <c r="G559">
        <v>9727.6200000000008</v>
      </c>
      <c r="H559">
        <v>21.3</v>
      </c>
      <c r="I559">
        <v>6</v>
      </c>
      <c r="J559">
        <v>109972</v>
      </c>
      <c r="K559">
        <v>436084</v>
      </c>
      <c r="L559" t="s">
        <v>47</v>
      </c>
      <c r="M559" t="s">
        <v>600</v>
      </c>
      <c r="N559" t="s">
        <v>20</v>
      </c>
      <c r="O559" t="s">
        <v>21</v>
      </c>
      <c r="P559" t="s">
        <v>22</v>
      </c>
      <c r="Q559" t="s">
        <v>23</v>
      </c>
      <c r="R559" t="b">
        <f>OR(Таблица1[[#This Row],[Ежемесячный платеж]]&lt;$AC$5, Таблица1[[#This Row],[Ежемесячный платеж]]&gt;$AC$6)</f>
        <v>0</v>
      </c>
      <c r="S559" s="9">
        <f>(Таблица1[[#This Row],[Размер кредита]]-21824)/(789096-21824)</f>
        <v>0.14118591581603396</v>
      </c>
      <c r="T559" s="9">
        <f>(Таблица1[[#This Row],[Кредитный рейтинг]]-586)/(751-586)</f>
        <v>0.83030303030303032</v>
      </c>
      <c r="U559" s="9">
        <f>Таблица1[[#This Row],[Ежемесячный платеж]]/(Таблица1[[#This Row],[Годовой доход]]/12)</f>
        <v>9.9937536599648658E-2</v>
      </c>
    </row>
    <row r="560" spans="1:21" x14ac:dyDescent="0.3">
      <c r="A560">
        <v>559</v>
      </c>
      <c r="B560">
        <v>0</v>
      </c>
      <c r="C560" s="9">
        <v>337436</v>
      </c>
      <c r="D560">
        <v>730</v>
      </c>
      <c r="E560" s="1">
        <v>687971</v>
      </c>
      <c r="F560">
        <v>14</v>
      </c>
      <c r="G560">
        <v>12326.06</v>
      </c>
      <c r="H560">
        <v>17.899999999999999</v>
      </c>
      <c r="I560">
        <v>13</v>
      </c>
      <c r="J560">
        <v>385890</v>
      </c>
      <c r="K560">
        <v>1008612</v>
      </c>
      <c r="L560" t="s">
        <v>24</v>
      </c>
      <c r="M560" t="s">
        <v>601</v>
      </c>
      <c r="N560" t="s">
        <v>26</v>
      </c>
      <c r="O560" t="s">
        <v>28</v>
      </c>
      <c r="P560" t="s">
        <v>22</v>
      </c>
      <c r="Q560" t="s">
        <v>36</v>
      </c>
      <c r="R560" t="b">
        <f>OR(Таблица1[[#This Row],[Ежемесячный платеж]]&lt;$AC$5, Таблица1[[#This Row],[Ежемесячный платеж]]&gt;$AC$6)</f>
        <v>0</v>
      </c>
      <c r="S560" s="9">
        <f>(Таблица1[[#This Row],[Размер кредита]]-21824)/(789096-21824)</f>
        <v>0.41134304392705584</v>
      </c>
      <c r="T560" s="9">
        <f>(Таблица1[[#This Row],[Кредитный рейтинг]]-586)/(751-586)</f>
        <v>0.87272727272727268</v>
      </c>
      <c r="U560" s="9">
        <f>Таблица1[[#This Row],[Ежемесячный платеж]]/(Таблица1[[#This Row],[Годовой доход]]/12)</f>
        <v>0.21499848104062527</v>
      </c>
    </row>
    <row r="561" spans="1:21" x14ac:dyDescent="0.3">
      <c r="A561">
        <v>560</v>
      </c>
      <c r="B561">
        <v>0</v>
      </c>
      <c r="C561" s="9">
        <v>351714</v>
      </c>
      <c r="D561">
        <v>740</v>
      </c>
      <c r="E561" s="1">
        <v>837235</v>
      </c>
      <c r="F561">
        <v>0</v>
      </c>
      <c r="G561">
        <v>6551.2</v>
      </c>
      <c r="H561">
        <v>9.5</v>
      </c>
      <c r="I561">
        <v>6</v>
      </c>
      <c r="J561">
        <v>204858</v>
      </c>
      <c r="K561">
        <v>422092</v>
      </c>
      <c r="L561" t="s">
        <v>18</v>
      </c>
      <c r="M561" t="s">
        <v>602</v>
      </c>
      <c r="N561" t="s">
        <v>26</v>
      </c>
      <c r="O561" t="s">
        <v>21</v>
      </c>
      <c r="P561" t="s">
        <v>22</v>
      </c>
      <c r="Q561" t="s">
        <v>23</v>
      </c>
      <c r="R561" t="b">
        <f>OR(Таблица1[[#This Row],[Ежемесячный платеж]]&lt;$AC$5, Таблица1[[#This Row],[Ежемесячный платеж]]&gt;$AC$6)</f>
        <v>0</v>
      </c>
      <c r="S561" s="9">
        <f>(Таблица1[[#This Row],[Размер кредита]]-21824)/(789096-21824)</f>
        <v>0.42995182933822684</v>
      </c>
      <c r="T561" s="9">
        <f>(Таблица1[[#This Row],[Кредитный рейтинг]]-586)/(751-586)</f>
        <v>0.93333333333333335</v>
      </c>
      <c r="U561" s="9">
        <f>Таблица1[[#This Row],[Ежемесячный платеж]]/(Таблица1[[#This Row],[Годовой доход]]/12)</f>
        <v>9.38976511970952E-2</v>
      </c>
    </row>
    <row r="562" spans="1:21" x14ac:dyDescent="0.3">
      <c r="A562">
        <v>561</v>
      </c>
      <c r="B562">
        <v>0</v>
      </c>
      <c r="C562" s="9">
        <v>110462</v>
      </c>
      <c r="D562">
        <v>738</v>
      </c>
      <c r="E562" s="1">
        <v>1526384</v>
      </c>
      <c r="F562">
        <v>69</v>
      </c>
      <c r="G562">
        <v>5075.28</v>
      </c>
      <c r="H562">
        <v>23.4</v>
      </c>
      <c r="I562">
        <v>6</v>
      </c>
      <c r="J562">
        <v>175864</v>
      </c>
      <c r="K562">
        <v>245344</v>
      </c>
      <c r="L562" t="s">
        <v>32</v>
      </c>
      <c r="M562" t="s">
        <v>603</v>
      </c>
      <c r="N562" t="s">
        <v>26</v>
      </c>
      <c r="O562" t="s">
        <v>34</v>
      </c>
      <c r="P562" t="s">
        <v>22</v>
      </c>
      <c r="Q562" t="s">
        <v>23</v>
      </c>
      <c r="R562" t="b">
        <f>OR(Таблица1[[#This Row],[Ежемесячный платеж]]&lt;$AC$5, Таблица1[[#This Row],[Ежемесячный платеж]]&gt;$AC$6)</f>
        <v>0</v>
      </c>
      <c r="S562" s="9">
        <f>(Таблица1[[#This Row],[Размер кредита]]-21824)/(789096-21824)</f>
        <v>0.11552356921665329</v>
      </c>
      <c r="T562" s="9">
        <f>(Таблица1[[#This Row],[Кредитный рейтинг]]-586)/(751-586)</f>
        <v>0.92121212121212126</v>
      </c>
      <c r="U562" s="9">
        <f>Таблица1[[#This Row],[Ежемесячный платеж]]/(Таблица1[[#This Row],[Годовой доход]]/12)</f>
        <v>3.9900418243377811E-2</v>
      </c>
    </row>
    <row r="563" spans="1:21" x14ac:dyDescent="0.3">
      <c r="A563">
        <v>562</v>
      </c>
      <c r="B563">
        <v>0</v>
      </c>
      <c r="C563" s="9">
        <v>266926</v>
      </c>
      <c r="D563">
        <v>749</v>
      </c>
      <c r="E563" s="1">
        <v>922127</v>
      </c>
      <c r="F563">
        <v>70</v>
      </c>
      <c r="G563">
        <v>10066.58</v>
      </c>
      <c r="H563">
        <v>38.299999999999997</v>
      </c>
      <c r="I563">
        <v>17</v>
      </c>
      <c r="J563">
        <v>234346</v>
      </c>
      <c r="K563">
        <v>673332</v>
      </c>
      <c r="L563" t="s">
        <v>69</v>
      </c>
      <c r="M563" t="s">
        <v>604</v>
      </c>
      <c r="N563" t="s">
        <v>26</v>
      </c>
      <c r="O563" t="s">
        <v>21</v>
      </c>
      <c r="P563" t="s">
        <v>22</v>
      </c>
      <c r="Q563" t="s">
        <v>23</v>
      </c>
      <c r="R563" t="b">
        <f>OR(Таблица1[[#This Row],[Ежемесячный платеж]]&lt;$AC$5, Таблица1[[#This Row],[Ежемесячный платеж]]&gt;$AC$6)</f>
        <v>0</v>
      </c>
      <c r="S563" s="9">
        <f>(Таблица1[[#This Row],[Размер кредита]]-21824)/(789096-21824)</f>
        <v>0.31944603738960892</v>
      </c>
      <c r="T563" s="9">
        <f>(Таблица1[[#This Row],[Кредитный рейтинг]]-586)/(751-586)</f>
        <v>0.98787878787878791</v>
      </c>
      <c r="U563" s="9">
        <f>Таблица1[[#This Row],[Ежемесячный платеж]]/(Таблица1[[#This Row],[Годовой доход]]/12)</f>
        <v>0.13100035027713103</v>
      </c>
    </row>
    <row r="564" spans="1:21" x14ac:dyDescent="0.3">
      <c r="A564">
        <v>563</v>
      </c>
      <c r="B564">
        <v>0</v>
      </c>
      <c r="C564" s="9">
        <v>48884</v>
      </c>
      <c r="D564">
        <f>$Y$13</f>
        <v>723</v>
      </c>
      <c r="E564">
        <f>$AB$13</f>
        <v>1168044</v>
      </c>
      <c r="F564">
        <v>24</v>
      </c>
      <c r="G564">
        <v>7996.72</v>
      </c>
      <c r="H564">
        <v>13.8</v>
      </c>
      <c r="I564">
        <v>11</v>
      </c>
      <c r="J564">
        <v>157472</v>
      </c>
      <c r="K564">
        <v>224554</v>
      </c>
      <c r="L564" t="s">
        <v>50</v>
      </c>
      <c r="M564" t="s">
        <v>605</v>
      </c>
      <c r="N564" t="s">
        <v>68</v>
      </c>
      <c r="O564" t="s">
        <v>34</v>
      </c>
      <c r="P564" t="s">
        <v>22</v>
      </c>
      <c r="Q564" t="s">
        <v>36</v>
      </c>
      <c r="R564" t="b">
        <f>OR(Таблица1[[#This Row],[Ежемесячный платеж]]&lt;$AC$5, Таблица1[[#This Row],[Ежемесячный платеж]]&gt;$AC$6)</f>
        <v>0</v>
      </c>
      <c r="S564" s="9">
        <f>(Таблица1[[#This Row],[Размер кредита]]-21824)/(789096-21824)</f>
        <v>3.5267805941048287E-2</v>
      </c>
      <c r="T564" s="9">
        <f>(Таблица1[[#This Row],[Кредитный рейтинг]]-586)/(751-586)</f>
        <v>0.83030303030303032</v>
      </c>
      <c r="U564" s="9">
        <f>Таблица1[[#This Row],[Ежемесячный платеж]]/(Таблица1[[#This Row],[Годовой доход]]/12)</f>
        <v>8.2154987312121799E-2</v>
      </c>
    </row>
    <row r="565" spans="1:21" x14ac:dyDescent="0.3">
      <c r="A565">
        <v>564</v>
      </c>
      <c r="B565">
        <v>0</v>
      </c>
      <c r="C565" s="9">
        <v>560956</v>
      </c>
      <c r="D565">
        <v>664</v>
      </c>
      <c r="E565" s="1">
        <v>1637059</v>
      </c>
      <c r="F565">
        <v>8</v>
      </c>
      <c r="G565">
        <v>44746.33</v>
      </c>
      <c r="H565">
        <v>17.600000000000001</v>
      </c>
      <c r="I565">
        <v>13</v>
      </c>
      <c r="J565">
        <v>380779</v>
      </c>
      <c r="K565">
        <v>567446</v>
      </c>
      <c r="L565" t="s">
        <v>32</v>
      </c>
      <c r="M565" t="s">
        <v>606</v>
      </c>
      <c r="N565" t="s">
        <v>26</v>
      </c>
      <c r="O565" t="s">
        <v>34</v>
      </c>
      <c r="P565" t="s">
        <v>22</v>
      </c>
      <c r="Q565" t="s">
        <v>36</v>
      </c>
      <c r="R565" t="b">
        <f>OR(Таблица1[[#This Row],[Ежемесячный платеж]]&lt;$AC$5, Таблица1[[#This Row],[Ежемесячный платеж]]&gt;$AC$6)</f>
        <v>1</v>
      </c>
      <c r="S565" s="9">
        <f>(Таблица1[[#This Row],[Размер кредита]]-21824)/(789096-21824)</f>
        <v>0.70266085560270675</v>
      </c>
      <c r="T565" s="9">
        <f>(Таблица1[[#This Row],[Кредитный рейтинг]]-586)/(751-586)</f>
        <v>0.47272727272727272</v>
      </c>
      <c r="U565" s="9">
        <f>Таблица1[[#This Row],[Ежемесячный платеж]]/(Таблица1[[#This Row],[Годовой доход]]/12)</f>
        <v>0.32800037139773214</v>
      </c>
    </row>
    <row r="566" spans="1:21" x14ac:dyDescent="0.3">
      <c r="A566">
        <v>565</v>
      </c>
      <c r="B566">
        <v>0</v>
      </c>
      <c r="D566">
        <v>700</v>
      </c>
      <c r="E566" s="1">
        <v>1489771</v>
      </c>
      <c r="F566">
        <v>1</v>
      </c>
      <c r="G566">
        <v>23141.24</v>
      </c>
      <c r="H566">
        <v>14</v>
      </c>
      <c r="I566">
        <v>11</v>
      </c>
      <c r="J566">
        <v>65626</v>
      </c>
      <c r="K566">
        <v>926706</v>
      </c>
      <c r="L566" t="s">
        <v>69</v>
      </c>
      <c r="M566" t="s">
        <v>607</v>
      </c>
      <c r="N566" t="s">
        <v>26</v>
      </c>
      <c r="O566" t="s">
        <v>21</v>
      </c>
      <c r="P566" t="s">
        <v>22</v>
      </c>
      <c r="Q566" t="s">
        <v>23</v>
      </c>
      <c r="R566" t="b">
        <f>OR(Таблица1[[#This Row],[Ежемесячный платеж]]&lt;$AC$5, Таблица1[[#This Row],[Ежемесячный платеж]]&gt;$AC$6)</f>
        <v>0</v>
      </c>
      <c r="T566" s="9">
        <f>(Таблица1[[#This Row],[Кредитный рейтинг]]-586)/(751-586)</f>
        <v>0.69090909090909092</v>
      </c>
      <c r="U566" s="9">
        <f>Таблица1[[#This Row],[Ежемесячный платеж]]/(Таблица1[[#This Row],[Годовой доход]]/12)</f>
        <v>0.18640105089976919</v>
      </c>
    </row>
    <row r="567" spans="1:21" x14ac:dyDescent="0.3">
      <c r="A567">
        <v>566</v>
      </c>
      <c r="B567">
        <v>0</v>
      </c>
      <c r="C567" s="9">
        <v>337150</v>
      </c>
      <c r="D567">
        <v>721</v>
      </c>
      <c r="E567" s="1">
        <v>1119936</v>
      </c>
      <c r="F567">
        <v>15</v>
      </c>
      <c r="G567">
        <v>15959.05</v>
      </c>
      <c r="H567">
        <v>12.5</v>
      </c>
      <c r="I567">
        <v>9</v>
      </c>
      <c r="J567">
        <v>166573</v>
      </c>
      <c r="K567">
        <v>484594</v>
      </c>
      <c r="L567" t="s">
        <v>69</v>
      </c>
      <c r="M567" t="s">
        <v>608</v>
      </c>
      <c r="N567" t="s">
        <v>26</v>
      </c>
      <c r="O567" t="s">
        <v>34</v>
      </c>
      <c r="P567" t="s">
        <v>31</v>
      </c>
      <c r="Q567" t="s">
        <v>23</v>
      </c>
      <c r="R567" t="b">
        <f>OR(Таблица1[[#This Row],[Ежемесячный платеж]]&lt;$AC$5, Таблица1[[#This Row],[Ежемесячный платеж]]&gt;$AC$6)</f>
        <v>0</v>
      </c>
      <c r="S567" s="9">
        <f>(Таблица1[[#This Row],[Размер кредита]]-21824)/(789096-21824)</f>
        <v>0.41097029475857322</v>
      </c>
      <c r="T567" s="9">
        <f>(Таблица1[[#This Row],[Кредитный рейтинг]]-586)/(751-586)</f>
        <v>0.81818181818181823</v>
      </c>
      <c r="U567" s="9">
        <f>Таблица1[[#This Row],[Ежемесячный платеж]]/(Таблица1[[#This Row],[Годовой доход]]/12)</f>
        <v>0.17099959283387622</v>
      </c>
    </row>
    <row r="568" spans="1:21" x14ac:dyDescent="0.3">
      <c r="A568">
        <v>567</v>
      </c>
      <c r="B568">
        <v>0</v>
      </c>
      <c r="C568" s="9">
        <v>225082</v>
      </c>
      <c r="D568">
        <f>$Y$13</f>
        <v>723</v>
      </c>
      <c r="E568">
        <f>$AB$13</f>
        <v>1168044</v>
      </c>
      <c r="F568">
        <v>25</v>
      </c>
      <c r="G568">
        <v>26566.560000000001</v>
      </c>
      <c r="H568">
        <v>32.4</v>
      </c>
      <c r="I568">
        <v>18</v>
      </c>
      <c r="J568">
        <v>130568</v>
      </c>
      <c r="K568">
        <v>1511884</v>
      </c>
      <c r="L568" t="s">
        <v>18</v>
      </c>
      <c r="M568" t="s">
        <v>609</v>
      </c>
      <c r="N568" t="s">
        <v>26</v>
      </c>
      <c r="O568" t="s">
        <v>28</v>
      </c>
      <c r="P568" t="s">
        <v>22</v>
      </c>
      <c r="Q568" t="s">
        <v>36</v>
      </c>
      <c r="R568" t="b">
        <f>OR(Таблица1[[#This Row],[Ежемесячный платеж]]&lt;$AC$5, Таблица1[[#This Row],[Ежемесячный платеж]]&gt;$AC$6)</f>
        <v>0</v>
      </c>
      <c r="S568" s="9">
        <f>(Таблица1[[#This Row],[Размер кредита]]-21824)/(789096-21824)</f>
        <v>0.26490996673930495</v>
      </c>
      <c r="T568" s="9">
        <f>(Таблица1[[#This Row],[Кредитный рейтинг]]-586)/(751-586)</f>
        <v>0.83030303030303032</v>
      </c>
      <c r="U568" s="9">
        <f>Таблица1[[#This Row],[Ежемесячный платеж]]/(Таблица1[[#This Row],[Годовой доход]]/12)</f>
        <v>0.27293382783525277</v>
      </c>
    </row>
    <row r="569" spans="1:21" x14ac:dyDescent="0.3">
      <c r="A569">
        <v>568</v>
      </c>
      <c r="B569">
        <v>0</v>
      </c>
      <c r="C569" s="9">
        <v>447172</v>
      </c>
      <c r="D569">
        <f>$Y$13</f>
        <v>723</v>
      </c>
      <c r="E569">
        <f>$AB$13</f>
        <v>1168044</v>
      </c>
      <c r="F569">
        <v>0</v>
      </c>
      <c r="G569">
        <v>21546.38</v>
      </c>
      <c r="H569">
        <v>16.5</v>
      </c>
      <c r="I569">
        <v>12</v>
      </c>
      <c r="J569">
        <v>673512</v>
      </c>
      <c r="K569">
        <v>1830642</v>
      </c>
      <c r="L569" t="s">
        <v>18</v>
      </c>
      <c r="M569" t="s">
        <v>610</v>
      </c>
      <c r="N569" t="s">
        <v>26</v>
      </c>
      <c r="O569" t="s">
        <v>28</v>
      </c>
      <c r="P569" t="s">
        <v>22</v>
      </c>
      <c r="Q569" t="s">
        <v>23</v>
      </c>
      <c r="R569" t="b">
        <f>OR(Таблица1[[#This Row],[Ежемесячный платеж]]&lt;$AC$5, Таблица1[[#This Row],[Ежемесячный платеж]]&gt;$AC$6)</f>
        <v>0</v>
      </c>
      <c r="S569" s="9">
        <f>(Таблица1[[#This Row],[Размер кредита]]-21824)/(789096-21824)</f>
        <v>0.55436403257254274</v>
      </c>
      <c r="T569" s="9">
        <f>(Таблица1[[#This Row],[Кредитный рейтинг]]-586)/(751-586)</f>
        <v>0.83030303030303032</v>
      </c>
      <c r="U569" s="9">
        <f>Таблица1[[#This Row],[Ежемесячный платеж]]/(Таблица1[[#This Row],[Годовой доход]]/12)</f>
        <v>0.22135857895764202</v>
      </c>
    </row>
    <row r="570" spans="1:21" x14ac:dyDescent="0.3">
      <c r="A570">
        <v>569</v>
      </c>
      <c r="B570">
        <v>0</v>
      </c>
      <c r="C570" s="9">
        <v>156090</v>
      </c>
      <c r="D570">
        <v>706</v>
      </c>
      <c r="E570" s="1">
        <v>1872260</v>
      </c>
      <c r="F570">
        <v>12</v>
      </c>
      <c r="G570">
        <v>25275.51</v>
      </c>
      <c r="H570">
        <v>18.5</v>
      </c>
      <c r="I570">
        <v>8</v>
      </c>
      <c r="J570">
        <v>541386</v>
      </c>
      <c r="K570">
        <v>698060</v>
      </c>
      <c r="L570" t="s">
        <v>24</v>
      </c>
      <c r="M570" t="s">
        <v>611</v>
      </c>
      <c r="N570" t="s">
        <v>26</v>
      </c>
      <c r="O570" t="s">
        <v>34</v>
      </c>
      <c r="P570" t="s">
        <v>22</v>
      </c>
      <c r="Q570" t="s">
        <v>23</v>
      </c>
      <c r="R570" t="b">
        <f>OR(Таблица1[[#This Row],[Ежемесячный платеж]]&lt;$AC$5, Таблица1[[#This Row],[Ежемесячный платеж]]&gt;$AC$6)</f>
        <v>0</v>
      </c>
      <c r="S570" s="9">
        <f>(Таблица1[[#This Row],[Размер кредита]]-21824)/(789096-21824)</f>
        <v>0.17499139809611194</v>
      </c>
      <c r="T570" s="9">
        <f>(Таблица1[[#This Row],[Кредитный рейтинг]]-586)/(751-586)</f>
        <v>0.72727272727272729</v>
      </c>
      <c r="U570" s="9">
        <f>Таблица1[[#This Row],[Ежемесячный платеж]]/(Таблица1[[#This Row],[Годовой доход]]/12)</f>
        <v>0.16200000000000001</v>
      </c>
    </row>
    <row r="571" spans="1:21" x14ac:dyDescent="0.3">
      <c r="A571">
        <v>570</v>
      </c>
      <c r="B571">
        <v>0</v>
      </c>
      <c r="C571" s="9">
        <v>172040</v>
      </c>
      <c r="D571">
        <v>748</v>
      </c>
      <c r="E571" s="1">
        <v>670985</v>
      </c>
      <c r="F571">
        <v>0</v>
      </c>
      <c r="G571">
        <v>10847.48</v>
      </c>
      <c r="H571">
        <v>14.7</v>
      </c>
      <c r="I571">
        <v>6</v>
      </c>
      <c r="J571">
        <v>12901</v>
      </c>
      <c r="K571">
        <v>164186</v>
      </c>
      <c r="L571" t="s">
        <v>24</v>
      </c>
      <c r="M571" t="s">
        <v>612</v>
      </c>
      <c r="N571" t="s">
        <v>40</v>
      </c>
      <c r="O571" t="s">
        <v>21</v>
      </c>
      <c r="P571" t="s">
        <v>22</v>
      </c>
      <c r="Q571" t="s">
        <v>23</v>
      </c>
      <c r="R571" t="b">
        <f>OR(Таблица1[[#This Row],[Ежемесячный платеж]]&lt;$AC$5, Таблица1[[#This Row],[Ежемесячный платеж]]&gt;$AC$6)</f>
        <v>0</v>
      </c>
      <c r="S571" s="9">
        <f>(Таблица1[[#This Row],[Размер кредита]]-21824)/(789096-21824)</f>
        <v>0.19577933249225829</v>
      </c>
      <c r="T571" s="9">
        <f>(Таблица1[[#This Row],[Кредитный рейтинг]]-586)/(751-586)</f>
        <v>0.98181818181818181</v>
      </c>
      <c r="U571" s="9">
        <f>Таблица1[[#This Row],[Ежемесячный платеж]]/(Таблица1[[#This Row],[Годовой доход]]/12)</f>
        <v>0.19399801783944501</v>
      </c>
    </row>
    <row r="572" spans="1:21" x14ac:dyDescent="0.3">
      <c r="A572">
        <v>571</v>
      </c>
      <c r="B572">
        <v>0</v>
      </c>
      <c r="C572" s="9">
        <v>150788</v>
      </c>
      <c r="D572">
        <v>739</v>
      </c>
      <c r="E572" s="1">
        <v>2009326</v>
      </c>
      <c r="F572">
        <v>0</v>
      </c>
      <c r="G572">
        <v>11787.98</v>
      </c>
      <c r="H572">
        <v>31</v>
      </c>
      <c r="I572">
        <v>4</v>
      </c>
      <c r="J572">
        <v>51338</v>
      </c>
      <c r="K572">
        <v>540320</v>
      </c>
      <c r="L572" t="s">
        <v>63</v>
      </c>
      <c r="M572" t="s">
        <v>613</v>
      </c>
      <c r="N572" t="s">
        <v>40</v>
      </c>
      <c r="O572" t="s">
        <v>34</v>
      </c>
      <c r="P572" t="s">
        <v>22</v>
      </c>
      <c r="Q572" t="s">
        <v>23</v>
      </c>
      <c r="R572" t="b">
        <f>OR(Таблица1[[#This Row],[Ежемесячный платеж]]&lt;$AC$5, Таблица1[[#This Row],[Ежемесячный платеж]]&gt;$AC$6)</f>
        <v>0</v>
      </c>
      <c r="S572" s="9">
        <f>(Таблица1[[#This Row],[Размер кредита]]-21824)/(789096-21824)</f>
        <v>0.16808120197270329</v>
      </c>
      <c r="T572" s="9">
        <f>(Таблица1[[#This Row],[Кредитный рейтинг]]-586)/(751-586)</f>
        <v>0.92727272727272725</v>
      </c>
      <c r="U572" s="9">
        <f>Таблица1[[#This Row],[Ежемесячный платеж]]/(Таблица1[[#This Row],[Годовой доход]]/12)</f>
        <v>7.0399606634264422E-2</v>
      </c>
    </row>
    <row r="573" spans="1:21" x14ac:dyDescent="0.3">
      <c r="A573">
        <v>572</v>
      </c>
      <c r="B573">
        <v>0</v>
      </c>
      <c r="C573" s="9">
        <v>225192</v>
      </c>
      <c r="D573">
        <f>$Y$13</f>
        <v>723</v>
      </c>
      <c r="E573">
        <f>$AB$13</f>
        <v>1168044</v>
      </c>
      <c r="F573">
        <v>0</v>
      </c>
      <c r="G573">
        <v>24796.71</v>
      </c>
      <c r="H573">
        <v>19.7</v>
      </c>
      <c r="I573">
        <v>8</v>
      </c>
      <c r="J573">
        <v>113487</v>
      </c>
      <c r="K573">
        <v>238898</v>
      </c>
      <c r="L573" t="s">
        <v>41</v>
      </c>
      <c r="M573" t="s">
        <v>614</v>
      </c>
      <c r="N573" t="s">
        <v>71</v>
      </c>
      <c r="O573" t="s">
        <v>34</v>
      </c>
      <c r="P573" t="s">
        <v>22</v>
      </c>
      <c r="Q573" t="s">
        <v>36</v>
      </c>
      <c r="R573" t="b">
        <f>OR(Таблица1[[#This Row],[Ежемесячный платеж]]&lt;$AC$5, Таблица1[[#This Row],[Ежемесячный платеж]]&gt;$AC$6)</f>
        <v>0</v>
      </c>
      <c r="S573" s="9">
        <f>(Таблица1[[#This Row],[Размер кредита]]-21824)/(789096-21824)</f>
        <v>0.26505333180410595</v>
      </c>
      <c r="T573" s="9">
        <f>(Таблица1[[#This Row],[Кредитный рейтинг]]-586)/(751-586)</f>
        <v>0.83030303030303032</v>
      </c>
      <c r="U573" s="9">
        <f>Таблица1[[#This Row],[Ежемесячный платеж]]/(Таблица1[[#This Row],[Годовой доход]]/12)</f>
        <v>0.25475112238922504</v>
      </c>
    </row>
    <row r="574" spans="1:21" x14ac:dyDescent="0.3">
      <c r="A574">
        <v>573</v>
      </c>
      <c r="B574">
        <v>0</v>
      </c>
      <c r="C574" s="9">
        <v>214698</v>
      </c>
      <c r="D574">
        <f>$Y$13</f>
        <v>723</v>
      </c>
      <c r="E574">
        <f>$AB$13</f>
        <v>1168044</v>
      </c>
      <c r="F574">
        <v>0</v>
      </c>
      <c r="G574">
        <v>10241.19</v>
      </c>
      <c r="H574">
        <v>29.9</v>
      </c>
      <c r="I574">
        <v>9</v>
      </c>
      <c r="J574">
        <v>297540</v>
      </c>
      <c r="K574">
        <v>648824</v>
      </c>
      <c r="L574" t="s">
        <v>47</v>
      </c>
      <c r="M574" t="s">
        <v>615</v>
      </c>
      <c r="N574" t="s">
        <v>26</v>
      </c>
      <c r="O574" t="s">
        <v>28</v>
      </c>
      <c r="P574" t="s">
        <v>22</v>
      </c>
      <c r="Q574" t="s">
        <v>36</v>
      </c>
      <c r="R574" t="b">
        <f>OR(Таблица1[[#This Row],[Ежемесячный платеж]]&lt;$AC$5, Таблица1[[#This Row],[Ежемесячный платеж]]&gt;$AC$6)</f>
        <v>0</v>
      </c>
      <c r="S574" s="9">
        <f>(Таблица1[[#This Row],[Размер кредита]]-21824)/(789096-21824)</f>
        <v>0.25137630462208971</v>
      </c>
      <c r="T574" s="9">
        <f>(Таблица1[[#This Row],[Кредитный рейтинг]]-586)/(751-586)</f>
        <v>0.83030303030303032</v>
      </c>
      <c r="U574" s="9">
        <f>Таблица1[[#This Row],[Ежемесячный платеж]]/(Таблица1[[#This Row],[Годовой доход]]/12)</f>
        <v>0.10521374194807731</v>
      </c>
    </row>
    <row r="575" spans="1:21" x14ac:dyDescent="0.3">
      <c r="A575">
        <v>574</v>
      </c>
      <c r="B575">
        <v>0</v>
      </c>
      <c r="C575" s="9">
        <v>263318</v>
      </c>
      <c r="D575">
        <v>738</v>
      </c>
      <c r="E575" s="1">
        <v>707085</v>
      </c>
      <c r="F575">
        <v>18</v>
      </c>
      <c r="G575">
        <v>12962.94</v>
      </c>
      <c r="H575">
        <v>14.8</v>
      </c>
      <c r="I575">
        <v>10</v>
      </c>
      <c r="J575">
        <v>232940</v>
      </c>
      <c r="K575">
        <v>451770</v>
      </c>
      <c r="L575" t="s">
        <v>63</v>
      </c>
      <c r="M575" t="s">
        <v>616</v>
      </c>
      <c r="N575" t="s">
        <v>26</v>
      </c>
      <c r="O575" t="s">
        <v>34</v>
      </c>
      <c r="P575" t="s">
        <v>22</v>
      </c>
      <c r="Q575" t="s">
        <v>23</v>
      </c>
      <c r="R575" t="b">
        <f>OR(Таблица1[[#This Row],[Ежемесячный платеж]]&lt;$AC$5, Таблица1[[#This Row],[Ежемесячный платеж]]&gt;$AC$6)</f>
        <v>0</v>
      </c>
      <c r="S575" s="9">
        <f>(Таблица1[[#This Row],[Размер кредита]]-21824)/(789096-21824)</f>
        <v>0.31474366326413578</v>
      </c>
      <c r="T575" s="9">
        <f>(Таблица1[[#This Row],[Кредитный рейтинг]]-586)/(751-586)</f>
        <v>0.92121212121212126</v>
      </c>
      <c r="U575" s="9">
        <f>Таблица1[[#This Row],[Ежемесячный платеж]]/(Таблица1[[#This Row],[Годовой доход]]/12)</f>
        <v>0.21999516324062879</v>
      </c>
    </row>
    <row r="576" spans="1:21" x14ac:dyDescent="0.3">
      <c r="A576">
        <v>575</v>
      </c>
      <c r="B576">
        <v>1</v>
      </c>
      <c r="C576" s="9">
        <v>177584</v>
      </c>
      <c r="D576">
        <f>$Y$13</f>
        <v>723</v>
      </c>
      <c r="E576">
        <f>$AB$13</f>
        <v>1168044</v>
      </c>
      <c r="F576">
        <v>0</v>
      </c>
      <c r="G576">
        <v>19631.18</v>
      </c>
      <c r="H576">
        <v>14.5</v>
      </c>
      <c r="I576">
        <v>12</v>
      </c>
      <c r="J576">
        <v>270104</v>
      </c>
      <c r="K576">
        <v>415316</v>
      </c>
      <c r="L576" t="s">
        <v>29</v>
      </c>
      <c r="M576" t="s">
        <v>617</v>
      </c>
      <c r="N576" t="s">
        <v>26</v>
      </c>
      <c r="O576" t="s">
        <v>21</v>
      </c>
      <c r="P576" t="s">
        <v>22</v>
      </c>
      <c r="Q576" t="s">
        <v>23</v>
      </c>
      <c r="R576" t="b">
        <f>OR(Таблица1[[#This Row],[Ежемесячный платеж]]&lt;$AC$5, Таблица1[[#This Row],[Ежемесячный платеж]]&gt;$AC$6)</f>
        <v>0</v>
      </c>
      <c r="S576" s="9">
        <f>(Таблица1[[#This Row],[Размер кредита]]-21824)/(789096-21824)</f>
        <v>0.20300493175822915</v>
      </c>
      <c r="T576" s="9">
        <f>(Таблица1[[#This Row],[Кредитный рейтинг]]-586)/(751-586)</f>
        <v>0.83030303030303032</v>
      </c>
      <c r="U576" s="9">
        <f>Таблица1[[#This Row],[Ежемесячный платеж]]/(Таблица1[[#This Row],[Годовой доход]]/12)</f>
        <v>0.20168260784696468</v>
      </c>
    </row>
    <row r="577" spans="1:21" x14ac:dyDescent="0.3">
      <c r="A577">
        <v>576</v>
      </c>
      <c r="B577">
        <v>1</v>
      </c>
      <c r="C577" s="9">
        <v>552750</v>
      </c>
      <c r="D577">
        <v>723</v>
      </c>
      <c r="E577" s="1">
        <v>954750</v>
      </c>
      <c r="F577">
        <v>0</v>
      </c>
      <c r="G577">
        <v>3389.41</v>
      </c>
      <c r="H577">
        <v>29.2</v>
      </c>
      <c r="I577">
        <v>12</v>
      </c>
      <c r="J577">
        <v>169404</v>
      </c>
      <c r="K577">
        <v>797390</v>
      </c>
      <c r="L577" t="s">
        <v>24</v>
      </c>
      <c r="M577" t="s">
        <v>618</v>
      </c>
      <c r="N577" t="s">
        <v>26</v>
      </c>
      <c r="O577" t="s">
        <v>21</v>
      </c>
      <c r="P577" t="s">
        <v>31</v>
      </c>
      <c r="Q577" t="s">
        <v>23</v>
      </c>
      <c r="R577" t="b">
        <f>OR(Таблица1[[#This Row],[Ежемесячный платеж]]&lt;$AC$5, Таблица1[[#This Row],[Ежемесячный платеж]]&gt;$AC$6)</f>
        <v>0</v>
      </c>
      <c r="S577" s="9">
        <f>(Таблица1[[#This Row],[Размер кредита]]-21824)/(789096-21824)</f>
        <v>0.69196582176855148</v>
      </c>
      <c r="T577" s="9">
        <f>(Таблица1[[#This Row],[Кредитный рейтинг]]-586)/(751-586)</f>
        <v>0.83030303030303032</v>
      </c>
      <c r="U577" s="9">
        <f>Таблица1[[#This Row],[Ежемесячный платеж]]/(Таблица1[[#This Row],[Годовой доход]]/12)</f>
        <v>4.260059701492537E-2</v>
      </c>
    </row>
    <row r="578" spans="1:21" x14ac:dyDescent="0.3">
      <c r="A578">
        <v>577</v>
      </c>
      <c r="B578">
        <v>0</v>
      </c>
      <c r="D578">
        <v>727</v>
      </c>
      <c r="E578" s="1">
        <v>1857060</v>
      </c>
      <c r="F578">
        <v>0</v>
      </c>
      <c r="G578">
        <v>33427.08</v>
      </c>
      <c r="H578">
        <v>15.3</v>
      </c>
      <c r="I578">
        <v>13</v>
      </c>
      <c r="J578">
        <v>443954</v>
      </c>
      <c r="K578">
        <v>580844</v>
      </c>
      <c r="L578" t="s">
        <v>24</v>
      </c>
      <c r="M578" t="s">
        <v>619</v>
      </c>
      <c r="N578" t="s">
        <v>26</v>
      </c>
      <c r="O578" t="s">
        <v>21</v>
      </c>
      <c r="P578" t="s">
        <v>31</v>
      </c>
      <c r="Q578" t="s">
        <v>23</v>
      </c>
      <c r="R578" t="b">
        <f>OR(Таблица1[[#This Row],[Ежемесячный платеж]]&lt;$AC$5, Таблица1[[#This Row],[Ежемесячный платеж]]&gt;$AC$6)</f>
        <v>0</v>
      </c>
      <c r="T578" s="9">
        <f>(Таблица1[[#This Row],[Кредитный рейтинг]]-586)/(751-586)</f>
        <v>0.8545454545454545</v>
      </c>
      <c r="U578" s="9">
        <f>Таблица1[[#This Row],[Ежемесячный платеж]]/(Таблица1[[#This Row],[Годовой доход]]/12)</f>
        <v>0.216</v>
      </c>
    </row>
    <row r="579" spans="1:21" x14ac:dyDescent="0.3">
      <c r="A579">
        <v>578</v>
      </c>
      <c r="B579">
        <v>0</v>
      </c>
      <c r="C579" s="9">
        <v>762454</v>
      </c>
      <c r="D579">
        <v>695</v>
      </c>
      <c r="E579" s="1">
        <v>1467484</v>
      </c>
      <c r="F579">
        <v>54</v>
      </c>
      <c r="G579">
        <v>10199.01</v>
      </c>
      <c r="H579">
        <v>17.399999999999999</v>
      </c>
      <c r="I579">
        <v>6</v>
      </c>
      <c r="J579">
        <v>129884</v>
      </c>
      <c r="K579">
        <v>674454</v>
      </c>
      <c r="L579" t="s">
        <v>24</v>
      </c>
      <c r="M579" t="s">
        <v>620</v>
      </c>
      <c r="N579" t="s">
        <v>20</v>
      </c>
      <c r="O579" t="s">
        <v>21</v>
      </c>
      <c r="P579" t="s">
        <v>22</v>
      </c>
      <c r="Q579" t="s">
        <v>23</v>
      </c>
      <c r="R579" t="b">
        <f>OR(Таблица1[[#This Row],[Ежемесячный платеж]]&lt;$AC$5, Таблица1[[#This Row],[Ежемесячный платеж]]&gt;$AC$6)</f>
        <v>0</v>
      </c>
      <c r="S579" s="9">
        <f>(Таблица1[[#This Row],[Размер кредита]]-21824)/(789096-21824)</f>
        <v>0.96527698130519557</v>
      </c>
      <c r="T579" s="9">
        <f>(Таблица1[[#This Row],[Кредитный рейтинг]]-586)/(751-586)</f>
        <v>0.66060606060606064</v>
      </c>
      <c r="U579" s="9">
        <f>Таблица1[[#This Row],[Ежемесячный платеж]]/(Таблица1[[#This Row],[Годовой доход]]/12)</f>
        <v>8.3399968926407386E-2</v>
      </c>
    </row>
    <row r="580" spans="1:21" x14ac:dyDescent="0.3">
      <c r="A580">
        <v>579</v>
      </c>
      <c r="B580">
        <v>0</v>
      </c>
      <c r="C580" s="9">
        <v>304062</v>
      </c>
      <c r="D580">
        <v>636</v>
      </c>
      <c r="E580" s="1">
        <v>2344600</v>
      </c>
      <c r="F580">
        <v>21</v>
      </c>
      <c r="G580">
        <v>9163.51</v>
      </c>
      <c r="H580">
        <v>14.8</v>
      </c>
      <c r="I580">
        <v>15</v>
      </c>
      <c r="J580">
        <v>440838</v>
      </c>
      <c r="K580">
        <v>743006</v>
      </c>
      <c r="L580" t="s">
        <v>37</v>
      </c>
      <c r="M580" t="s">
        <v>621</v>
      </c>
      <c r="N580" t="s">
        <v>26</v>
      </c>
      <c r="O580" t="s">
        <v>34</v>
      </c>
      <c r="P580" t="s">
        <v>31</v>
      </c>
      <c r="Q580" t="s">
        <v>23</v>
      </c>
      <c r="R580" t="b">
        <f>OR(Таблица1[[#This Row],[Ежемесячный платеж]]&lt;$AC$5, Таблица1[[#This Row],[Ежемесячный платеж]]&gt;$AC$6)</f>
        <v>0</v>
      </c>
      <c r="S580" s="9">
        <f>(Таблица1[[#This Row],[Размер кредита]]-21824)/(789096-21824)</f>
        <v>0.36784608326642965</v>
      </c>
      <c r="T580" s="9">
        <f>(Таблица1[[#This Row],[Кредитный рейтинг]]-586)/(751-586)</f>
        <v>0.30303030303030304</v>
      </c>
      <c r="U580" s="9">
        <f>Таблица1[[#This Row],[Ежемесячный платеж]]/(Таблица1[[#This Row],[Годовой доход]]/12)</f>
        <v>4.6900162074554295E-2</v>
      </c>
    </row>
    <row r="581" spans="1:21" x14ac:dyDescent="0.3">
      <c r="A581">
        <v>580</v>
      </c>
      <c r="B581">
        <v>0</v>
      </c>
      <c r="C581" s="9">
        <v>230362</v>
      </c>
      <c r="D581">
        <v>731</v>
      </c>
      <c r="E581" s="1">
        <v>1013479</v>
      </c>
      <c r="F581">
        <v>0</v>
      </c>
      <c r="G581">
        <v>24306.7</v>
      </c>
      <c r="H581">
        <v>22</v>
      </c>
      <c r="I581">
        <v>16</v>
      </c>
      <c r="J581">
        <v>542735</v>
      </c>
      <c r="K581">
        <v>1114234</v>
      </c>
      <c r="L581" t="s">
        <v>24</v>
      </c>
      <c r="M581" t="s">
        <v>622</v>
      </c>
      <c r="N581" t="s">
        <v>26</v>
      </c>
      <c r="O581" t="s">
        <v>21</v>
      </c>
      <c r="P581" t="s">
        <v>31</v>
      </c>
      <c r="Q581" t="s">
        <v>23</v>
      </c>
      <c r="R581" t="b">
        <f>OR(Таблица1[[#This Row],[Ежемесячный платеж]]&lt;$AC$5, Таблица1[[#This Row],[Ежемесячный платеж]]&gt;$AC$6)</f>
        <v>0</v>
      </c>
      <c r="S581" s="9">
        <f>(Таблица1[[#This Row],[Размер кредита]]-21824)/(789096-21824)</f>
        <v>0.27179148984975343</v>
      </c>
      <c r="T581" s="9">
        <f>(Таблица1[[#This Row],[Кредитный рейтинг]]-586)/(751-586)</f>
        <v>0.87878787878787878</v>
      </c>
      <c r="U581" s="9">
        <f>Таблица1[[#This Row],[Ежемесячный платеж]]/(Таблица1[[#This Row],[Годовой доход]]/12)</f>
        <v>0.28780112858776552</v>
      </c>
    </row>
    <row r="582" spans="1:21" x14ac:dyDescent="0.3">
      <c r="A582">
        <v>581</v>
      </c>
      <c r="B582">
        <v>0</v>
      </c>
      <c r="C582" s="9">
        <v>280588</v>
      </c>
      <c r="D582">
        <f>$Y$13</f>
        <v>723</v>
      </c>
      <c r="E582">
        <f>$AB$13</f>
        <v>1168044</v>
      </c>
      <c r="F582">
        <v>0</v>
      </c>
      <c r="G582">
        <v>17005.189999999999</v>
      </c>
      <c r="H582">
        <v>15</v>
      </c>
      <c r="I582">
        <v>11</v>
      </c>
      <c r="J582">
        <v>111226</v>
      </c>
      <c r="K582">
        <v>163856</v>
      </c>
      <c r="L582" t="s">
        <v>24</v>
      </c>
      <c r="M582" t="s">
        <v>623</v>
      </c>
      <c r="N582" t="s">
        <v>26</v>
      </c>
      <c r="O582" t="s">
        <v>34</v>
      </c>
      <c r="P582" t="s">
        <v>22</v>
      </c>
      <c r="Q582" t="s">
        <v>36</v>
      </c>
      <c r="R582" t="b">
        <f>OR(Таблица1[[#This Row],[Ежемесячный платеж]]&lt;$AC$5, Таблица1[[#This Row],[Ежемесячный платеж]]&gt;$AC$6)</f>
        <v>0</v>
      </c>
      <c r="S582" s="9">
        <f>(Таблица1[[#This Row],[Размер кредита]]-21824)/(789096-21824)</f>
        <v>0.33725197843789423</v>
      </c>
      <c r="T582" s="9">
        <f>(Таблица1[[#This Row],[Кредитный рейтинг]]-586)/(751-586)</f>
        <v>0.83030303030303032</v>
      </c>
      <c r="U582" s="9">
        <f>Таблица1[[#This Row],[Ежемесячный платеж]]/(Таблица1[[#This Row],[Годовой доход]]/12)</f>
        <v>0.17470427483896153</v>
      </c>
    </row>
    <row r="583" spans="1:21" x14ac:dyDescent="0.3">
      <c r="A583">
        <v>582</v>
      </c>
      <c r="B583">
        <v>0</v>
      </c>
      <c r="C583" s="9">
        <v>87428</v>
      </c>
      <c r="D583">
        <v>743</v>
      </c>
      <c r="E583" s="1">
        <v>692474</v>
      </c>
      <c r="F583">
        <v>0</v>
      </c>
      <c r="G583">
        <v>7444.2</v>
      </c>
      <c r="H583">
        <v>10.7</v>
      </c>
      <c r="I583">
        <v>15</v>
      </c>
      <c r="J583">
        <v>106799</v>
      </c>
      <c r="K583">
        <v>464882</v>
      </c>
      <c r="L583" t="s">
        <v>37</v>
      </c>
      <c r="M583" t="s">
        <v>624</v>
      </c>
      <c r="N583" t="s">
        <v>68</v>
      </c>
      <c r="O583" t="s">
        <v>34</v>
      </c>
      <c r="P583" t="s">
        <v>22</v>
      </c>
      <c r="Q583" t="s">
        <v>23</v>
      </c>
      <c r="R583" t="b">
        <f>OR(Таблица1[[#This Row],[Ежемесячный платеж]]&lt;$AC$5, Таблица1[[#This Row],[Ежемесячный платеж]]&gt;$AC$6)</f>
        <v>0</v>
      </c>
      <c r="S583" s="9">
        <f>(Таблица1[[#This Row],[Размер кредита]]-21824)/(789096-21824)</f>
        <v>8.550292464732194E-2</v>
      </c>
      <c r="T583" s="9">
        <f>(Таблица1[[#This Row],[Кредитный рейтинг]]-586)/(751-586)</f>
        <v>0.95151515151515154</v>
      </c>
      <c r="U583" s="9">
        <f>Таблица1[[#This Row],[Ежемесячный платеж]]/(Таблица1[[#This Row],[Годовой доход]]/12)</f>
        <v>0.12900181089831531</v>
      </c>
    </row>
    <row r="584" spans="1:21" x14ac:dyDescent="0.3">
      <c r="A584">
        <v>583</v>
      </c>
      <c r="B584">
        <v>0</v>
      </c>
      <c r="C584" s="9">
        <v>397430</v>
      </c>
      <c r="D584">
        <f>$Y$13</f>
        <v>723</v>
      </c>
      <c r="E584">
        <f>$AB$13</f>
        <v>1168044</v>
      </c>
      <c r="F584">
        <v>0</v>
      </c>
      <c r="G584">
        <v>17517.62</v>
      </c>
      <c r="H584">
        <v>11.4</v>
      </c>
      <c r="I584">
        <v>9</v>
      </c>
      <c r="J584">
        <v>351177</v>
      </c>
      <c r="K584">
        <v>1213828</v>
      </c>
      <c r="L584" t="s">
        <v>47</v>
      </c>
      <c r="M584" t="s">
        <v>625</v>
      </c>
      <c r="N584" t="s">
        <v>26</v>
      </c>
      <c r="O584" t="s">
        <v>34</v>
      </c>
      <c r="P584" t="s">
        <v>31</v>
      </c>
      <c r="Q584" t="s">
        <v>23</v>
      </c>
      <c r="R584" t="b">
        <f>OR(Таблица1[[#This Row],[Ежемесячный платеж]]&lt;$AC$5, Таблица1[[#This Row],[Ежемесячный платеж]]&gt;$AC$6)</f>
        <v>0</v>
      </c>
      <c r="S584" s="9">
        <f>(Таблица1[[#This Row],[Размер кредита]]-21824)/(789096-21824)</f>
        <v>0.4895343502695263</v>
      </c>
      <c r="T584" s="9">
        <f>(Таблица1[[#This Row],[Кредитный рейтинг]]-586)/(751-586)</f>
        <v>0.83030303030303032</v>
      </c>
      <c r="U584" s="9">
        <f>Таблица1[[#This Row],[Ежемесячный платеж]]/(Таблица1[[#This Row],[Годовой доход]]/12)</f>
        <v>0.17996876829982431</v>
      </c>
    </row>
    <row r="585" spans="1:21" x14ac:dyDescent="0.3">
      <c r="A585">
        <v>584</v>
      </c>
      <c r="B585">
        <v>0</v>
      </c>
      <c r="C585" s="9">
        <v>153868</v>
      </c>
      <c r="D585">
        <v>741</v>
      </c>
      <c r="E585" s="1">
        <v>2183043</v>
      </c>
      <c r="F585">
        <v>38</v>
      </c>
      <c r="G585">
        <v>49482.080000000002</v>
      </c>
      <c r="H585">
        <v>24</v>
      </c>
      <c r="I585">
        <v>15</v>
      </c>
      <c r="J585">
        <v>688655</v>
      </c>
      <c r="K585">
        <v>887986</v>
      </c>
      <c r="L585" t="s">
        <v>50</v>
      </c>
      <c r="M585" t="s">
        <v>626</v>
      </c>
      <c r="N585" t="s">
        <v>26</v>
      </c>
      <c r="O585" t="s">
        <v>21</v>
      </c>
      <c r="P585" t="s">
        <v>22</v>
      </c>
      <c r="Q585" t="s">
        <v>23</v>
      </c>
      <c r="R585" t="b">
        <f>OR(Таблица1[[#This Row],[Ежемесячный платеж]]&lt;$AC$5, Таблица1[[#This Row],[Ежемесячный платеж]]&gt;$AC$6)</f>
        <v>1</v>
      </c>
      <c r="S585" s="9">
        <f>(Таблица1[[#This Row],[Размер кредита]]-21824)/(789096-21824)</f>
        <v>0.17209542378713155</v>
      </c>
      <c r="T585" s="9">
        <f>(Таблица1[[#This Row],[Кредитный рейтинг]]-586)/(751-586)</f>
        <v>0.93939393939393945</v>
      </c>
      <c r="U585" s="9">
        <f>Таблица1[[#This Row],[Ежемесячный платеж]]/(Таблица1[[#This Row],[Годовой доход]]/12)</f>
        <v>0.27199874670356927</v>
      </c>
    </row>
    <row r="586" spans="1:21" x14ac:dyDescent="0.3">
      <c r="A586">
        <v>585</v>
      </c>
      <c r="B586">
        <v>0</v>
      </c>
      <c r="D586">
        <v>733</v>
      </c>
      <c r="E586" s="1">
        <v>1381528</v>
      </c>
      <c r="F586">
        <v>0</v>
      </c>
      <c r="G586">
        <v>13009.49</v>
      </c>
      <c r="H586">
        <v>18.399999999999999</v>
      </c>
      <c r="I586">
        <v>8</v>
      </c>
      <c r="J586">
        <v>411464</v>
      </c>
      <c r="K586">
        <v>622776</v>
      </c>
      <c r="L586" t="s">
        <v>24</v>
      </c>
      <c r="M586" t="s">
        <v>627</v>
      </c>
      <c r="N586" t="s">
        <v>26</v>
      </c>
      <c r="O586" t="s">
        <v>21</v>
      </c>
      <c r="P586" t="s">
        <v>22</v>
      </c>
      <c r="Q586" t="s">
        <v>23</v>
      </c>
      <c r="R586" t="b">
        <f>OR(Таблица1[[#This Row],[Ежемесячный платеж]]&lt;$AC$5, Таблица1[[#This Row],[Ежемесячный платеж]]&gt;$AC$6)</f>
        <v>0</v>
      </c>
      <c r="T586" s="9">
        <f>(Таблица1[[#This Row],[Кредитный рейтинг]]-586)/(751-586)</f>
        <v>0.89090909090909087</v>
      </c>
      <c r="U586" s="9">
        <f>Таблица1[[#This Row],[Ежемесячный платеж]]/(Таблица1[[#This Row],[Годовой доход]]/12)</f>
        <v>0.11300088018483882</v>
      </c>
    </row>
    <row r="587" spans="1:21" x14ac:dyDescent="0.3">
      <c r="A587">
        <v>586</v>
      </c>
      <c r="B587">
        <v>0</v>
      </c>
      <c r="C587" s="9">
        <v>132704</v>
      </c>
      <c r="D587">
        <v>746</v>
      </c>
      <c r="E587" s="1">
        <v>1375391</v>
      </c>
      <c r="F587">
        <v>53</v>
      </c>
      <c r="G587">
        <v>12493.07</v>
      </c>
      <c r="H587">
        <v>15.5</v>
      </c>
      <c r="I587">
        <v>11</v>
      </c>
      <c r="J587">
        <v>129808</v>
      </c>
      <c r="K587">
        <v>356158</v>
      </c>
      <c r="L587" t="s">
        <v>37</v>
      </c>
      <c r="M587" t="s">
        <v>628</v>
      </c>
      <c r="N587" t="s">
        <v>26</v>
      </c>
      <c r="O587" t="s">
        <v>34</v>
      </c>
      <c r="P587" t="s">
        <v>22</v>
      </c>
      <c r="Q587" t="s">
        <v>23</v>
      </c>
      <c r="R587" t="b">
        <f>OR(Таблица1[[#This Row],[Ежемесячный платеж]]&lt;$AC$5, Таблица1[[#This Row],[Ежемесячный платеж]]&gt;$AC$6)</f>
        <v>0</v>
      </c>
      <c r="S587" s="9">
        <f>(Таблица1[[#This Row],[Размер кредита]]-21824)/(789096-21824)</f>
        <v>0.14451198531941736</v>
      </c>
      <c r="T587" s="9">
        <f>(Таблица1[[#This Row],[Кредитный рейтинг]]-586)/(751-586)</f>
        <v>0.96969696969696972</v>
      </c>
      <c r="U587" s="9">
        <f>Таблица1[[#This Row],[Ежемесячный платеж]]/(Таблица1[[#This Row],[Годовой доход]]/12)</f>
        <v>0.10899943361560457</v>
      </c>
    </row>
    <row r="588" spans="1:21" x14ac:dyDescent="0.3">
      <c r="A588">
        <v>587</v>
      </c>
      <c r="B588">
        <v>0</v>
      </c>
      <c r="C588" s="9">
        <v>316998</v>
      </c>
      <c r="D588">
        <v>702</v>
      </c>
      <c r="E588" s="1">
        <v>836494</v>
      </c>
      <c r="F588">
        <v>0</v>
      </c>
      <c r="G588">
        <v>19936.7</v>
      </c>
      <c r="H588">
        <v>25.6</v>
      </c>
      <c r="I588">
        <v>17</v>
      </c>
      <c r="J588">
        <v>293778</v>
      </c>
      <c r="K588">
        <v>499532</v>
      </c>
      <c r="L588" t="s">
        <v>24</v>
      </c>
      <c r="M588" t="s">
        <v>629</v>
      </c>
      <c r="N588" t="s">
        <v>26</v>
      </c>
      <c r="O588" t="s">
        <v>34</v>
      </c>
      <c r="P588" t="s">
        <v>31</v>
      </c>
      <c r="Q588" t="s">
        <v>23</v>
      </c>
      <c r="R588" t="b">
        <f>OR(Таблица1[[#This Row],[Ежемесячный платеж]]&lt;$AC$5, Таблица1[[#This Row],[Ежемесячный платеж]]&gt;$AC$6)</f>
        <v>0</v>
      </c>
      <c r="S588" s="9">
        <f>(Таблица1[[#This Row],[Размер кредита]]-21824)/(789096-21824)</f>
        <v>0.38470581488702832</v>
      </c>
      <c r="T588" s="9">
        <f>(Таблица1[[#This Row],[Кредитный рейтинг]]-586)/(751-586)</f>
        <v>0.70303030303030301</v>
      </c>
      <c r="U588" s="9">
        <f>Таблица1[[#This Row],[Ежемесячный платеж]]/(Таблица1[[#This Row],[Годовой доход]]/12)</f>
        <v>0.28600372507154864</v>
      </c>
    </row>
    <row r="589" spans="1:21" x14ac:dyDescent="0.3">
      <c r="A589">
        <v>588</v>
      </c>
      <c r="B589">
        <v>1</v>
      </c>
      <c r="C589" s="9">
        <v>387904</v>
      </c>
      <c r="D589">
        <f>$Y$13</f>
        <v>723</v>
      </c>
      <c r="E589">
        <f>$AB$13</f>
        <v>1168044</v>
      </c>
      <c r="F589">
        <v>0</v>
      </c>
      <c r="G589">
        <v>3782.52</v>
      </c>
      <c r="H589">
        <v>22.1</v>
      </c>
      <c r="I589">
        <v>13</v>
      </c>
      <c r="J589">
        <v>72238</v>
      </c>
      <c r="K589">
        <v>344256</v>
      </c>
      <c r="L589" t="s">
        <v>29</v>
      </c>
      <c r="M589" t="s">
        <v>630</v>
      </c>
      <c r="N589" t="s">
        <v>26</v>
      </c>
      <c r="O589" t="s">
        <v>21</v>
      </c>
      <c r="P589" t="s">
        <v>31</v>
      </c>
      <c r="Q589" t="s">
        <v>23</v>
      </c>
      <c r="R589" t="b">
        <f>OR(Таблица1[[#This Row],[Ежемесячный платеж]]&lt;$AC$5, Таблица1[[#This Row],[Ежемесячный платеж]]&gt;$AC$6)</f>
        <v>0</v>
      </c>
      <c r="S589" s="9">
        <f>(Таблица1[[#This Row],[Размер кредита]]-21824)/(789096-21824)</f>
        <v>0.47711893565775892</v>
      </c>
      <c r="T589" s="9">
        <f>(Таблица1[[#This Row],[Кредитный рейтинг]]-586)/(751-586)</f>
        <v>0.83030303030303032</v>
      </c>
      <c r="U589" s="9">
        <f>Таблица1[[#This Row],[Ежемесячный платеж]]/(Таблица1[[#This Row],[Годовой доход]]/12)</f>
        <v>3.886004294358774E-2</v>
      </c>
    </row>
    <row r="590" spans="1:21" x14ac:dyDescent="0.3">
      <c r="A590">
        <v>589</v>
      </c>
      <c r="B590">
        <v>0</v>
      </c>
      <c r="C590" s="9">
        <v>121440</v>
      </c>
      <c r="D590">
        <v>731</v>
      </c>
      <c r="E590" s="1">
        <v>749132</v>
      </c>
      <c r="F590">
        <v>22</v>
      </c>
      <c r="G590">
        <v>17479.62</v>
      </c>
      <c r="H590">
        <v>18.600000000000001</v>
      </c>
      <c r="I590">
        <v>15</v>
      </c>
      <c r="J590">
        <v>95456</v>
      </c>
      <c r="K590">
        <v>504702</v>
      </c>
      <c r="L590" t="s">
        <v>63</v>
      </c>
      <c r="M590" t="s">
        <v>631</v>
      </c>
      <c r="N590" t="s">
        <v>26</v>
      </c>
      <c r="O590" t="s">
        <v>34</v>
      </c>
      <c r="P590" t="s">
        <v>22</v>
      </c>
      <c r="Q590" t="s">
        <v>23</v>
      </c>
      <c r="R590" t="b">
        <f>OR(Таблица1[[#This Row],[Ежемесячный платеж]]&lt;$AC$5, Таблица1[[#This Row],[Ежемесячный платеж]]&gt;$AC$6)</f>
        <v>0</v>
      </c>
      <c r="S590" s="9">
        <f>(Таблица1[[#This Row],[Размер кредита]]-21824)/(789096-21824)</f>
        <v>0.12983140268379401</v>
      </c>
      <c r="T590" s="9">
        <f>(Таблица1[[#This Row],[Кредитный рейтинг]]-586)/(751-586)</f>
        <v>0.87878787878787878</v>
      </c>
      <c r="U590" s="9">
        <f>Таблица1[[#This Row],[Ежемесячный платеж]]/(Таблица1[[#This Row],[Годовой доход]]/12)</f>
        <v>0.27999797098508672</v>
      </c>
    </row>
    <row r="591" spans="1:21" x14ac:dyDescent="0.3">
      <c r="A591">
        <v>590</v>
      </c>
      <c r="B591">
        <v>2</v>
      </c>
      <c r="C591" s="9">
        <v>178640</v>
      </c>
      <c r="D591">
        <v>705</v>
      </c>
      <c r="E591" s="1">
        <v>1292095</v>
      </c>
      <c r="F591">
        <v>0</v>
      </c>
      <c r="G591">
        <v>12274.95</v>
      </c>
      <c r="H591">
        <v>20.100000000000001</v>
      </c>
      <c r="I591">
        <v>4</v>
      </c>
      <c r="J591">
        <v>140885</v>
      </c>
      <c r="K591">
        <v>290246</v>
      </c>
      <c r="L591" t="s">
        <v>24</v>
      </c>
      <c r="M591" t="s">
        <v>632</v>
      </c>
      <c r="N591" t="s">
        <v>26</v>
      </c>
      <c r="O591" t="s">
        <v>34</v>
      </c>
      <c r="P591" t="s">
        <v>22</v>
      </c>
      <c r="Q591" t="s">
        <v>23</v>
      </c>
      <c r="R591" t="b">
        <f>OR(Таблица1[[#This Row],[Ежемесячный платеж]]&lt;$AC$5, Таблица1[[#This Row],[Ежемесячный платеж]]&gt;$AC$6)</f>
        <v>0</v>
      </c>
      <c r="S591" s="9">
        <f>(Таблица1[[#This Row],[Размер кредита]]-21824)/(789096-21824)</f>
        <v>0.20438123638031885</v>
      </c>
      <c r="T591" s="9">
        <f>(Таблица1[[#This Row],[Кредитный рейтинг]]-586)/(751-586)</f>
        <v>0.72121212121212119</v>
      </c>
      <c r="U591" s="9">
        <f>Таблица1[[#This Row],[Ежемесячный платеж]]/(Таблица1[[#This Row],[Годовой доход]]/12)</f>
        <v>0.11400044114403354</v>
      </c>
    </row>
    <row r="592" spans="1:21" x14ac:dyDescent="0.3">
      <c r="A592">
        <v>591</v>
      </c>
      <c r="B592">
        <v>0</v>
      </c>
      <c r="C592" s="9">
        <v>671836</v>
      </c>
      <c r="D592">
        <v>707</v>
      </c>
      <c r="E592" s="1">
        <v>1318695</v>
      </c>
      <c r="F592">
        <v>31</v>
      </c>
      <c r="G592">
        <v>18022.259999999998</v>
      </c>
      <c r="H592">
        <v>21.1</v>
      </c>
      <c r="I592">
        <v>9</v>
      </c>
      <c r="J592">
        <v>146965</v>
      </c>
      <c r="K592">
        <v>348700</v>
      </c>
      <c r="L592" t="s">
        <v>37</v>
      </c>
      <c r="M592" t="s">
        <v>633</v>
      </c>
      <c r="N592" t="s">
        <v>26</v>
      </c>
      <c r="O592" t="s">
        <v>21</v>
      </c>
      <c r="P592" t="s">
        <v>22</v>
      </c>
      <c r="Q592" t="s">
        <v>23</v>
      </c>
      <c r="R592" t="b">
        <f>OR(Таблица1[[#This Row],[Ежемесячный платеж]]&lt;$AC$5, Таблица1[[#This Row],[Ежемесячный платеж]]&gt;$AC$6)</f>
        <v>0</v>
      </c>
      <c r="S592" s="9">
        <f>(Таблица1[[#This Row],[Размер кредита]]-21824)/(789096-21824)</f>
        <v>0.84717284092212408</v>
      </c>
      <c r="T592" s="9">
        <f>(Таблица1[[#This Row],[Кредитный рейтинг]]-586)/(751-586)</f>
        <v>0.73333333333333328</v>
      </c>
      <c r="U592" s="9">
        <f>Таблица1[[#This Row],[Ежемесячный платеж]]/(Таблица1[[#This Row],[Годовой доход]]/12)</f>
        <v>0.16400086449103088</v>
      </c>
    </row>
    <row r="593" spans="1:21" x14ac:dyDescent="0.3">
      <c r="A593">
        <v>592</v>
      </c>
      <c r="B593">
        <v>0</v>
      </c>
      <c r="C593" s="9">
        <v>588962</v>
      </c>
      <c r="D593">
        <v>678</v>
      </c>
      <c r="E593" s="1">
        <v>1412897</v>
      </c>
      <c r="F593">
        <v>0</v>
      </c>
      <c r="G593">
        <v>16719.240000000002</v>
      </c>
      <c r="H593">
        <v>18.5</v>
      </c>
      <c r="I593">
        <v>13</v>
      </c>
      <c r="J593">
        <v>424498</v>
      </c>
      <c r="K593">
        <v>785202</v>
      </c>
      <c r="L593" t="s">
        <v>37</v>
      </c>
      <c r="M593" t="s">
        <v>634</v>
      </c>
      <c r="N593" t="s">
        <v>26</v>
      </c>
      <c r="O593" t="s">
        <v>21</v>
      </c>
      <c r="P593" t="s">
        <v>31</v>
      </c>
      <c r="Q593" t="s">
        <v>23</v>
      </c>
      <c r="R593" t="b">
        <f>OR(Таблица1[[#This Row],[Ежемесячный платеж]]&lt;$AC$5, Таблица1[[#This Row],[Ежемесячный платеж]]&gt;$AC$6)</f>
        <v>0</v>
      </c>
      <c r="S593" s="9">
        <f>(Таблица1[[#This Row],[Размер кредита]]-21824)/(789096-21824)</f>
        <v>0.73916160110104367</v>
      </c>
      <c r="T593" s="9">
        <f>(Таблица1[[#This Row],[Кредитный рейтинг]]-586)/(751-586)</f>
        <v>0.55757575757575761</v>
      </c>
      <c r="U593" s="9">
        <f>Таблица1[[#This Row],[Ежемесячный платеж]]/(Таблица1[[#This Row],[Годовой доход]]/12)</f>
        <v>0.14199965036375617</v>
      </c>
    </row>
    <row r="594" spans="1:21" x14ac:dyDescent="0.3">
      <c r="A594">
        <v>593</v>
      </c>
      <c r="B594">
        <v>0</v>
      </c>
      <c r="C594" s="9">
        <v>175010</v>
      </c>
      <c r="D594">
        <v>703</v>
      </c>
      <c r="E594" s="1">
        <v>785973</v>
      </c>
      <c r="F594">
        <v>0</v>
      </c>
      <c r="G594">
        <v>9890.26</v>
      </c>
      <c r="H594">
        <v>12.1</v>
      </c>
      <c r="I594">
        <v>5</v>
      </c>
      <c r="J594">
        <v>182115</v>
      </c>
      <c r="K594">
        <v>234036</v>
      </c>
      <c r="L594" t="s">
        <v>24</v>
      </c>
      <c r="M594" t="s">
        <v>635</v>
      </c>
      <c r="N594" t="s">
        <v>26</v>
      </c>
      <c r="O594" t="s">
        <v>21</v>
      </c>
      <c r="P594" t="s">
        <v>22</v>
      </c>
      <c r="Q594" t="s">
        <v>23</v>
      </c>
      <c r="R594" t="b">
        <f>OR(Таблица1[[#This Row],[Ежемесячный платеж]]&lt;$AC$5, Таблица1[[#This Row],[Ежемесячный платеж]]&gt;$AC$6)</f>
        <v>0</v>
      </c>
      <c r="S594" s="9">
        <f>(Таблица1[[#This Row],[Размер кредита]]-21824)/(789096-21824)</f>
        <v>0.19965018924188555</v>
      </c>
      <c r="T594" s="9">
        <f>(Таблица1[[#This Row],[Кредитный рейтинг]]-586)/(751-586)</f>
        <v>0.70909090909090911</v>
      </c>
      <c r="U594" s="9">
        <f>Таблица1[[#This Row],[Ежемесячный платеж]]/(Таблица1[[#This Row],[Годовой доход]]/12)</f>
        <v>0.15100152295307853</v>
      </c>
    </row>
    <row r="595" spans="1:21" x14ac:dyDescent="0.3">
      <c r="A595">
        <v>594</v>
      </c>
      <c r="B595">
        <v>0</v>
      </c>
      <c r="C595" s="9">
        <v>429440</v>
      </c>
      <c r="D595">
        <v>674</v>
      </c>
      <c r="E595" s="1">
        <v>1383599</v>
      </c>
      <c r="F595">
        <v>49</v>
      </c>
      <c r="G595">
        <v>11760.62</v>
      </c>
      <c r="H595">
        <v>33.5</v>
      </c>
      <c r="I595">
        <v>9</v>
      </c>
      <c r="J595">
        <v>206853</v>
      </c>
      <c r="K595">
        <v>318076</v>
      </c>
      <c r="L595" t="s">
        <v>24</v>
      </c>
      <c r="M595" t="s">
        <v>636</v>
      </c>
      <c r="N595" t="s">
        <v>20</v>
      </c>
      <c r="O595" t="s">
        <v>21</v>
      </c>
      <c r="P595" t="s">
        <v>31</v>
      </c>
      <c r="Q595" t="s">
        <v>23</v>
      </c>
      <c r="R595" t="b">
        <f>OR(Таблица1[[#This Row],[Ежемесячный платеж]]&lt;$AC$5, Таблица1[[#This Row],[Ежемесячный платеж]]&gt;$AC$6)</f>
        <v>0</v>
      </c>
      <c r="S595" s="9">
        <f>(Таблица1[[#This Row],[Размер кредита]]-21824)/(789096-21824)</f>
        <v>0.53125358412662005</v>
      </c>
      <c r="T595" s="9">
        <f>(Таблица1[[#This Row],[Кредитный рейтинг]]-586)/(751-586)</f>
        <v>0.53333333333333333</v>
      </c>
      <c r="U595" s="9">
        <f>Таблица1[[#This Row],[Ежемесячный платеж]]/(Таблица1[[#This Row],[Годовой доход]]/12)</f>
        <v>0.10200024718144492</v>
      </c>
    </row>
    <row r="596" spans="1:21" x14ac:dyDescent="0.3">
      <c r="A596">
        <v>595</v>
      </c>
      <c r="B596">
        <v>0</v>
      </c>
      <c r="C596" s="9">
        <v>777084</v>
      </c>
      <c r="D596">
        <v>725</v>
      </c>
      <c r="E596" s="1">
        <v>3355970</v>
      </c>
      <c r="F596">
        <v>0</v>
      </c>
      <c r="G596">
        <v>26623.94</v>
      </c>
      <c r="H596">
        <v>26.7</v>
      </c>
      <c r="I596">
        <v>13</v>
      </c>
      <c r="J596">
        <v>3276284</v>
      </c>
      <c r="L596" t="s">
        <v>47</v>
      </c>
      <c r="M596" t="s">
        <v>637</v>
      </c>
      <c r="N596" t="s">
        <v>20</v>
      </c>
      <c r="O596" t="s">
        <v>21</v>
      </c>
      <c r="P596" t="s">
        <v>31</v>
      </c>
      <c r="Q596" t="s">
        <v>23</v>
      </c>
      <c r="R596" t="b">
        <f>OR(Таблица1[[#This Row],[Ежемесячный платеж]]&lt;$AC$5, Таблица1[[#This Row],[Ежемесячный платеж]]&gt;$AC$6)</f>
        <v>0</v>
      </c>
      <c r="S596" s="9">
        <f>(Таблица1[[#This Row],[Размер кредита]]-21824)/(789096-21824)</f>
        <v>0.98434453492372975</v>
      </c>
      <c r="T596" s="9">
        <f>(Таблица1[[#This Row],[Кредитный рейтинг]]-586)/(751-586)</f>
        <v>0.84242424242424241</v>
      </c>
      <c r="U596" s="9">
        <f>Таблица1[[#This Row],[Ежемесячный платеж]]/(Таблица1[[#This Row],[Годовой доход]]/12)</f>
        <v>9.5199682953065717E-2</v>
      </c>
    </row>
    <row r="597" spans="1:21" x14ac:dyDescent="0.3">
      <c r="A597">
        <v>596</v>
      </c>
      <c r="B597">
        <v>0</v>
      </c>
      <c r="C597" s="9">
        <v>109582</v>
      </c>
      <c r="D597">
        <v>744</v>
      </c>
      <c r="E597" s="1">
        <v>1514224</v>
      </c>
      <c r="F597">
        <v>0</v>
      </c>
      <c r="G597">
        <v>10637.34</v>
      </c>
      <c r="H597">
        <v>10.1</v>
      </c>
      <c r="I597">
        <v>7</v>
      </c>
      <c r="J597">
        <v>23294</v>
      </c>
      <c r="K597">
        <v>85382</v>
      </c>
      <c r="L597" t="s">
        <v>47</v>
      </c>
      <c r="M597" t="s">
        <v>638</v>
      </c>
      <c r="N597" t="s">
        <v>26</v>
      </c>
      <c r="O597" t="s">
        <v>21</v>
      </c>
      <c r="P597" t="s">
        <v>22</v>
      </c>
      <c r="Q597" t="s">
        <v>23</v>
      </c>
      <c r="R597" t="b">
        <f>OR(Таблица1[[#This Row],[Ежемесячный платеж]]&lt;$AC$5, Таблица1[[#This Row],[Ежемесячный платеж]]&gt;$AC$6)</f>
        <v>0</v>
      </c>
      <c r="S597" s="9">
        <f>(Таблица1[[#This Row],[Размер кредита]]-21824)/(789096-21824)</f>
        <v>0.11437664869824521</v>
      </c>
      <c r="T597" s="9">
        <f>(Таблица1[[#This Row],[Кредитный рейтинг]]-586)/(751-586)</f>
        <v>0.95757575757575752</v>
      </c>
      <c r="U597" s="9">
        <f>Таблица1[[#This Row],[Ежемесячный платеж]]/(Таблица1[[#This Row],[Годовой доход]]/12)</f>
        <v>8.4299337482433248E-2</v>
      </c>
    </row>
    <row r="598" spans="1:21" x14ac:dyDescent="0.3">
      <c r="A598">
        <v>597</v>
      </c>
      <c r="B598">
        <v>0</v>
      </c>
      <c r="C598" s="9">
        <v>483604</v>
      </c>
      <c r="D598">
        <v>731</v>
      </c>
      <c r="E598" s="1">
        <v>1213853</v>
      </c>
      <c r="F598">
        <v>49</v>
      </c>
      <c r="G598">
        <v>20938.759999999998</v>
      </c>
      <c r="H598">
        <v>31.3</v>
      </c>
      <c r="I598">
        <v>17</v>
      </c>
      <c r="J598">
        <v>310802</v>
      </c>
      <c r="K598">
        <v>624800</v>
      </c>
      <c r="L598" t="s">
        <v>24</v>
      </c>
      <c r="M598" t="s">
        <v>639</v>
      </c>
      <c r="N598" t="s">
        <v>26</v>
      </c>
      <c r="O598" t="s">
        <v>21</v>
      </c>
      <c r="P598" t="s">
        <v>31</v>
      </c>
      <c r="Q598" t="s">
        <v>23</v>
      </c>
      <c r="R598" t="b">
        <f>OR(Таблица1[[#This Row],[Ежемесячный платеж]]&lt;$AC$5, Таблица1[[#This Row],[Ежемесячный платеж]]&gt;$AC$6)</f>
        <v>0</v>
      </c>
      <c r="S598" s="9">
        <f>(Таблица1[[#This Row],[Размер кредита]]-21824)/(789096-21824)</f>
        <v>0.60184654203463694</v>
      </c>
      <c r="T598" s="9">
        <f>(Таблица1[[#This Row],[Кредитный рейтинг]]-586)/(751-586)</f>
        <v>0.87878787878787878</v>
      </c>
      <c r="U598" s="9">
        <f>Таблица1[[#This Row],[Ежемесячный платеж]]/(Таблица1[[#This Row],[Годовой доход]]/12)</f>
        <v>0.20699798080986739</v>
      </c>
    </row>
    <row r="599" spans="1:21" x14ac:dyDescent="0.3">
      <c r="A599">
        <v>598</v>
      </c>
      <c r="B599">
        <v>0</v>
      </c>
      <c r="C599" s="9">
        <v>341308</v>
      </c>
      <c r="D599">
        <v>741</v>
      </c>
      <c r="E599" s="1">
        <v>669503</v>
      </c>
      <c r="F599">
        <v>0</v>
      </c>
      <c r="G599">
        <v>9317.2199999999993</v>
      </c>
      <c r="H599">
        <v>11.4</v>
      </c>
      <c r="I599">
        <v>6</v>
      </c>
      <c r="J599">
        <v>379601</v>
      </c>
      <c r="K599">
        <v>646404</v>
      </c>
      <c r="L599" t="s">
        <v>47</v>
      </c>
      <c r="M599" t="s">
        <v>640</v>
      </c>
      <c r="N599" t="s">
        <v>26</v>
      </c>
      <c r="O599" t="s">
        <v>34</v>
      </c>
      <c r="P599" t="s">
        <v>22</v>
      </c>
      <c r="Q599" t="s">
        <v>36</v>
      </c>
      <c r="R599" t="b">
        <f>OR(Таблица1[[#This Row],[Ежемесячный платеж]]&lt;$AC$5, Таблица1[[#This Row],[Ежемесячный платеж]]&gt;$AC$6)</f>
        <v>0</v>
      </c>
      <c r="S599" s="9">
        <f>(Таблица1[[#This Row],[Размер кредита]]-21824)/(789096-21824)</f>
        <v>0.41638949420805138</v>
      </c>
      <c r="T599" s="9">
        <f>(Таблица1[[#This Row],[Кредитный рейтинг]]-586)/(751-586)</f>
        <v>0.93939393939393945</v>
      </c>
      <c r="U599" s="9">
        <f>Таблица1[[#This Row],[Ежемесячный платеж]]/(Таблица1[[#This Row],[Годовой доход]]/12)</f>
        <v>0.1669994607940517</v>
      </c>
    </row>
    <row r="600" spans="1:21" x14ac:dyDescent="0.3">
      <c r="A600">
        <v>599</v>
      </c>
      <c r="B600">
        <v>1</v>
      </c>
      <c r="C600" s="9">
        <v>152416</v>
      </c>
      <c r="D600">
        <v>747</v>
      </c>
      <c r="E600" s="1">
        <v>637241</v>
      </c>
      <c r="F600">
        <v>0</v>
      </c>
      <c r="G600">
        <v>12521.76</v>
      </c>
      <c r="H600">
        <v>19.8</v>
      </c>
      <c r="I600">
        <v>9</v>
      </c>
      <c r="J600">
        <v>120118</v>
      </c>
      <c r="K600">
        <v>221122</v>
      </c>
      <c r="L600" t="s">
        <v>32</v>
      </c>
      <c r="M600" t="s">
        <v>641</v>
      </c>
      <c r="N600" t="s">
        <v>26</v>
      </c>
      <c r="O600" t="s">
        <v>21</v>
      </c>
      <c r="P600" t="s">
        <v>22</v>
      </c>
      <c r="Q600" t="s">
        <v>23</v>
      </c>
      <c r="R600" t="b">
        <f>OR(Таблица1[[#This Row],[Ежемесячный платеж]]&lt;$AC$5, Таблица1[[#This Row],[Ежемесячный платеж]]&gt;$AC$6)</f>
        <v>0</v>
      </c>
      <c r="S600" s="9">
        <f>(Таблица1[[#This Row],[Размер кредита]]-21824)/(789096-21824)</f>
        <v>0.17020300493175822</v>
      </c>
      <c r="T600" s="9">
        <f>(Таблица1[[#This Row],[Кредитный рейтинг]]-586)/(751-586)</f>
        <v>0.97575757575757571</v>
      </c>
      <c r="U600" s="9">
        <f>Таблица1[[#This Row],[Ежемесячный платеж]]/(Таблица1[[#This Row],[Годовой доход]]/12)</f>
        <v>0.23579951698023199</v>
      </c>
    </row>
    <row r="601" spans="1:21" x14ac:dyDescent="0.3">
      <c r="A601">
        <v>600</v>
      </c>
      <c r="B601">
        <v>0</v>
      </c>
      <c r="C601" s="9">
        <v>327426</v>
      </c>
      <c r="D601">
        <v>713</v>
      </c>
      <c r="E601" s="1">
        <v>3676101</v>
      </c>
      <c r="F601">
        <v>49</v>
      </c>
      <c r="G601">
        <v>38292.79</v>
      </c>
      <c r="H601">
        <v>29.8</v>
      </c>
      <c r="I601">
        <v>13</v>
      </c>
      <c r="J601">
        <v>429115</v>
      </c>
      <c r="K601">
        <v>661628</v>
      </c>
      <c r="L601" t="s">
        <v>24</v>
      </c>
      <c r="M601" t="s">
        <v>642</v>
      </c>
      <c r="N601" t="s">
        <v>26</v>
      </c>
      <c r="O601" t="s">
        <v>21</v>
      </c>
      <c r="P601" t="s">
        <v>31</v>
      </c>
      <c r="Q601" t="s">
        <v>23</v>
      </c>
      <c r="R601" t="b">
        <f>OR(Таблица1[[#This Row],[Ежемесячный платеж]]&lt;$AC$5, Таблица1[[#This Row],[Ежемесячный платеж]]&gt;$AC$6)</f>
        <v>0</v>
      </c>
      <c r="S601" s="9">
        <f>(Таблица1[[#This Row],[Размер кредита]]-21824)/(789096-21824)</f>
        <v>0.398296823030164</v>
      </c>
      <c r="T601" s="9">
        <f>(Таблица1[[#This Row],[Кредитный рейтинг]]-586)/(751-586)</f>
        <v>0.76969696969696966</v>
      </c>
      <c r="U601" s="9">
        <f>Таблица1[[#This Row],[Ежемесячный платеж]]/(Таблица1[[#This Row],[Годовой доход]]/12)</f>
        <v>0.12500023258338114</v>
      </c>
    </row>
    <row r="602" spans="1:21" x14ac:dyDescent="0.3">
      <c r="A602">
        <v>601</v>
      </c>
      <c r="B602">
        <v>0</v>
      </c>
      <c r="C602" s="9">
        <v>78298</v>
      </c>
      <c r="D602">
        <f>$Y$13</f>
        <v>723</v>
      </c>
      <c r="E602">
        <f>$AB$13</f>
        <v>1168044</v>
      </c>
      <c r="F602">
        <v>0</v>
      </c>
      <c r="G602">
        <v>16590.23</v>
      </c>
      <c r="H602">
        <v>9.4</v>
      </c>
      <c r="I602">
        <v>8</v>
      </c>
      <c r="J602">
        <v>237272</v>
      </c>
      <c r="K602">
        <v>282656</v>
      </c>
      <c r="L602" t="s">
        <v>63</v>
      </c>
      <c r="M602" t="s">
        <v>643</v>
      </c>
      <c r="N602" t="s">
        <v>26</v>
      </c>
      <c r="O602" t="s">
        <v>34</v>
      </c>
      <c r="P602" t="s">
        <v>22</v>
      </c>
      <c r="Q602" t="s">
        <v>36</v>
      </c>
      <c r="R602" t="b">
        <f>OR(Таблица1[[#This Row],[Ежемесячный платеж]]&lt;$AC$5, Таблица1[[#This Row],[Ежемесячный платеж]]&gt;$AC$6)</f>
        <v>0</v>
      </c>
      <c r="S602" s="9">
        <f>(Таблица1[[#This Row],[Размер кредита]]-21824)/(789096-21824)</f>
        <v>7.3603624268838166E-2</v>
      </c>
      <c r="T602" s="9">
        <f>(Таблица1[[#This Row],[Кредитный рейтинг]]-586)/(751-586)</f>
        <v>0.83030303030303032</v>
      </c>
      <c r="U602" s="9">
        <f>Таблица1[[#This Row],[Ежемесячный платеж]]/(Таблица1[[#This Row],[Годовой доход]]/12)</f>
        <v>0.17044114776498145</v>
      </c>
    </row>
    <row r="603" spans="1:21" x14ac:dyDescent="0.3">
      <c r="A603">
        <v>602</v>
      </c>
      <c r="B603">
        <v>1</v>
      </c>
      <c r="C603" s="9">
        <v>77000</v>
      </c>
      <c r="D603">
        <v>711</v>
      </c>
      <c r="E603" s="1">
        <v>674044</v>
      </c>
      <c r="F603">
        <v>0</v>
      </c>
      <c r="G603">
        <v>9942.32</v>
      </c>
      <c r="H603">
        <v>20.2</v>
      </c>
      <c r="I603">
        <v>5</v>
      </c>
      <c r="J603">
        <v>70794</v>
      </c>
      <c r="K603">
        <v>160710</v>
      </c>
      <c r="L603" t="s">
        <v>63</v>
      </c>
      <c r="M603" t="s">
        <v>644</v>
      </c>
      <c r="N603" t="s">
        <v>103</v>
      </c>
      <c r="O603" t="s">
        <v>28</v>
      </c>
      <c r="P603" t="s">
        <v>22</v>
      </c>
      <c r="Q603" t="s">
        <v>23</v>
      </c>
      <c r="R603" t="b">
        <f>OR(Таблица1[[#This Row],[Ежемесячный платеж]]&lt;$AC$5, Таблица1[[#This Row],[Ежемесячный платеж]]&gt;$AC$6)</f>
        <v>0</v>
      </c>
      <c r="S603" s="9">
        <f>(Таблица1[[#This Row],[Размер кредита]]-21824)/(789096-21824)</f>
        <v>7.1911916504186255E-2</v>
      </c>
      <c r="T603" s="9">
        <f>(Таблица1[[#This Row],[Кредитный рейтинг]]-586)/(751-586)</f>
        <v>0.75757575757575757</v>
      </c>
      <c r="U603" s="9">
        <f>Таблица1[[#This Row],[Ежемесячный платеж]]/(Таблица1[[#This Row],[Годовой доход]]/12)</f>
        <v>0.17700304431164729</v>
      </c>
    </row>
    <row r="604" spans="1:21" x14ac:dyDescent="0.3">
      <c r="A604">
        <v>603</v>
      </c>
      <c r="B604">
        <v>0</v>
      </c>
      <c r="C604" s="9">
        <v>535920</v>
      </c>
      <c r="D604">
        <v>743</v>
      </c>
      <c r="E604" s="1">
        <v>1253525</v>
      </c>
      <c r="F604">
        <v>0</v>
      </c>
      <c r="G604">
        <v>14310.99</v>
      </c>
      <c r="H604">
        <v>27.5</v>
      </c>
      <c r="I604">
        <v>16</v>
      </c>
      <c r="J604">
        <v>478857</v>
      </c>
      <c r="K604">
        <v>2291212</v>
      </c>
      <c r="L604" t="s">
        <v>32</v>
      </c>
      <c r="M604" t="s">
        <v>645</v>
      </c>
      <c r="N604" t="s">
        <v>26</v>
      </c>
      <c r="O604" t="s">
        <v>34</v>
      </c>
      <c r="P604" t="s">
        <v>31</v>
      </c>
      <c r="Q604" t="s">
        <v>36</v>
      </c>
      <c r="R604" t="b">
        <f>OR(Таблица1[[#This Row],[Ежемесячный платеж]]&lt;$AC$5, Таблица1[[#This Row],[Ежемесячный платеж]]&gt;$AC$6)</f>
        <v>0</v>
      </c>
      <c r="S604" s="9">
        <f>(Таблица1[[#This Row],[Размер кредита]]-21824)/(789096-21824)</f>
        <v>0.67003096685399699</v>
      </c>
      <c r="T604" s="9">
        <f>(Таблица1[[#This Row],[Кредитный рейтинг]]-586)/(751-586)</f>
        <v>0.95151515151515154</v>
      </c>
      <c r="U604" s="9">
        <f>Таблица1[[#This Row],[Ежемесячный платеж]]/(Таблица1[[#This Row],[Годовой доход]]/12)</f>
        <v>0.13699916635089049</v>
      </c>
    </row>
    <row r="605" spans="1:21" x14ac:dyDescent="0.3">
      <c r="A605">
        <v>604</v>
      </c>
      <c r="B605">
        <v>2</v>
      </c>
      <c r="C605" s="9">
        <v>266068</v>
      </c>
      <c r="D605">
        <f>$Y$13</f>
        <v>723</v>
      </c>
      <c r="E605">
        <f>$AB$13</f>
        <v>1168044</v>
      </c>
      <c r="F605">
        <v>52</v>
      </c>
      <c r="G605">
        <v>2970.46</v>
      </c>
      <c r="H605">
        <v>20.7</v>
      </c>
      <c r="I605">
        <v>13</v>
      </c>
      <c r="J605">
        <v>97717</v>
      </c>
      <c r="K605">
        <v>241758</v>
      </c>
      <c r="L605" t="s">
        <v>29</v>
      </c>
      <c r="M605" t="s">
        <v>646</v>
      </c>
      <c r="N605" t="s">
        <v>20</v>
      </c>
      <c r="O605" t="s">
        <v>21</v>
      </c>
      <c r="P605" t="s">
        <v>22</v>
      </c>
      <c r="Q605" t="s">
        <v>23</v>
      </c>
      <c r="R605" t="b">
        <f>OR(Таблица1[[#This Row],[Ежемесячный платеж]]&lt;$AC$5, Таблица1[[#This Row],[Ежемесячный платеж]]&gt;$AC$6)</f>
        <v>0</v>
      </c>
      <c r="S605" s="9">
        <f>(Таблица1[[#This Row],[Размер кредита]]-21824)/(789096-21824)</f>
        <v>0.31832778988416105</v>
      </c>
      <c r="T605" s="9">
        <f>(Таблица1[[#This Row],[Кредитный рейтинг]]-586)/(751-586)</f>
        <v>0.83030303030303032</v>
      </c>
      <c r="U605" s="9">
        <f>Таблица1[[#This Row],[Ежемесячный платеж]]/(Таблица1[[#This Row],[Годовой доход]]/12)</f>
        <v>3.0517275034159672E-2</v>
      </c>
    </row>
    <row r="606" spans="1:21" x14ac:dyDescent="0.3">
      <c r="A606">
        <v>605</v>
      </c>
      <c r="B606">
        <v>0</v>
      </c>
      <c r="C606" s="9">
        <v>553916</v>
      </c>
      <c r="D606">
        <v>594</v>
      </c>
      <c r="E606" s="1">
        <v>2009174</v>
      </c>
      <c r="F606">
        <v>0</v>
      </c>
      <c r="G606">
        <v>29451.14</v>
      </c>
      <c r="H606">
        <v>27.8</v>
      </c>
      <c r="I606">
        <v>10</v>
      </c>
      <c r="J606">
        <v>579443</v>
      </c>
      <c r="K606">
        <v>680460</v>
      </c>
      <c r="L606" t="s">
        <v>29</v>
      </c>
      <c r="M606" t="s">
        <v>647</v>
      </c>
      <c r="N606" t="s">
        <v>26</v>
      </c>
      <c r="O606" t="s">
        <v>21</v>
      </c>
      <c r="P606" t="s">
        <v>31</v>
      </c>
      <c r="Q606" t="s">
        <v>23</v>
      </c>
      <c r="R606" t="b">
        <f>OR(Таблица1[[#This Row],[Ежемесячный платеж]]&lt;$AC$5, Таблица1[[#This Row],[Ежемесячный платеж]]&gt;$AC$6)</f>
        <v>0</v>
      </c>
      <c r="S606" s="9">
        <f>(Таблица1[[#This Row],[Размер кредита]]-21824)/(789096-21824)</f>
        <v>0.69348549145544214</v>
      </c>
      <c r="T606" s="9">
        <f>(Таблица1[[#This Row],[Кредитный рейтинг]]-586)/(751-586)</f>
        <v>4.8484848484848485E-2</v>
      </c>
      <c r="U606" s="9">
        <f>Таблица1[[#This Row],[Ежемесячный платеж]]/(Таблица1[[#This Row],[Годовой доход]]/12)</f>
        <v>0.17589998676072854</v>
      </c>
    </row>
    <row r="607" spans="1:21" x14ac:dyDescent="0.3">
      <c r="A607">
        <v>606</v>
      </c>
      <c r="B607">
        <v>0</v>
      </c>
      <c r="C607" s="9">
        <v>349932</v>
      </c>
      <c r="D607">
        <v>721</v>
      </c>
      <c r="E607" s="1">
        <v>3602153</v>
      </c>
      <c r="F607">
        <v>15</v>
      </c>
      <c r="G607">
        <v>16029.54</v>
      </c>
      <c r="H607">
        <v>20</v>
      </c>
      <c r="I607">
        <v>17</v>
      </c>
      <c r="J607">
        <v>68989</v>
      </c>
      <c r="K607">
        <v>275462</v>
      </c>
      <c r="L607" t="s">
        <v>24</v>
      </c>
      <c r="M607" t="s">
        <v>648</v>
      </c>
      <c r="N607" t="s">
        <v>68</v>
      </c>
      <c r="O607" t="s">
        <v>21</v>
      </c>
      <c r="P607" t="s">
        <v>22</v>
      </c>
      <c r="Q607" t="s">
        <v>23</v>
      </c>
      <c r="R607" t="b">
        <f>OR(Таблица1[[#This Row],[Ежемесячный платеж]]&lt;$AC$5, Таблица1[[#This Row],[Ежемесячный платеж]]&gt;$AC$6)</f>
        <v>0</v>
      </c>
      <c r="S607" s="9">
        <f>(Таблица1[[#This Row],[Размер кредита]]-21824)/(789096-21824)</f>
        <v>0.4276293152884505</v>
      </c>
      <c r="T607" s="9">
        <f>(Таблица1[[#This Row],[Кредитный рейтинг]]-586)/(751-586)</f>
        <v>0.81818181818181823</v>
      </c>
      <c r="U607" s="9">
        <f>Таблица1[[#This Row],[Ежемесячный платеж]]/(Таблица1[[#This Row],[Годовой доход]]/12)</f>
        <v>5.3399863914719889E-2</v>
      </c>
    </row>
    <row r="608" spans="1:21" x14ac:dyDescent="0.3">
      <c r="A608">
        <v>607</v>
      </c>
      <c r="B608">
        <v>0</v>
      </c>
      <c r="C608" s="9">
        <v>134992</v>
      </c>
      <c r="D608">
        <v>728</v>
      </c>
      <c r="E608" s="1">
        <v>437209</v>
      </c>
      <c r="F608">
        <v>0</v>
      </c>
      <c r="G608">
        <v>9691.33</v>
      </c>
      <c r="H608">
        <v>7.7</v>
      </c>
      <c r="I608">
        <v>5</v>
      </c>
      <c r="J608">
        <v>102315</v>
      </c>
      <c r="K608">
        <v>180048</v>
      </c>
      <c r="L608" t="s">
        <v>41</v>
      </c>
      <c r="M608" t="s">
        <v>649</v>
      </c>
      <c r="N608" t="s">
        <v>26</v>
      </c>
      <c r="O608" t="s">
        <v>34</v>
      </c>
      <c r="P608" t="s">
        <v>22</v>
      </c>
      <c r="Q608" t="s">
        <v>36</v>
      </c>
      <c r="R608" t="b">
        <f>OR(Таблица1[[#This Row],[Ежемесячный платеж]]&lt;$AC$5, Таблица1[[#This Row],[Ежемесячный платеж]]&gt;$AC$6)</f>
        <v>0</v>
      </c>
      <c r="S608" s="9">
        <f>(Таблица1[[#This Row],[Размер кредита]]-21824)/(789096-21824)</f>
        <v>0.14749397866727837</v>
      </c>
      <c r="T608" s="9">
        <f>(Таблица1[[#This Row],[Кредитный рейтинг]]-586)/(751-586)</f>
        <v>0.8606060606060606</v>
      </c>
      <c r="U608" s="9">
        <f>Таблица1[[#This Row],[Ежемесячный платеж]]/(Таблица1[[#This Row],[Годовой доход]]/12)</f>
        <v>0.26599626265699011</v>
      </c>
    </row>
    <row r="609" spans="1:21" x14ac:dyDescent="0.3">
      <c r="A609">
        <v>608</v>
      </c>
      <c r="B609">
        <v>0</v>
      </c>
      <c r="C609" s="9">
        <v>765226</v>
      </c>
      <c r="D609">
        <v>726</v>
      </c>
      <c r="E609" s="1">
        <v>2643508</v>
      </c>
      <c r="F609">
        <v>0</v>
      </c>
      <c r="G609">
        <v>34806.1</v>
      </c>
      <c r="H609">
        <v>8.6</v>
      </c>
      <c r="I609">
        <v>9</v>
      </c>
      <c r="J609">
        <v>484937</v>
      </c>
      <c r="K609">
        <v>754710</v>
      </c>
      <c r="L609" t="s">
        <v>18</v>
      </c>
      <c r="M609" t="s">
        <v>650</v>
      </c>
      <c r="N609" t="s">
        <v>26</v>
      </c>
      <c r="O609" t="s">
        <v>21</v>
      </c>
      <c r="P609" t="s">
        <v>22</v>
      </c>
      <c r="Q609" t="s">
        <v>23</v>
      </c>
      <c r="R609" t="b">
        <f>OR(Таблица1[[#This Row],[Ежемесячный платеж]]&lt;$AC$5, Таблица1[[#This Row],[Ежемесячный платеж]]&gt;$AC$6)</f>
        <v>0</v>
      </c>
      <c r="S609" s="9">
        <f>(Таблица1[[#This Row],[Размер кредита]]-21824)/(789096-21824)</f>
        <v>0.96888978093818101</v>
      </c>
      <c r="T609" s="9">
        <f>(Таблица1[[#This Row],[Кредитный рейтинг]]-586)/(751-586)</f>
        <v>0.84848484848484851</v>
      </c>
      <c r="U609" s="9">
        <f>Таблица1[[#This Row],[Ежемесячный платеж]]/(Таблица1[[#This Row],[Годовой доход]]/12)</f>
        <v>0.15799959750452805</v>
      </c>
    </row>
    <row r="610" spans="1:21" x14ac:dyDescent="0.3">
      <c r="A610">
        <v>609</v>
      </c>
      <c r="B610">
        <v>0</v>
      </c>
      <c r="C610" s="9">
        <v>122870</v>
      </c>
      <c r="D610">
        <v>687</v>
      </c>
      <c r="E610" s="1">
        <v>2548432</v>
      </c>
      <c r="F610">
        <v>50</v>
      </c>
      <c r="G610">
        <v>52667.62</v>
      </c>
      <c r="H610">
        <v>13.5</v>
      </c>
      <c r="I610">
        <v>17</v>
      </c>
      <c r="J610">
        <v>363318</v>
      </c>
      <c r="K610">
        <v>585926</v>
      </c>
      <c r="L610" t="s">
        <v>47</v>
      </c>
      <c r="M610" t="s">
        <v>651</v>
      </c>
      <c r="N610" t="s">
        <v>68</v>
      </c>
      <c r="O610" t="s">
        <v>21</v>
      </c>
      <c r="P610" t="s">
        <v>22</v>
      </c>
      <c r="Q610" t="s">
        <v>23</v>
      </c>
      <c r="R610" t="b">
        <f>OR(Таблица1[[#This Row],[Ежемесячный платеж]]&lt;$AC$5, Таблица1[[#This Row],[Ежемесячный платеж]]&gt;$AC$6)</f>
        <v>1</v>
      </c>
      <c r="S610" s="9">
        <f>(Таблица1[[#This Row],[Размер кредита]]-21824)/(789096-21824)</f>
        <v>0.13169514852620715</v>
      </c>
      <c r="T610" s="9">
        <f>(Таблица1[[#This Row],[Кредитный рейтинг]]-586)/(751-586)</f>
        <v>0.61212121212121207</v>
      </c>
      <c r="U610" s="9">
        <f>Таблица1[[#This Row],[Ежемесячный платеж]]/(Таблица1[[#This Row],[Годовой доход]]/12)</f>
        <v>0.24800011928903734</v>
      </c>
    </row>
    <row r="611" spans="1:21" x14ac:dyDescent="0.3">
      <c r="A611">
        <v>610</v>
      </c>
      <c r="B611">
        <v>0</v>
      </c>
      <c r="C611" s="9">
        <v>218702</v>
      </c>
      <c r="D611">
        <v>717</v>
      </c>
      <c r="E611" s="1">
        <v>576992</v>
      </c>
      <c r="F611">
        <v>64</v>
      </c>
      <c r="G611">
        <v>9087.51</v>
      </c>
      <c r="H611">
        <v>16</v>
      </c>
      <c r="I611">
        <v>11</v>
      </c>
      <c r="J611">
        <v>251522</v>
      </c>
      <c r="K611">
        <v>469722</v>
      </c>
      <c r="L611" t="s">
        <v>37</v>
      </c>
      <c r="M611" t="s">
        <v>652</v>
      </c>
      <c r="N611" t="s">
        <v>26</v>
      </c>
      <c r="O611" t="s">
        <v>34</v>
      </c>
      <c r="P611" t="s">
        <v>31</v>
      </c>
      <c r="Q611" t="s">
        <v>36</v>
      </c>
      <c r="R611" t="b">
        <f>OR(Таблица1[[#This Row],[Ежемесячный платеж]]&lt;$AC$5, Таблица1[[#This Row],[Ежемесячный платеж]]&gt;$AC$6)</f>
        <v>0</v>
      </c>
      <c r="S611" s="9">
        <f>(Таблица1[[#This Row],[Размер кредита]]-21824)/(789096-21824)</f>
        <v>0.25659479298084642</v>
      </c>
      <c r="T611" s="9">
        <f>(Таблица1[[#This Row],[Кредитный рейтинг]]-586)/(751-586)</f>
        <v>0.79393939393939394</v>
      </c>
      <c r="U611" s="9">
        <f>Таблица1[[#This Row],[Ежемесячный платеж]]/(Таблица1[[#This Row],[Годовой доход]]/12)</f>
        <v>0.18899762908324552</v>
      </c>
    </row>
    <row r="612" spans="1:21" x14ac:dyDescent="0.3">
      <c r="A612">
        <v>611</v>
      </c>
      <c r="B612">
        <v>1</v>
      </c>
      <c r="D612">
        <v>734</v>
      </c>
      <c r="E612" s="1">
        <v>2178787</v>
      </c>
      <c r="F612">
        <v>38</v>
      </c>
      <c r="G612">
        <v>41541.980000000003</v>
      </c>
      <c r="H612">
        <v>25</v>
      </c>
      <c r="I612">
        <v>9</v>
      </c>
      <c r="J612">
        <v>311201</v>
      </c>
      <c r="K612">
        <v>655160</v>
      </c>
      <c r="L612" t="s">
        <v>24</v>
      </c>
      <c r="M612" t="s">
        <v>653</v>
      </c>
      <c r="N612" t="s">
        <v>26</v>
      </c>
      <c r="O612" t="s">
        <v>21</v>
      </c>
      <c r="P612" t="s">
        <v>22</v>
      </c>
      <c r="Q612" t="s">
        <v>23</v>
      </c>
      <c r="R612" t="b">
        <f>OR(Таблица1[[#This Row],[Ежемесячный платеж]]&lt;$AC$5, Таблица1[[#This Row],[Ежемесячный платеж]]&gt;$AC$6)</f>
        <v>0</v>
      </c>
      <c r="T612" s="9">
        <f>(Таблица1[[#This Row],[Кредитный рейтинг]]-586)/(751-586)</f>
        <v>0.89696969696969697</v>
      </c>
      <c r="U612" s="9">
        <f>Таблица1[[#This Row],[Ежемесячный платеж]]/(Таблица1[[#This Row],[Годовой доход]]/12)</f>
        <v>0.22879875820812223</v>
      </c>
    </row>
    <row r="613" spans="1:21" x14ac:dyDescent="0.3">
      <c r="A613">
        <v>612</v>
      </c>
      <c r="B613">
        <v>0</v>
      </c>
      <c r="C613" s="9">
        <v>131538</v>
      </c>
      <c r="D613">
        <f>$Y$13</f>
        <v>723</v>
      </c>
      <c r="E613">
        <f>$AB$13</f>
        <v>1168044</v>
      </c>
      <c r="F613">
        <v>0</v>
      </c>
      <c r="G613">
        <v>15833.08</v>
      </c>
      <c r="H613">
        <v>14.5</v>
      </c>
      <c r="I613">
        <v>12</v>
      </c>
      <c r="J613">
        <v>35549</v>
      </c>
      <c r="K613">
        <v>46068</v>
      </c>
      <c r="L613" t="s">
        <v>29</v>
      </c>
      <c r="M613" t="s">
        <v>654</v>
      </c>
      <c r="N613" t="s">
        <v>26</v>
      </c>
      <c r="O613" t="s">
        <v>28</v>
      </c>
      <c r="P613" t="s">
        <v>22</v>
      </c>
      <c r="Q613" t="s">
        <v>23</v>
      </c>
      <c r="R613" t="b">
        <f>OR(Таблица1[[#This Row],[Ежемесячный платеж]]&lt;$AC$5, Таблица1[[#This Row],[Ежемесячный платеж]]&gt;$AC$6)</f>
        <v>0</v>
      </c>
      <c r="S613" s="9">
        <f>(Таблица1[[#This Row],[Размер кредита]]-21824)/(789096-21824)</f>
        <v>0.14299231563252668</v>
      </c>
      <c r="T613" s="9">
        <f>(Таблица1[[#This Row],[Кредитный рейтинг]]-586)/(751-586)</f>
        <v>0.83030303030303032</v>
      </c>
      <c r="U613" s="9">
        <f>Таблица1[[#This Row],[Ежемесячный платеж]]/(Таблица1[[#This Row],[Годовой доход]]/12)</f>
        <v>0.16266250243997657</v>
      </c>
    </row>
    <row r="614" spans="1:21" x14ac:dyDescent="0.3">
      <c r="A614">
        <v>613</v>
      </c>
      <c r="B614">
        <v>0</v>
      </c>
      <c r="C614" s="9">
        <v>655314</v>
      </c>
      <c r="D614">
        <f>$Y$13</f>
        <v>723</v>
      </c>
      <c r="E614">
        <f>$AB$13</f>
        <v>1168044</v>
      </c>
      <c r="F614">
        <v>0</v>
      </c>
      <c r="G614">
        <v>12937.86</v>
      </c>
      <c r="H614">
        <v>22.1</v>
      </c>
      <c r="I614">
        <v>9</v>
      </c>
      <c r="J614">
        <v>219678</v>
      </c>
      <c r="K614">
        <v>325270</v>
      </c>
      <c r="L614" t="s">
        <v>24</v>
      </c>
      <c r="M614" t="s">
        <v>655</v>
      </c>
      <c r="N614" t="s">
        <v>26</v>
      </c>
      <c r="O614" t="s">
        <v>21</v>
      </c>
      <c r="P614" t="s">
        <v>22</v>
      </c>
      <c r="Q614" t="s">
        <v>36</v>
      </c>
      <c r="R614" t="b">
        <f>OR(Таблица1[[#This Row],[Ежемесячный платеж]]&lt;$AC$5, Таблица1[[#This Row],[Ежемесячный платеж]]&gt;$AC$6)</f>
        <v>0</v>
      </c>
      <c r="S614" s="9">
        <f>(Таблица1[[#This Row],[Размер кредита]]-21824)/(789096-21824)</f>
        <v>0.82563940818901249</v>
      </c>
      <c r="T614" s="9">
        <f>(Таблица1[[#This Row],[Кредитный рейтинг]]-586)/(751-586)</f>
        <v>0.83030303030303032</v>
      </c>
      <c r="U614" s="9">
        <f>Таблица1[[#This Row],[Ежемесячный платеж]]/(Таблица1[[#This Row],[Годовой доход]]/12)</f>
        <v>0.13291821198516496</v>
      </c>
    </row>
    <row r="615" spans="1:21" x14ac:dyDescent="0.3">
      <c r="A615">
        <v>614</v>
      </c>
      <c r="B615">
        <v>1</v>
      </c>
      <c r="C615" s="9">
        <v>77814</v>
      </c>
      <c r="D615">
        <v>748</v>
      </c>
      <c r="E615" s="1">
        <v>529967</v>
      </c>
      <c r="F615">
        <v>80</v>
      </c>
      <c r="G615">
        <v>2534.98</v>
      </c>
      <c r="H615">
        <v>18</v>
      </c>
      <c r="I615">
        <v>4</v>
      </c>
      <c r="J615">
        <v>14383</v>
      </c>
      <c r="K615">
        <v>333058</v>
      </c>
      <c r="L615" t="s">
        <v>41</v>
      </c>
      <c r="M615" t="s">
        <v>656</v>
      </c>
      <c r="N615" t="s">
        <v>26</v>
      </c>
      <c r="O615" t="s">
        <v>21</v>
      </c>
      <c r="P615" t="s">
        <v>22</v>
      </c>
      <c r="Q615" t="s">
        <v>23</v>
      </c>
      <c r="R615" t="b">
        <f>OR(Таблица1[[#This Row],[Ежемесячный платеж]]&lt;$AC$5, Таблица1[[#This Row],[Ежемесячный платеж]]&gt;$AC$6)</f>
        <v>0</v>
      </c>
      <c r="S615" s="9">
        <f>(Таблица1[[#This Row],[Размер кредита]]-21824)/(789096-21824)</f>
        <v>7.2972817983713731E-2</v>
      </c>
      <c r="T615" s="9">
        <f>(Таблица1[[#This Row],[Кредитный рейтинг]]-586)/(751-586)</f>
        <v>0.98181818181818181</v>
      </c>
      <c r="U615" s="9">
        <f>Таблица1[[#This Row],[Ежемесячный платеж]]/(Таблица1[[#This Row],[Годовой доход]]/12)</f>
        <v>5.7399347506542867E-2</v>
      </c>
    </row>
    <row r="616" spans="1:21" x14ac:dyDescent="0.3">
      <c r="A616">
        <v>615</v>
      </c>
      <c r="B616">
        <v>0</v>
      </c>
      <c r="C616" s="9">
        <v>177628</v>
      </c>
      <c r="D616">
        <f>$Y$13</f>
        <v>723</v>
      </c>
      <c r="E616">
        <f>$AB$13</f>
        <v>1168044</v>
      </c>
      <c r="F616">
        <v>0</v>
      </c>
      <c r="G616">
        <v>4314.33</v>
      </c>
      <c r="H616">
        <v>10.3</v>
      </c>
      <c r="I616">
        <v>7</v>
      </c>
      <c r="J616">
        <v>136724</v>
      </c>
      <c r="K616">
        <v>286264</v>
      </c>
      <c r="L616" t="s">
        <v>47</v>
      </c>
      <c r="M616" t="s">
        <v>657</v>
      </c>
      <c r="N616" t="s">
        <v>68</v>
      </c>
      <c r="O616" t="s">
        <v>28</v>
      </c>
      <c r="P616" t="s">
        <v>22</v>
      </c>
      <c r="Q616" t="s">
        <v>23</v>
      </c>
      <c r="R616" t="b">
        <f>OR(Таблица1[[#This Row],[Ежемесячный платеж]]&lt;$AC$5, Таблица1[[#This Row],[Ежемесячный платеж]]&gt;$AC$6)</f>
        <v>0</v>
      </c>
      <c r="S616" s="9">
        <f>(Таблица1[[#This Row],[Размер кредита]]-21824)/(789096-21824)</f>
        <v>0.20306227778414956</v>
      </c>
      <c r="T616" s="9">
        <f>(Таблица1[[#This Row],[Кредитный рейтинг]]-586)/(751-586)</f>
        <v>0.83030303030303032</v>
      </c>
      <c r="U616" s="9">
        <f>Таблица1[[#This Row],[Ежемесячный платеж]]/(Таблица1[[#This Row],[Годовой доход]]/12)</f>
        <v>4.4323638493070465E-2</v>
      </c>
    </row>
    <row r="617" spans="1:21" x14ac:dyDescent="0.3">
      <c r="A617">
        <v>616</v>
      </c>
      <c r="B617">
        <v>0</v>
      </c>
      <c r="C617" s="9">
        <v>262174</v>
      </c>
      <c r="D617">
        <v>703</v>
      </c>
      <c r="E617" s="1">
        <v>935655</v>
      </c>
      <c r="F617">
        <v>42</v>
      </c>
      <c r="G617">
        <v>8966.67</v>
      </c>
      <c r="H617">
        <v>11.3</v>
      </c>
      <c r="I617">
        <v>8</v>
      </c>
      <c r="J617">
        <v>104405</v>
      </c>
      <c r="K617">
        <v>366322</v>
      </c>
      <c r="L617" t="s">
        <v>29</v>
      </c>
      <c r="M617" t="s">
        <v>658</v>
      </c>
      <c r="N617" t="s">
        <v>40</v>
      </c>
      <c r="O617" t="s">
        <v>34</v>
      </c>
      <c r="P617" t="s">
        <v>31</v>
      </c>
      <c r="Q617" t="s">
        <v>23</v>
      </c>
      <c r="R617" t="b">
        <f>OR(Таблица1[[#This Row],[Ежемесячный платеж]]&lt;$AC$5, Таблица1[[#This Row],[Ежемесячный платеж]]&gt;$AC$6)</f>
        <v>0</v>
      </c>
      <c r="S617" s="9">
        <f>(Таблица1[[#This Row],[Размер кредита]]-21824)/(789096-21824)</f>
        <v>0.31325266659020529</v>
      </c>
      <c r="T617" s="9">
        <f>(Таблица1[[#This Row],[Кредитный рейтинг]]-586)/(751-586)</f>
        <v>0.70909090909090911</v>
      </c>
      <c r="U617" s="9">
        <f>Таблица1[[#This Row],[Ежемесячный платеж]]/(Таблица1[[#This Row],[Годовой доход]]/12)</f>
        <v>0.11499969540054827</v>
      </c>
    </row>
    <row r="618" spans="1:21" x14ac:dyDescent="0.3">
      <c r="A618">
        <v>617</v>
      </c>
      <c r="B618">
        <v>0</v>
      </c>
      <c r="D618">
        <v>726</v>
      </c>
      <c r="E618" s="1">
        <v>622744</v>
      </c>
      <c r="F618">
        <v>79</v>
      </c>
      <c r="G618">
        <v>16762.37</v>
      </c>
      <c r="H618">
        <v>15.8</v>
      </c>
      <c r="I618">
        <v>15</v>
      </c>
      <c r="J618">
        <v>203946</v>
      </c>
      <c r="K618">
        <v>480964</v>
      </c>
      <c r="L618" t="s">
        <v>47</v>
      </c>
      <c r="M618" t="s">
        <v>659</v>
      </c>
      <c r="N618" t="s">
        <v>26</v>
      </c>
      <c r="O618" t="s">
        <v>21</v>
      </c>
      <c r="P618" t="s">
        <v>22</v>
      </c>
      <c r="Q618" t="s">
        <v>23</v>
      </c>
      <c r="R618" t="b">
        <f>OR(Таблица1[[#This Row],[Ежемесячный платеж]]&lt;$AC$5, Таблица1[[#This Row],[Ежемесячный платеж]]&gt;$AC$6)</f>
        <v>0</v>
      </c>
      <c r="T618" s="9">
        <f>(Таблица1[[#This Row],[Кредитный рейтинг]]-586)/(751-586)</f>
        <v>0.84848484848484851</v>
      </c>
      <c r="U618" s="9">
        <f>Таблица1[[#This Row],[Ежемесячный платеж]]/(Таблица1[[#This Row],[Годовой доход]]/12)</f>
        <v>0.3230034171344886</v>
      </c>
    </row>
    <row r="619" spans="1:21" x14ac:dyDescent="0.3">
      <c r="A619">
        <v>618</v>
      </c>
      <c r="B619">
        <v>0</v>
      </c>
      <c r="C619" s="9">
        <v>148214</v>
      </c>
      <c r="D619">
        <v>747</v>
      </c>
      <c r="E619" s="1">
        <v>911487</v>
      </c>
      <c r="F619">
        <v>0</v>
      </c>
      <c r="G619">
        <v>20424.810000000001</v>
      </c>
      <c r="H619">
        <v>20.5</v>
      </c>
      <c r="I619">
        <v>6</v>
      </c>
      <c r="J619">
        <v>142766</v>
      </c>
      <c r="K619">
        <v>188716</v>
      </c>
      <c r="L619" t="s">
        <v>32</v>
      </c>
      <c r="M619" t="s">
        <v>660</v>
      </c>
      <c r="N619" t="s">
        <v>20</v>
      </c>
      <c r="O619" t="s">
        <v>21</v>
      </c>
      <c r="P619" t="s">
        <v>22</v>
      </c>
      <c r="Q619" t="s">
        <v>23</v>
      </c>
      <c r="R619" t="b">
        <f>OR(Таблица1[[#This Row],[Ежемесячный платеж]]&lt;$AC$5, Таблица1[[#This Row],[Ежемесячный платеж]]&gt;$AC$6)</f>
        <v>0</v>
      </c>
      <c r="S619" s="9">
        <f>(Таблица1[[#This Row],[Размер кредита]]-21824)/(789096-21824)</f>
        <v>0.16472645945635966</v>
      </c>
      <c r="T619" s="9">
        <f>(Таблица1[[#This Row],[Кредитный рейтинг]]-586)/(751-586)</f>
        <v>0.97575757575757571</v>
      </c>
      <c r="U619" s="9">
        <f>Таблица1[[#This Row],[Ежемесячный платеж]]/(Таблица1[[#This Row],[Годовой доход]]/12)</f>
        <v>0.26889875554999687</v>
      </c>
    </row>
    <row r="620" spans="1:21" x14ac:dyDescent="0.3">
      <c r="A620">
        <v>619</v>
      </c>
      <c r="B620">
        <v>0</v>
      </c>
      <c r="D620">
        <v>745</v>
      </c>
      <c r="E620" s="1">
        <v>1620814</v>
      </c>
      <c r="F620">
        <v>8</v>
      </c>
      <c r="G620">
        <v>27553.8</v>
      </c>
      <c r="H620">
        <v>9.6</v>
      </c>
      <c r="I620">
        <v>12</v>
      </c>
      <c r="J620">
        <v>388987</v>
      </c>
      <c r="K620">
        <v>1047486</v>
      </c>
      <c r="L620" t="s">
        <v>69</v>
      </c>
      <c r="M620" t="s">
        <v>661</v>
      </c>
      <c r="N620" t="s">
        <v>26</v>
      </c>
      <c r="O620" t="s">
        <v>21</v>
      </c>
      <c r="P620" t="s">
        <v>22</v>
      </c>
      <c r="Q620" t="s">
        <v>23</v>
      </c>
      <c r="R620" t="b">
        <f>OR(Таблица1[[#This Row],[Ежемесячный платеж]]&lt;$AC$5, Таблица1[[#This Row],[Ежемесячный платеж]]&gt;$AC$6)</f>
        <v>0</v>
      </c>
      <c r="T620" s="9">
        <f>(Таблица1[[#This Row],[Кредитный рейтинг]]-586)/(751-586)</f>
        <v>0.96363636363636362</v>
      </c>
      <c r="U620" s="9">
        <f>Таблица1[[#This Row],[Ежемесячный платеж]]/(Таблица1[[#This Row],[Годовой доход]]/12)</f>
        <v>0.20399971865988323</v>
      </c>
    </row>
    <row r="621" spans="1:21" x14ac:dyDescent="0.3">
      <c r="A621">
        <v>620</v>
      </c>
      <c r="B621">
        <v>0</v>
      </c>
      <c r="C621" s="9">
        <v>778712</v>
      </c>
      <c r="D621">
        <v>688</v>
      </c>
      <c r="E621" s="1">
        <v>3842940</v>
      </c>
      <c r="F621">
        <v>0</v>
      </c>
      <c r="G621">
        <v>59565.57</v>
      </c>
      <c r="H621">
        <v>25</v>
      </c>
      <c r="I621">
        <v>18</v>
      </c>
      <c r="J621">
        <v>548568</v>
      </c>
      <c r="K621">
        <v>771782</v>
      </c>
      <c r="L621" t="s">
        <v>24</v>
      </c>
      <c r="M621" t="s">
        <v>662</v>
      </c>
      <c r="N621" t="s">
        <v>26</v>
      </c>
      <c r="O621" t="s">
        <v>21</v>
      </c>
      <c r="P621" t="s">
        <v>31</v>
      </c>
      <c r="Q621" t="s">
        <v>23</v>
      </c>
      <c r="R621" t="b">
        <f>OR(Таблица1[[#This Row],[Ежемесячный платеж]]&lt;$AC$5, Таблица1[[#This Row],[Ежемесячный платеж]]&gt;$AC$6)</f>
        <v>1</v>
      </c>
      <c r="S621" s="9">
        <f>(Таблица1[[#This Row],[Размер кредита]]-21824)/(789096-21824)</f>
        <v>0.98646633788278471</v>
      </c>
      <c r="T621" s="9">
        <f>(Таблица1[[#This Row],[Кредитный рейтинг]]-586)/(751-586)</f>
        <v>0.61818181818181817</v>
      </c>
      <c r="U621" s="9">
        <f>Таблица1[[#This Row],[Ежемесячный платеж]]/(Таблица1[[#This Row],[Годовой доход]]/12)</f>
        <v>0.186</v>
      </c>
    </row>
    <row r="622" spans="1:21" x14ac:dyDescent="0.3">
      <c r="A622">
        <v>621</v>
      </c>
      <c r="B622">
        <v>0</v>
      </c>
      <c r="C622" s="9">
        <v>215776</v>
      </c>
      <c r="D622">
        <v>729</v>
      </c>
      <c r="E622" s="1">
        <v>1583992</v>
      </c>
      <c r="F622">
        <v>29</v>
      </c>
      <c r="G622">
        <v>14783.9</v>
      </c>
      <c r="H622">
        <v>10.5</v>
      </c>
      <c r="I622">
        <v>5</v>
      </c>
      <c r="J622">
        <v>447564</v>
      </c>
      <c r="K622">
        <v>720764</v>
      </c>
      <c r="L622" t="s">
        <v>24</v>
      </c>
      <c r="M622" t="s">
        <v>663</v>
      </c>
      <c r="N622" t="s">
        <v>26</v>
      </c>
      <c r="O622" t="s">
        <v>34</v>
      </c>
      <c r="P622" t="s">
        <v>22</v>
      </c>
      <c r="Q622" t="s">
        <v>36</v>
      </c>
      <c r="R622" t="b">
        <f>OR(Таблица1[[#This Row],[Ежемесячный платеж]]&lt;$AC$5, Таблица1[[#This Row],[Ежемесячный платеж]]&gt;$AC$6)</f>
        <v>0</v>
      </c>
      <c r="S622" s="9">
        <f>(Таблица1[[#This Row],[Размер кредита]]-21824)/(789096-21824)</f>
        <v>0.25278128225713958</v>
      </c>
      <c r="T622" s="9">
        <f>(Таблица1[[#This Row],[Кредитный рейтинг]]-586)/(751-586)</f>
        <v>0.8666666666666667</v>
      </c>
      <c r="U622" s="9">
        <f>Таблица1[[#This Row],[Ежемесячный платеж]]/(Таблица1[[#This Row],[Годовой доход]]/12)</f>
        <v>0.11199980807983878</v>
      </c>
    </row>
    <row r="623" spans="1:21" x14ac:dyDescent="0.3">
      <c r="A623">
        <v>622</v>
      </c>
      <c r="B623">
        <v>0</v>
      </c>
      <c r="C623" s="9">
        <v>755062</v>
      </c>
      <c r="D623">
        <v>681</v>
      </c>
      <c r="E623" s="1">
        <v>1769983</v>
      </c>
      <c r="F623">
        <v>46</v>
      </c>
      <c r="G623">
        <v>27729.74</v>
      </c>
      <c r="H623">
        <v>25</v>
      </c>
      <c r="I623">
        <v>15</v>
      </c>
      <c r="J623">
        <v>228266</v>
      </c>
      <c r="K623">
        <v>451044</v>
      </c>
      <c r="L623" t="s">
        <v>52</v>
      </c>
      <c r="M623" t="s">
        <v>664</v>
      </c>
      <c r="N623" t="s">
        <v>26</v>
      </c>
      <c r="O623" t="s">
        <v>21</v>
      </c>
      <c r="P623" t="s">
        <v>31</v>
      </c>
      <c r="Q623" t="s">
        <v>23</v>
      </c>
      <c r="R623" t="b">
        <f>OR(Таблица1[[#This Row],[Ежемесячный платеж]]&lt;$AC$5, Таблица1[[#This Row],[Ежемесячный платеж]]&gt;$AC$6)</f>
        <v>0</v>
      </c>
      <c r="S623" s="9">
        <f>(Таблица1[[#This Row],[Размер кредита]]-21824)/(789096-21824)</f>
        <v>0.95564284895056772</v>
      </c>
      <c r="T623" s="9">
        <f>(Таблица1[[#This Row],[Кредитный рейтинг]]-586)/(751-586)</f>
        <v>0.5757575757575758</v>
      </c>
      <c r="U623" s="9">
        <f>Таблица1[[#This Row],[Ежемесячный платеж]]/(Таблица1[[#This Row],[Годовой доход]]/12)</f>
        <v>0.1880000429382655</v>
      </c>
    </row>
    <row r="624" spans="1:21" x14ac:dyDescent="0.3">
      <c r="A624">
        <v>623</v>
      </c>
      <c r="B624">
        <v>1</v>
      </c>
      <c r="C624" s="9">
        <v>215974</v>
      </c>
      <c r="D624">
        <v>716</v>
      </c>
      <c r="E624" s="1">
        <v>1585455</v>
      </c>
      <c r="F624">
        <v>0</v>
      </c>
      <c r="G624">
        <v>16647.23</v>
      </c>
      <c r="H624">
        <v>15.9</v>
      </c>
      <c r="I624">
        <v>11</v>
      </c>
      <c r="J624">
        <v>115273</v>
      </c>
      <c r="K624">
        <v>364672</v>
      </c>
      <c r="L624" t="s">
        <v>32</v>
      </c>
      <c r="M624" t="s">
        <v>665</v>
      </c>
      <c r="N624" t="s">
        <v>26</v>
      </c>
      <c r="O624" t="s">
        <v>34</v>
      </c>
      <c r="P624" t="s">
        <v>22</v>
      </c>
      <c r="Q624" t="s">
        <v>23</v>
      </c>
      <c r="R624" t="b">
        <f>OR(Таблица1[[#This Row],[Ежемесячный платеж]]&lt;$AC$5, Таблица1[[#This Row],[Ежемесячный платеж]]&gt;$AC$6)</f>
        <v>0</v>
      </c>
      <c r="S624" s="9">
        <f>(Таблица1[[#This Row],[Размер кредита]]-21824)/(789096-21824)</f>
        <v>0.25303933937378142</v>
      </c>
      <c r="T624" s="9">
        <f>(Таблица1[[#This Row],[Кредитный рейтинг]]-586)/(751-586)</f>
        <v>0.78787878787878785</v>
      </c>
      <c r="U624" s="9">
        <f>Таблица1[[#This Row],[Ежемесячный платеж]]/(Таблица1[[#This Row],[Годовой доход]]/12)</f>
        <v>0.12599964048175444</v>
      </c>
    </row>
    <row r="625" spans="1:21" x14ac:dyDescent="0.3">
      <c r="A625">
        <v>624</v>
      </c>
      <c r="B625">
        <v>0</v>
      </c>
      <c r="C625" s="9">
        <v>328548</v>
      </c>
      <c r="D625">
        <v>704</v>
      </c>
      <c r="E625" s="1">
        <v>1172813</v>
      </c>
      <c r="F625">
        <v>38</v>
      </c>
      <c r="G625">
        <v>16028.4</v>
      </c>
      <c r="H625">
        <v>13.5</v>
      </c>
      <c r="I625">
        <v>7</v>
      </c>
      <c r="J625">
        <v>350246</v>
      </c>
      <c r="K625">
        <v>479930</v>
      </c>
      <c r="L625" t="s">
        <v>18</v>
      </c>
      <c r="M625" t="s">
        <v>666</v>
      </c>
      <c r="N625" t="s">
        <v>26</v>
      </c>
      <c r="O625" t="s">
        <v>21</v>
      </c>
      <c r="P625" t="s">
        <v>31</v>
      </c>
      <c r="Q625" t="s">
        <v>23</v>
      </c>
      <c r="R625" t="b">
        <f>OR(Таблица1[[#This Row],[Ежемесячный платеж]]&lt;$AC$5, Таблица1[[#This Row],[Ежемесячный платеж]]&gt;$AC$6)</f>
        <v>0</v>
      </c>
      <c r="S625" s="9">
        <f>(Таблица1[[#This Row],[Размер кредита]]-21824)/(789096-21824)</f>
        <v>0.39975914669113433</v>
      </c>
      <c r="T625" s="9">
        <f>(Таблица1[[#This Row],[Кредитный рейтинг]]-586)/(751-586)</f>
        <v>0.7151515151515152</v>
      </c>
      <c r="U625" s="9">
        <f>Таблица1[[#This Row],[Ежемесячный платеж]]/(Таблица1[[#This Row],[Годовой доход]]/12)</f>
        <v>0.1639995463897484</v>
      </c>
    </row>
    <row r="626" spans="1:21" x14ac:dyDescent="0.3">
      <c r="A626">
        <v>625</v>
      </c>
      <c r="B626">
        <v>0</v>
      </c>
      <c r="C626" s="9">
        <v>397738</v>
      </c>
      <c r="D626">
        <v>736</v>
      </c>
      <c r="E626" s="1">
        <v>1622106</v>
      </c>
      <c r="F626">
        <v>50</v>
      </c>
      <c r="G626">
        <v>25413.07</v>
      </c>
      <c r="H626">
        <v>15.9</v>
      </c>
      <c r="I626">
        <v>16</v>
      </c>
      <c r="J626">
        <v>494836</v>
      </c>
      <c r="K626">
        <v>966218</v>
      </c>
      <c r="L626" t="s">
        <v>47</v>
      </c>
      <c r="M626" t="s">
        <v>667</v>
      </c>
      <c r="N626" t="s">
        <v>26</v>
      </c>
      <c r="O626" t="s">
        <v>21</v>
      </c>
      <c r="P626" t="s">
        <v>22</v>
      </c>
      <c r="Q626" t="s">
        <v>23</v>
      </c>
      <c r="R626" t="b">
        <f>OR(Таблица1[[#This Row],[Ежемесячный платеж]]&lt;$AC$5, Таблица1[[#This Row],[Ежемесячный платеж]]&gt;$AC$6)</f>
        <v>0</v>
      </c>
      <c r="S626" s="9">
        <f>(Таблица1[[#This Row],[Размер кредита]]-21824)/(789096-21824)</f>
        <v>0.48993577245096914</v>
      </c>
      <c r="T626" s="9">
        <f>(Таблица1[[#This Row],[Кредитный рейтинг]]-586)/(751-586)</f>
        <v>0.90909090909090906</v>
      </c>
      <c r="U626" s="9">
        <f>Таблица1[[#This Row],[Ежемесячный платеж]]/(Таблица1[[#This Row],[Годовой доход]]/12)</f>
        <v>0.18800056223206127</v>
      </c>
    </row>
    <row r="627" spans="1:21" x14ac:dyDescent="0.3">
      <c r="A627">
        <v>626</v>
      </c>
      <c r="B627">
        <v>0</v>
      </c>
      <c r="C627" s="9">
        <v>347996</v>
      </c>
      <c r="D627">
        <v>700</v>
      </c>
      <c r="E627" s="1">
        <v>686945</v>
      </c>
      <c r="F627">
        <v>0</v>
      </c>
      <c r="G627">
        <v>3932.81</v>
      </c>
      <c r="H627">
        <v>11</v>
      </c>
      <c r="I627">
        <v>7</v>
      </c>
      <c r="J627">
        <v>164578</v>
      </c>
      <c r="K627">
        <v>227678</v>
      </c>
      <c r="L627" t="s">
        <v>63</v>
      </c>
      <c r="M627" t="s">
        <v>668</v>
      </c>
      <c r="N627" t="s">
        <v>26</v>
      </c>
      <c r="O627" t="s">
        <v>28</v>
      </c>
      <c r="P627" t="s">
        <v>31</v>
      </c>
      <c r="Q627" t="s">
        <v>23</v>
      </c>
      <c r="R627" t="b">
        <f>OR(Таблица1[[#This Row],[Ежемесячный платеж]]&lt;$AC$5, Таблица1[[#This Row],[Ежемесячный платеж]]&gt;$AC$6)</f>
        <v>0</v>
      </c>
      <c r="S627" s="9">
        <f>(Таблица1[[#This Row],[Размер кредита]]-21824)/(789096-21824)</f>
        <v>0.42510609014795275</v>
      </c>
      <c r="T627" s="9">
        <f>(Таблица1[[#This Row],[Кредитный рейтинг]]-586)/(751-586)</f>
        <v>0.69090909090909092</v>
      </c>
      <c r="U627" s="9">
        <f>Таблица1[[#This Row],[Ежемесячный платеж]]/(Таблица1[[#This Row],[Годовой доход]]/12)</f>
        <v>6.870087124878993E-2</v>
      </c>
    </row>
    <row r="628" spans="1:21" x14ac:dyDescent="0.3">
      <c r="A628">
        <v>627</v>
      </c>
      <c r="B628">
        <v>0</v>
      </c>
      <c r="D628">
        <v>743</v>
      </c>
      <c r="E628" s="1">
        <v>788101</v>
      </c>
      <c r="F628">
        <v>26</v>
      </c>
      <c r="G628">
        <v>14317.26</v>
      </c>
      <c r="H628">
        <v>14.6</v>
      </c>
      <c r="I628">
        <v>9</v>
      </c>
      <c r="J628">
        <v>137750</v>
      </c>
      <c r="K628">
        <v>537042</v>
      </c>
      <c r="L628" t="s">
        <v>32</v>
      </c>
      <c r="M628" t="s">
        <v>669</v>
      </c>
      <c r="N628" t="s">
        <v>26</v>
      </c>
      <c r="O628" t="s">
        <v>21</v>
      </c>
      <c r="P628" t="s">
        <v>22</v>
      </c>
      <c r="Q628" t="s">
        <v>23</v>
      </c>
      <c r="R628" t="b">
        <f>OR(Таблица1[[#This Row],[Ежемесячный платеж]]&lt;$AC$5, Таблица1[[#This Row],[Ежемесячный платеж]]&gt;$AC$6)</f>
        <v>0</v>
      </c>
      <c r="T628" s="9">
        <f>(Таблица1[[#This Row],[Кредитный рейтинг]]-586)/(751-586)</f>
        <v>0.95151515151515154</v>
      </c>
      <c r="U628" s="9">
        <f>Таблица1[[#This Row],[Ежемесячный платеж]]/(Таблица1[[#This Row],[Годовой доход]]/12)</f>
        <v>0.21800139829793391</v>
      </c>
    </row>
    <row r="629" spans="1:21" x14ac:dyDescent="0.3">
      <c r="A629">
        <v>628</v>
      </c>
      <c r="B629">
        <v>0</v>
      </c>
      <c r="C629" s="9">
        <v>432520</v>
      </c>
      <c r="D629">
        <v>745</v>
      </c>
      <c r="E629" s="1">
        <v>1029477</v>
      </c>
      <c r="F629">
        <v>0</v>
      </c>
      <c r="G629">
        <v>17758.54</v>
      </c>
      <c r="H629">
        <v>15.4</v>
      </c>
      <c r="I629">
        <v>7</v>
      </c>
      <c r="J629">
        <v>296286</v>
      </c>
      <c r="K629">
        <v>536074</v>
      </c>
      <c r="L629" t="s">
        <v>24</v>
      </c>
      <c r="M629" t="s">
        <v>670</v>
      </c>
      <c r="N629" t="s">
        <v>26</v>
      </c>
      <c r="O629" t="s">
        <v>21</v>
      </c>
      <c r="P629" t="s">
        <v>22</v>
      </c>
      <c r="Q629" t="s">
        <v>36</v>
      </c>
      <c r="R629" t="b">
        <f>OR(Таблица1[[#This Row],[Ежемесячный платеж]]&lt;$AC$5, Таблица1[[#This Row],[Ежемесячный платеж]]&gt;$AC$6)</f>
        <v>0</v>
      </c>
      <c r="S629" s="9">
        <f>(Таблица1[[#This Row],[Размер кредита]]-21824)/(789096-21824)</f>
        <v>0.53526780594104828</v>
      </c>
      <c r="T629" s="9">
        <f>(Таблица1[[#This Row],[Кредитный рейтинг]]-586)/(751-586)</f>
        <v>0.96363636363636362</v>
      </c>
      <c r="U629" s="9">
        <f>Таблица1[[#This Row],[Ежемесячный платеж]]/(Таблица1[[#This Row],[Годовой доход]]/12)</f>
        <v>0.20700071978295775</v>
      </c>
    </row>
    <row r="630" spans="1:21" x14ac:dyDescent="0.3">
      <c r="A630">
        <v>629</v>
      </c>
      <c r="B630">
        <v>0</v>
      </c>
      <c r="C630" s="9">
        <v>776864</v>
      </c>
      <c r="D630">
        <v>724</v>
      </c>
      <c r="E630" s="1">
        <v>1380179</v>
      </c>
      <c r="F630">
        <v>0</v>
      </c>
      <c r="G630">
        <v>11593.42</v>
      </c>
      <c r="H630">
        <v>12.8</v>
      </c>
      <c r="I630">
        <v>15</v>
      </c>
      <c r="J630">
        <v>42750</v>
      </c>
      <c r="K630">
        <v>562474</v>
      </c>
      <c r="L630" t="s">
        <v>52</v>
      </c>
      <c r="M630" t="s">
        <v>671</v>
      </c>
      <c r="N630" t="s">
        <v>71</v>
      </c>
      <c r="O630" t="s">
        <v>34</v>
      </c>
      <c r="P630" t="s">
        <v>31</v>
      </c>
      <c r="Q630" t="s">
        <v>23</v>
      </c>
      <c r="R630" t="b">
        <f>OR(Таблица1[[#This Row],[Ежемесячный платеж]]&lt;$AC$5, Таблица1[[#This Row],[Ежемесячный платеж]]&gt;$AC$6)</f>
        <v>0</v>
      </c>
      <c r="S630" s="9">
        <f>(Таблица1[[#This Row],[Размер кредита]]-21824)/(789096-21824)</f>
        <v>0.98405780479412774</v>
      </c>
      <c r="T630" s="9">
        <f>(Таблица1[[#This Row],[Кредитный рейтинг]]-586)/(751-586)</f>
        <v>0.83636363636363631</v>
      </c>
      <c r="U630" s="9">
        <f>Таблица1[[#This Row],[Ежемесячный платеж]]/(Таблица1[[#This Row],[Годовой доход]]/12)</f>
        <v>0.10079927313775966</v>
      </c>
    </row>
    <row r="631" spans="1:21" x14ac:dyDescent="0.3">
      <c r="A631">
        <v>630</v>
      </c>
      <c r="B631">
        <v>0</v>
      </c>
      <c r="C631" s="9">
        <v>335082</v>
      </c>
      <c r="D631">
        <v>721</v>
      </c>
      <c r="E631" s="1">
        <v>1215430</v>
      </c>
      <c r="F631">
        <v>0</v>
      </c>
      <c r="G631">
        <v>13065.92</v>
      </c>
      <c r="H631">
        <v>25.5</v>
      </c>
      <c r="I631">
        <v>13</v>
      </c>
      <c r="J631">
        <v>351728</v>
      </c>
      <c r="K631">
        <v>419848</v>
      </c>
      <c r="L631" t="s">
        <v>37</v>
      </c>
      <c r="M631" t="s">
        <v>672</v>
      </c>
      <c r="N631" t="s">
        <v>2042</v>
      </c>
      <c r="O631" t="s">
        <v>21</v>
      </c>
      <c r="P631" t="s">
        <v>22</v>
      </c>
      <c r="Q631" t="s">
        <v>23</v>
      </c>
      <c r="R631" t="b">
        <f>OR(Таблица1[[#This Row],[Ежемесячный платеж]]&lt;$AC$5, Таблица1[[#This Row],[Ежемесячный платеж]]&gt;$AC$6)</f>
        <v>0</v>
      </c>
      <c r="S631" s="9">
        <f>(Таблица1[[#This Row],[Размер кредита]]-21824)/(789096-21824)</f>
        <v>0.40827503154031425</v>
      </c>
      <c r="T631" s="9">
        <f>(Таблица1[[#This Row],[Кредитный рейтинг]]-586)/(751-586)</f>
        <v>0.81818181818181823</v>
      </c>
      <c r="U631" s="9">
        <f>Таблица1[[#This Row],[Ежемесячный платеж]]/(Таблица1[[#This Row],[Годовой доход]]/12)</f>
        <v>0.12900046896982961</v>
      </c>
    </row>
    <row r="632" spans="1:21" x14ac:dyDescent="0.3">
      <c r="A632">
        <v>631</v>
      </c>
      <c r="B632">
        <v>0</v>
      </c>
      <c r="C632" s="9">
        <v>86988</v>
      </c>
      <c r="D632">
        <f>$Y$13</f>
        <v>723</v>
      </c>
      <c r="E632">
        <f>$AB$13</f>
        <v>1168044</v>
      </c>
      <c r="F632">
        <v>0</v>
      </c>
      <c r="G632">
        <v>1991.96</v>
      </c>
      <c r="H632">
        <v>10.199999999999999</v>
      </c>
      <c r="I632">
        <v>5</v>
      </c>
      <c r="J632">
        <v>80294</v>
      </c>
      <c r="K632">
        <v>245982</v>
      </c>
      <c r="L632" t="s">
        <v>69</v>
      </c>
      <c r="M632" t="s">
        <v>673</v>
      </c>
      <c r="N632" t="s">
        <v>26</v>
      </c>
      <c r="O632" t="s">
        <v>34</v>
      </c>
      <c r="P632" t="s">
        <v>22</v>
      </c>
      <c r="Q632" t="s">
        <v>23</v>
      </c>
      <c r="R632" t="b">
        <f>OR(Таблица1[[#This Row],[Ежемесячный платеж]]&lt;$AC$5, Таблица1[[#This Row],[Ежемесячный платеж]]&gt;$AC$6)</f>
        <v>0</v>
      </c>
      <c r="S632" s="9">
        <f>(Таблица1[[#This Row],[Размер кредита]]-21824)/(789096-21824)</f>
        <v>8.4929464388117909E-2</v>
      </c>
      <c r="T632" s="9">
        <f>(Таблица1[[#This Row],[Кредитный рейтинг]]-586)/(751-586)</f>
        <v>0.83030303030303032</v>
      </c>
      <c r="U632" s="9">
        <f>Таблица1[[#This Row],[Ежемесячный платеж]]/(Таблица1[[#This Row],[Годовой доход]]/12)</f>
        <v>2.0464571540113215E-2</v>
      </c>
    </row>
    <row r="633" spans="1:21" x14ac:dyDescent="0.3">
      <c r="A633">
        <v>632</v>
      </c>
      <c r="B633">
        <v>0</v>
      </c>
      <c r="C633" s="9">
        <v>220286</v>
      </c>
      <c r="D633">
        <v>734</v>
      </c>
      <c r="E633" s="1">
        <v>1731242</v>
      </c>
      <c r="F633">
        <v>0</v>
      </c>
      <c r="G633">
        <v>29575.4</v>
      </c>
      <c r="H633">
        <v>18.5</v>
      </c>
      <c r="I633">
        <v>5</v>
      </c>
      <c r="J633">
        <v>105564</v>
      </c>
      <c r="K633">
        <v>165198</v>
      </c>
      <c r="L633" t="s">
        <v>63</v>
      </c>
      <c r="M633" t="s">
        <v>674</v>
      </c>
      <c r="N633" t="s">
        <v>20</v>
      </c>
      <c r="O633" t="s">
        <v>21</v>
      </c>
      <c r="P633" t="s">
        <v>22</v>
      </c>
      <c r="Q633" t="s">
        <v>36</v>
      </c>
      <c r="R633" t="b">
        <f>OR(Таблица1[[#This Row],[Ежемесячный платеж]]&lt;$AC$5, Таблица1[[#This Row],[Ежемесячный платеж]]&gt;$AC$6)</f>
        <v>0</v>
      </c>
      <c r="S633" s="9">
        <f>(Таблица1[[#This Row],[Размер кредита]]-21824)/(789096-21824)</f>
        <v>0.25865924991398098</v>
      </c>
      <c r="T633" s="9">
        <f>(Таблица1[[#This Row],[Кредитный рейтинг]]-586)/(751-586)</f>
        <v>0.89696969696969697</v>
      </c>
      <c r="U633" s="9">
        <f>Таблица1[[#This Row],[Ежемесячный платеж]]/(Таблица1[[#This Row],[Годовой доход]]/12)</f>
        <v>0.20500010974779959</v>
      </c>
    </row>
    <row r="634" spans="1:21" x14ac:dyDescent="0.3">
      <c r="A634">
        <v>633</v>
      </c>
      <c r="B634">
        <v>0</v>
      </c>
      <c r="D634">
        <v>748</v>
      </c>
      <c r="E634" s="1">
        <v>1022333</v>
      </c>
      <c r="F634">
        <v>0</v>
      </c>
      <c r="G634">
        <v>18146.330000000002</v>
      </c>
      <c r="H634">
        <v>9</v>
      </c>
      <c r="I634">
        <v>9</v>
      </c>
      <c r="J634">
        <v>168777</v>
      </c>
      <c r="K634">
        <v>316228</v>
      </c>
      <c r="L634" t="s">
        <v>50</v>
      </c>
      <c r="M634" t="s">
        <v>675</v>
      </c>
      <c r="N634" t="s">
        <v>26</v>
      </c>
      <c r="O634" t="s">
        <v>21</v>
      </c>
      <c r="P634" t="s">
        <v>22</v>
      </c>
      <c r="Q634" t="s">
        <v>23</v>
      </c>
      <c r="R634" t="b">
        <f>OR(Таблица1[[#This Row],[Ежемесячный платеж]]&lt;$AC$5, Таблица1[[#This Row],[Ежемесячный платеж]]&gt;$AC$6)</f>
        <v>0</v>
      </c>
      <c r="T634" s="9">
        <f>(Таблица1[[#This Row],[Кредитный рейтинг]]-586)/(751-586)</f>
        <v>0.98181818181818181</v>
      </c>
      <c r="U634" s="9">
        <f>Таблица1[[#This Row],[Ежемесячный платеж]]/(Таблица1[[#This Row],[Годовой доход]]/12)</f>
        <v>0.21299905216793355</v>
      </c>
    </row>
    <row r="635" spans="1:21" x14ac:dyDescent="0.3">
      <c r="A635">
        <v>634</v>
      </c>
      <c r="B635">
        <v>0</v>
      </c>
      <c r="C635" s="9">
        <v>329142</v>
      </c>
      <c r="D635">
        <f>$Y$13</f>
        <v>723</v>
      </c>
      <c r="E635">
        <f>$AB$13</f>
        <v>1168044</v>
      </c>
      <c r="F635">
        <v>74</v>
      </c>
      <c r="G635">
        <v>17811.36</v>
      </c>
      <c r="H635">
        <v>19.8</v>
      </c>
      <c r="I635">
        <v>8</v>
      </c>
      <c r="J635">
        <v>234308</v>
      </c>
      <c r="K635">
        <v>293920</v>
      </c>
      <c r="L635" t="s">
        <v>29</v>
      </c>
      <c r="M635" t="s">
        <v>676</v>
      </c>
      <c r="N635" t="s">
        <v>26</v>
      </c>
      <c r="O635" t="s">
        <v>21</v>
      </c>
      <c r="P635" t="s">
        <v>22</v>
      </c>
      <c r="Q635" t="s">
        <v>23</v>
      </c>
      <c r="R635" t="b">
        <f>OR(Таблица1[[#This Row],[Ежемесячный платеж]]&lt;$AC$5, Таблица1[[#This Row],[Ежемесячный платеж]]&gt;$AC$6)</f>
        <v>0</v>
      </c>
      <c r="S635" s="9">
        <f>(Таблица1[[#This Row],[Размер кредита]]-21824)/(789096-21824)</f>
        <v>0.40053331804105974</v>
      </c>
      <c r="T635" s="9">
        <f>(Таблица1[[#This Row],[Кредитный рейтинг]]-586)/(751-586)</f>
        <v>0.83030303030303032</v>
      </c>
      <c r="U635" s="9">
        <f>Таблица1[[#This Row],[Ежемесячный платеж]]/(Таблица1[[#This Row],[Годовой доход]]/12)</f>
        <v>0.18298653132929923</v>
      </c>
    </row>
    <row r="636" spans="1:21" x14ac:dyDescent="0.3">
      <c r="A636">
        <v>635</v>
      </c>
      <c r="B636">
        <v>0</v>
      </c>
      <c r="C636" s="9">
        <v>329054</v>
      </c>
      <c r="D636">
        <v>710</v>
      </c>
      <c r="E636" s="1">
        <v>1136694</v>
      </c>
      <c r="F636">
        <v>37</v>
      </c>
      <c r="G636">
        <v>15819.02</v>
      </c>
      <c r="H636">
        <v>10.9</v>
      </c>
      <c r="I636">
        <v>14</v>
      </c>
      <c r="J636">
        <v>108091</v>
      </c>
      <c r="K636">
        <v>372526</v>
      </c>
      <c r="L636" t="s">
        <v>24</v>
      </c>
      <c r="M636" t="s">
        <v>677</v>
      </c>
      <c r="N636" t="s">
        <v>26</v>
      </c>
      <c r="O636" t="s">
        <v>34</v>
      </c>
      <c r="P636" t="s">
        <v>22</v>
      </c>
      <c r="Q636" t="s">
        <v>36</v>
      </c>
      <c r="R636" t="b">
        <f>OR(Таблица1[[#This Row],[Ежемесячный платеж]]&lt;$AC$5, Таблица1[[#This Row],[Ежемесячный платеж]]&gt;$AC$6)</f>
        <v>0</v>
      </c>
      <c r="S636" s="9">
        <f>(Таблица1[[#This Row],[Размер кредита]]-21824)/(789096-21824)</f>
        <v>0.40041862598921896</v>
      </c>
      <c r="T636" s="9">
        <f>(Таблица1[[#This Row],[Кредитный рейтинг]]-586)/(751-586)</f>
        <v>0.75151515151515147</v>
      </c>
      <c r="U636" s="9">
        <f>Таблица1[[#This Row],[Ежемесячный платеж]]/(Таблица1[[#This Row],[Годовой доход]]/12)</f>
        <v>0.16700030087253034</v>
      </c>
    </row>
    <row r="637" spans="1:21" x14ac:dyDescent="0.3">
      <c r="A637">
        <v>636</v>
      </c>
      <c r="B637">
        <v>0</v>
      </c>
      <c r="C637" s="9">
        <v>231264</v>
      </c>
      <c r="D637">
        <v>656</v>
      </c>
      <c r="E637" s="1">
        <v>433371</v>
      </c>
      <c r="F637">
        <v>0</v>
      </c>
      <c r="G637">
        <v>7078.45</v>
      </c>
      <c r="H637">
        <v>16</v>
      </c>
      <c r="I637">
        <v>9</v>
      </c>
      <c r="J637">
        <v>331588</v>
      </c>
      <c r="K637">
        <v>769428</v>
      </c>
      <c r="L637" t="s">
        <v>24</v>
      </c>
      <c r="M637" t="s">
        <v>678</v>
      </c>
      <c r="N637" t="s">
        <v>26</v>
      </c>
      <c r="O637" t="s">
        <v>21</v>
      </c>
      <c r="P637" t="s">
        <v>31</v>
      </c>
      <c r="Q637" t="s">
        <v>23</v>
      </c>
      <c r="R637" t="b">
        <f>OR(Таблица1[[#This Row],[Ежемесячный платеж]]&lt;$AC$5, Таблица1[[#This Row],[Ежемесячный платеж]]&gt;$AC$6)</f>
        <v>0</v>
      </c>
      <c r="S637" s="9">
        <f>(Таблица1[[#This Row],[Размер кредита]]-21824)/(789096-21824)</f>
        <v>0.27296708338112169</v>
      </c>
      <c r="T637" s="9">
        <f>(Таблица1[[#This Row],[Кредитный рейтинг]]-586)/(751-586)</f>
        <v>0.42424242424242425</v>
      </c>
      <c r="U637" s="9">
        <f>Таблица1[[#This Row],[Ежемесячный платеж]]/(Таблица1[[#This Row],[Годовой доход]]/12)</f>
        <v>0.19600157832434564</v>
      </c>
    </row>
    <row r="638" spans="1:21" x14ac:dyDescent="0.3">
      <c r="A638">
        <v>637</v>
      </c>
      <c r="B638">
        <v>0</v>
      </c>
      <c r="D638">
        <v>691</v>
      </c>
      <c r="E638" s="1">
        <v>1680417</v>
      </c>
      <c r="F638">
        <v>62</v>
      </c>
      <c r="G638">
        <v>22965.68</v>
      </c>
      <c r="H638">
        <v>17.7</v>
      </c>
      <c r="I638">
        <v>27</v>
      </c>
      <c r="J638">
        <v>92720</v>
      </c>
      <c r="K638">
        <v>528880</v>
      </c>
      <c r="L638" t="s">
        <v>41</v>
      </c>
      <c r="M638" t="s">
        <v>679</v>
      </c>
      <c r="N638" t="s">
        <v>26</v>
      </c>
      <c r="O638" t="s">
        <v>34</v>
      </c>
      <c r="P638" t="s">
        <v>22</v>
      </c>
      <c r="Q638" t="s">
        <v>23</v>
      </c>
      <c r="R638" t="b">
        <f>OR(Таблица1[[#This Row],[Ежемесячный платеж]]&lt;$AC$5, Таблица1[[#This Row],[Ежемесячный платеж]]&gt;$AC$6)</f>
        <v>0</v>
      </c>
      <c r="T638" s="9">
        <f>(Таблица1[[#This Row],[Кредитный рейтинг]]-586)/(751-586)</f>
        <v>0.63636363636363635</v>
      </c>
      <c r="U638" s="9">
        <f>Таблица1[[#This Row],[Ежемесячный платеж]]/(Таблица1[[#This Row],[Годовой доход]]/12)</f>
        <v>0.16399986431939215</v>
      </c>
    </row>
    <row r="639" spans="1:21" x14ac:dyDescent="0.3">
      <c r="A639">
        <v>638</v>
      </c>
      <c r="B639">
        <v>0</v>
      </c>
      <c r="C639" s="9">
        <v>61358</v>
      </c>
      <c r="D639">
        <v>726</v>
      </c>
      <c r="E639" s="1">
        <v>756884</v>
      </c>
      <c r="F639">
        <v>27</v>
      </c>
      <c r="G639">
        <v>19048.259999999998</v>
      </c>
      <c r="H639">
        <v>21.5</v>
      </c>
      <c r="I639">
        <v>9</v>
      </c>
      <c r="J639">
        <v>134615</v>
      </c>
      <c r="K639">
        <v>251812</v>
      </c>
      <c r="L639" t="s">
        <v>24</v>
      </c>
      <c r="M639" t="s">
        <v>680</v>
      </c>
      <c r="N639" t="s">
        <v>76</v>
      </c>
      <c r="O639" t="s">
        <v>28</v>
      </c>
      <c r="P639" t="s">
        <v>22</v>
      </c>
      <c r="Q639" t="s">
        <v>23</v>
      </c>
      <c r="R639" t="b">
        <f>OR(Таблица1[[#This Row],[Ежемесячный платеж]]&lt;$AC$5, Таблица1[[#This Row],[Ежемесячный платеж]]&gt;$AC$6)</f>
        <v>0</v>
      </c>
      <c r="S639" s="9">
        <f>(Таблица1[[#This Row],[Размер кредита]]-21824)/(789096-21824)</f>
        <v>5.152540428948274E-2</v>
      </c>
      <c r="T639" s="9">
        <f>(Таблица1[[#This Row],[Кредитный рейтинг]]-586)/(751-586)</f>
        <v>0.84848484848484851</v>
      </c>
      <c r="U639" s="9">
        <f>Таблица1[[#This Row],[Ежемесячный платеж]]/(Таблица1[[#This Row],[Годовой доход]]/12)</f>
        <v>0.30200020082337581</v>
      </c>
    </row>
    <row r="640" spans="1:21" x14ac:dyDescent="0.3">
      <c r="A640">
        <v>639</v>
      </c>
      <c r="B640">
        <v>0</v>
      </c>
      <c r="C640" s="9">
        <v>218394</v>
      </c>
      <c r="D640">
        <f>$Y$13</f>
        <v>723</v>
      </c>
      <c r="E640">
        <f>$AB$13</f>
        <v>1168044</v>
      </c>
      <c r="F640">
        <v>24</v>
      </c>
      <c r="G640">
        <v>15784.44</v>
      </c>
      <c r="H640">
        <v>13.7</v>
      </c>
      <c r="I640">
        <v>10</v>
      </c>
      <c r="J640">
        <v>172121</v>
      </c>
      <c r="K640">
        <v>878020</v>
      </c>
      <c r="L640" t="s">
        <v>50</v>
      </c>
      <c r="M640" t="s">
        <v>681</v>
      </c>
      <c r="N640" t="s">
        <v>26</v>
      </c>
      <c r="O640" t="s">
        <v>21</v>
      </c>
      <c r="P640" t="s">
        <v>22</v>
      </c>
      <c r="Q640" t="s">
        <v>23</v>
      </c>
      <c r="R640" t="b">
        <f>OR(Таблица1[[#This Row],[Ежемесячный платеж]]&lt;$AC$5, Таблица1[[#This Row],[Ежемесячный платеж]]&gt;$AC$6)</f>
        <v>0</v>
      </c>
      <c r="S640" s="9">
        <f>(Таблица1[[#This Row],[Размер кредита]]-21824)/(789096-21824)</f>
        <v>0.25619337079940357</v>
      </c>
      <c r="T640" s="9">
        <f>(Таблица1[[#This Row],[Кредитный рейтинг]]-586)/(751-586)</f>
        <v>0.83030303030303032</v>
      </c>
      <c r="U640" s="9">
        <f>Таблица1[[#This Row],[Ежемесячный платеж]]/(Таблица1[[#This Row],[Годовой доход]]/12)</f>
        <v>0.16216279523716573</v>
      </c>
    </row>
    <row r="641" spans="1:21" x14ac:dyDescent="0.3">
      <c r="A641">
        <v>640</v>
      </c>
      <c r="B641">
        <v>0</v>
      </c>
      <c r="D641">
        <v>744</v>
      </c>
      <c r="E641" s="1">
        <v>2044647</v>
      </c>
      <c r="F641">
        <v>0</v>
      </c>
      <c r="G641">
        <v>12676.8</v>
      </c>
      <c r="H641">
        <v>17</v>
      </c>
      <c r="I641">
        <v>8</v>
      </c>
      <c r="J641">
        <v>272688</v>
      </c>
      <c r="K641">
        <v>363748</v>
      </c>
      <c r="L641" t="s">
        <v>24</v>
      </c>
      <c r="M641" t="s">
        <v>682</v>
      </c>
      <c r="N641" t="s">
        <v>26</v>
      </c>
      <c r="O641" t="s">
        <v>21</v>
      </c>
      <c r="P641" t="s">
        <v>22</v>
      </c>
      <c r="Q641" t="s">
        <v>23</v>
      </c>
      <c r="R641" t="b">
        <f>OR(Таблица1[[#This Row],[Ежемесячный платеж]]&lt;$AC$5, Таблица1[[#This Row],[Ежемесячный платеж]]&gt;$AC$6)</f>
        <v>0</v>
      </c>
      <c r="T641" s="9">
        <f>(Таблица1[[#This Row],[Кредитный рейтинг]]-586)/(751-586)</f>
        <v>0.95757575757575752</v>
      </c>
      <c r="U641" s="9">
        <f>Таблица1[[#This Row],[Ежемесячный платеж]]/(Таблица1[[#This Row],[Годовой доход]]/12)</f>
        <v>7.4399933093585349E-2</v>
      </c>
    </row>
    <row r="642" spans="1:21" x14ac:dyDescent="0.3">
      <c r="A642">
        <v>641</v>
      </c>
      <c r="B642">
        <v>1</v>
      </c>
      <c r="D642">
        <v>724</v>
      </c>
      <c r="E642" s="1">
        <v>1360343</v>
      </c>
      <c r="F642">
        <v>0</v>
      </c>
      <c r="G642">
        <v>30494.240000000002</v>
      </c>
      <c r="H642">
        <v>15.9</v>
      </c>
      <c r="I642">
        <v>11</v>
      </c>
      <c r="J642">
        <v>226366</v>
      </c>
      <c r="K642">
        <v>463892</v>
      </c>
      <c r="L642" t="s">
        <v>24</v>
      </c>
      <c r="M642" t="s">
        <v>683</v>
      </c>
      <c r="N642" t="s">
        <v>26</v>
      </c>
      <c r="O642" t="s">
        <v>21</v>
      </c>
      <c r="P642" t="s">
        <v>31</v>
      </c>
      <c r="Q642" t="s">
        <v>23</v>
      </c>
      <c r="R642" t="b">
        <f>OR(Таблица1[[#This Row],[Ежемесячный платеж]]&lt;$AC$5, Таблица1[[#This Row],[Ежемесячный платеж]]&gt;$AC$6)</f>
        <v>0</v>
      </c>
      <c r="T642" s="9">
        <f>(Таблица1[[#This Row],[Кредитный рейтинг]]-586)/(751-586)</f>
        <v>0.83636363636363631</v>
      </c>
      <c r="U642" s="9">
        <f>Таблица1[[#This Row],[Ежемесячный платеж]]/(Таблица1[[#This Row],[Годовой доход]]/12)</f>
        <v>0.26899898040420689</v>
      </c>
    </row>
    <row r="643" spans="1:21" x14ac:dyDescent="0.3">
      <c r="A643">
        <v>642</v>
      </c>
      <c r="B643">
        <v>0</v>
      </c>
      <c r="C643" s="9">
        <v>220396</v>
      </c>
      <c r="D643">
        <v>680</v>
      </c>
      <c r="E643" s="1">
        <v>1903420</v>
      </c>
      <c r="F643">
        <v>12</v>
      </c>
      <c r="G643">
        <v>18240.95</v>
      </c>
      <c r="H643">
        <v>15.8</v>
      </c>
      <c r="I643">
        <v>9</v>
      </c>
      <c r="J643">
        <v>57608</v>
      </c>
      <c r="K643">
        <v>66110</v>
      </c>
      <c r="L643" t="s">
        <v>41</v>
      </c>
      <c r="M643" t="s">
        <v>684</v>
      </c>
      <c r="N643" t="s">
        <v>26</v>
      </c>
      <c r="O643" t="s">
        <v>34</v>
      </c>
      <c r="P643" t="s">
        <v>31</v>
      </c>
      <c r="Q643" t="s">
        <v>36</v>
      </c>
      <c r="R643" t="b">
        <f>OR(Таблица1[[#This Row],[Ежемесячный платеж]]&lt;$AC$5, Таблица1[[#This Row],[Ежемесячный платеж]]&gt;$AC$6)</f>
        <v>0</v>
      </c>
      <c r="S643" s="9">
        <f>(Таблица1[[#This Row],[Размер кредита]]-21824)/(789096-21824)</f>
        <v>0.25880261497878199</v>
      </c>
      <c r="T643" s="9">
        <f>(Таблица1[[#This Row],[Кредитный рейтинг]]-586)/(751-586)</f>
        <v>0.5696969696969697</v>
      </c>
      <c r="U643" s="9">
        <f>Таблица1[[#This Row],[Ежемесячный платеж]]/(Таблица1[[#This Row],[Годовой доход]]/12)</f>
        <v>0.11499900179676582</v>
      </c>
    </row>
    <row r="644" spans="1:21" x14ac:dyDescent="0.3">
      <c r="A644">
        <v>643</v>
      </c>
      <c r="B644">
        <v>0</v>
      </c>
      <c r="C644" s="9">
        <v>129074</v>
      </c>
      <c r="D644">
        <f>$Y$13</f>
        <v>723</v>
      </c>
      <c r="E644">
        <f>$AB$13</f>
        <v>1168044</v>
      </c>
      <c r="F644">
        <v>0</v>
      </c>
      <c r="G644">
        <v>18949.84</v>
      </c>
      <c r="H644">
        <v>6.6</v>
      </c>
      <c r="I644">
        <v>10</v>
      </c>
      <c r="J644">
        <v>132734</v>
      </c>
      <c r="K644">
        <v>236456</v>
      </c>
      <c r="L644" t="s">
        <v>29</v>
      </c>
      <c r="M644" t="s">
        <v>685</v>
      </c>
      <c r="N644" t="s">
        <v>26</v>
      </c>
      <c r="O644" t="s">
        <v>34</v>
      </c>
      <c r="P644" t="s">
        <v>22</v>
      </c>
      <c r="Q644" t="s">
        <v>36</v>
      </c>
      <c r="R644" t="b">
        <f>OR(Таблица1[[#This Row],[Ежемесячный платеж]]&lt;$AC$5, Таблица1[[#This Row],[Ежемесячный платеж]]&gt;$AC$6)</f>
        <v>0</v>
      </c>
      <c r="S644" s="9">
        <f>(Таблица1[[#This Row],[Размер кредита]]-21824)/(789096-21824)</f>
        <v>0.13978093818098405</v>
      </c>
      <c r="T644" s="9">
        <f>(Таблица1[[#This Row],[Кредитный рейтинг]]-586)/(751-586)</f>
        <v>0.83030303030303032</v>
      </c>
      <c r="U644" s="9">
        <f>Таблица1[[#This Row],[Ежемесячный платеж]]/(Таблица1[[#This Row],[Годовой доход]]/12)</f>
        <v>0.19468280304509078</v>
      </c>
    </row>
    <row r="645" spans="1:21" x14ac:dyDescent="0.3">
      <c r="A645">
        <v>644</v>
      </c>
      <c r="B645">
        <v>0</v>
      </c>
      <c r="D645">
        <v>729</v>
      </c>
      <c r="E645" s="1">
        <v>662473</v>
      </c>
      <c r="F645">
        <v>74</v>
      </c>
      <c r="G645">
        <v>5283.33</v>
      </c>
      <c r="H645">
        <v>16.899999999999999</v>
      </c>
      <c r="I645">
        <v>12</v>
      </c>
      <c r="J645">
        <v>59356</v>
      </c>
      <c r="K645">
        <v>369512</v>
      </c>
      <c r="L645" t="s">
        <v>32</v>
      </c>
      <c r="M645" t="s">
        <v>686</v>
      </c>
      <c r="N645" t="s">
        <v>20</v>
      </c>
      <c r="O645" t="s">
        <v>28</v>
      </c>
      <c r="P645" t="s">
        <v>22</v>
      </c>
      <c r="Q645" t="s">
        <v>23</v>
      </c>
      <c r="R645" t="b">
        <f>OR(Таблица1[[#This Row],[Ежемесячный платеж]]&lt;$AC$5, Таблица1[[#This Row],[Ежемесячный платеж]]&gt;$AC$6)</f>
        <v>0</v>
      </c>
      <c r="T645" s="9">
        <f>(Таблица1[[#This Row],[Кредитный рейтинг]]-586)/(751-586)</f>
        <v>0.8666666666666667</v>
      </c>
      <c r="U645" s="9">
        <f>Таблица1[[#This Row],[Ежемесячный платеж]]/(Таблица1[[#This Row],[Годовой доход]]/12)</f>
        <v>9.5701953136203277E-2</v>
      </c>
    </row>
    <row r="646" spans="1:21" x14ac:dyDescent="0.3">
      <c r="A646">
        <v>645</v>
      </c>
      <c r="B646">
        <v>1</v>
      </c>
      <c r="D646">
        <v>721</v>
      </c>
      <c r="E646" s="1">
        <v>777024</v>
      </c>
      <c r="F646">
        <v>0</v>
      </c>
      <c r="G646">
        <v>4506.8</v>
      </c>
      <c r="H646">
        <v>12</v>
      </c>
      <c r="I646">
        <v>3</v>
      </c>
      <c r="J646">
        <v>161405</v>
      </c>
      <c r="K646">
        <v>202488</v>
      </c>
      <c r="L646" t="s">
        <v>69</v>
      </c>
      <c r="M646" t="s">
        <v>687</v>
      </c>
      <c r="N646" t="s">
        <v>26</v>
      </c>
      <c r="O646" t="s">
        <v>21</v>
      </c>
      <c r="P646" t="s">
        <v>22</v>
      </c>
      <c r="Q646" t="s">
        <v>23</v>
      </c>
      <c r="R646" t="b">
        <f>OR(Таблица1[[#This Row],[Ежемесячный платеж]]&lt;$AC$5, Таблица1[[#This Row],[Ежемесячный платеж]]&gt;$AC$6)</f>
        <v>0</v>
      </c>
      <c r="T646" s="9">
        <f>(Таблица1[[#This Row],[Кредитный рейтинг]]-586)/(751-586)</f>
        <v>0.81818181818181823</v>
      </c>
      <c r="U646" s="9">
        <f>Таблица1[[#This Row],[Ежемесячный платеж]]/(Таблица1[[#This Row],[Годовой доход]]/12)</f>
        <v>6.960093896713615E-2</v>
      </c>
    </row>
    <row r="647" spans="1:21" x14ac:dyDescent="0.3">
      <c r="A647">
        <v>646</v>
      </c>
      <c r="B647">
        <v>0</v>
      </c>
      <c r="C647" s="9">
        <v>353782</v>
      </c>
      <c r="D647">
        <v>646</v>
      </c>
      <c r="E647" s="1">
        <v>1524313</v>
      </c>
      <c r="F647">
        <v>42</v>
      </c>
      <c r="G647">
        <v>19816.05</v>
      </c>
      <c r="H647">
        <v>31.8</v>
      </c>
      <c r="I647">
        <v>7</v>
      </c>
      <c r="J647">
        <v>114399</v>
      </c>
      <c r="K647">
        <v>129976</v>
      </c>
      <c r="L647" t="s">
        <v>24</v>
      </c>
      <c r="M647" t="s">
        <v>688</v>
      </c>
      <c r="N647" t="s">
        <v>26</v>
      </c>
      <c r="O647" t="s">
        <v>21</v>
      </c>
      <c r="P647" t="s">
        <v>22</v>
      </c>
      <c r="Q647" t="s">
        <v>36</v>
      </c>
      <c r="R647" t="b">
        <f>OR(Таблица1[[#This Row],[Ежемесячный платеж]]&lt;$AC$5, Таблица1[[#This Row],[Ежемесячный платеж]]&gt;$AC$6)</f>
        <v>0</v>
      </c>
      <c r="S647" s="9">
        <f>(Таблица1[[#This Row],[Размер кредита]]-21824)/(789096-21824)</f>
        <v>0.43264709255648581</v>
      </c>
      <c r="T647" s="9">
        <f>(Таблица1[[#This Row],[Кредитный рейтинг]]-586)/(751-586)</f>
        <v>0.36363636363636365</v>
      </c>
      <c r="U647" s="9">
        <f>Таблица1[[#This Row],[Ежемесячный платеж]]/(Таблица1[[#This Row],[Годовой доход]]/12)</f>
        <v>0.15599985042442072</v>
      </c>
    </row>
    <row r="648" spans="1:21" x14ac:dyDescent="0.3">
      <c r="A648">
        <v>647</v>
      </c>
      <c r="B648">
        <v>0</v>
      </c>
      <c r="C648" s="9">
        <v>195712</v>
      </c>
      <c r="D648">
        <f>$Y$13</f>
        <v>723</v>
      </c>
      <c r="E648">
        <f>$AB$13</f>
        <v>1168044</v>
      </c>
      <c r="F648">
        <v>23</v>
      </c>
      <c r="G648">
        <v>25070.69</v>
      </c>
      <c r="H648">
        <v>14.7</v>
      </c>
      <c r="I648">
        <v>18</v>
      </c>
      <c r="J648">
        <v>154850</v>
      </c>
      <c r="K648">
        <v>251130</v>
      </c>
      <c r="L648" t="s">
        <v>32</v>
      </c>
      <c r="M648" t="s">
        <v>689</v>
      </c>
      <c r="N648" t="s">
        <v>26</v>
      </c>
      <c r="O648" t="s">
        <v>34</v>
      </c>
      <c r="P648" t="s">
        <v>22</v>
      </c>
      <c r="Q648" t="s">
        <v>23</v>
      </c>
      <c r="R648" t="b">
        <f>OR(Таблица1[[#This Row],[Ежемесячный платеж]]&lt;$AC$5, Таблица1[[#This Row],[Ежемесячный платеж]]&gt;$AC$6)</f>
        <v>0</v>
      </c>
      <c r="S648" s="9">
        <f>(Таблица1[[#This Row],[Размер кредита]]-21824)/(789096-21824)</f>
        <v>0.22663149443743549</v>
      </c>
      <c r="T648" s="9">
        <f>(Таблица1[[#This Row],[Кредитный рейтинг]]-586)/(751-586)</f>
        <v>0.83030303030303032</v>
      </c>
      <c r="U648" s="9">
        <f>Таблица1[[#This Row],[Ежемесячный платеж]]/(Таблица1[[#This Row],[Годовой доход]]/12)</f>
        <v>0.25756587936755804</v>
      </c>
    </row>
    <row r="649" spans="1:21" x14ac:dyDescent="0.3">
      <c r="A649">
        <v>648</v>
      </c>
      <c r="B649">
        <v>1</v>
      </c>
      <c r="D649">
        <v>745</v>
      </c>
      <c r="E649" s="1">
        <v>491036</v>
      </c>
      <c r="F649">
        <v>0</v>
      </c>
      <c r="G649">
        <v>2459.36</v>
      </c>
      <c r="H649">
        <v>13.7</v>
      </c>
      <c r="I649">
        <v>14</v>
      </c>
      <c r="J649">
        <v>81472</v>
      </c>
      <c r="K649">
        <v>720126</v>
      </c>
      <c r="L649" t="s">
        <v>24</v>
      </c>
      <c r="M649" t="s">
        <v>690</v>
      </c>
      <c r="N649" t="s">
        <v>26</v>
      </c>
      <c r="O649" t="s">
        <v>34</v>
      </c>
      <c r="P649" t="s">
        <v>22</v>
      </c>
      <c r="Q649" t="s">
        <v>23</v>
      </c>
      <c r="R649" t="b">
        <f>OR(Таблица1[[#This Row],[Ежемесячный платеж]]&lt;$AC$5, Таблица1[[#This Row],[Ежемесячный платеж]]&gt;$AC$6)</f>
        <v>0</v>
      </c>
      <c r="T649" s="9">
        <f>(Таблица1[[#This Row],[Кредитный рейтинг]]-586)/(751-586)</f>
        <v>0.96363636363636362</v>
      </c>
      <c r="U649" s="9">
        <f>Таблица1[[#This Row],[Ежемесячный платеж]]/(Таблица1[[#This Row],[Годовой доход]]/12)</f>
        <v>6.0102151369757009E-2</v>
      </c>
    </row>
    <row r="650" spans="1:21" x14ac:dyDescent="0.3">
      <c r="A650">
        <v>649</v>
      </c>
      <c r="B650">
        <v>0</v>
      </c>
      <c r="D650">
        <v>727</v>
      </c>
      <c r="E650" s="1">
        <v>1914364</v>
      </c>
      <c r="F650">
        <v>0</v>
      </c>
      <c r="G650">
        <v>19941.45</v>
      </c>
      <c r="H650">
        <v>19.600000000000001</v>
      </c>
      <c r="I650">
        <v>7</v>
      </c>
      <c r="J650">
        <v>168587</v>
      </c>
      <c r="K650">
        <v>485562</v>
      </c>
      <c r="L650" t="s">
        <v>24</v>
      </c>
      <c r="M650" t="s">
        <v>691</v>
      </c>
      <c r="N650" t="s">
        <v>20</v>
      </c>
      <c r="O650" t="s">
        <v>21</v>
      </c>
      <c r="P650" t="s">
        <v>31</v>
      </c>
      <c r="Q650" t="s">
        <v>23</v>
      </c>
      <c r="R650" t="b">
        <f>OR(Таблица1[[#This Row],[Ежемесячный платеж]]&lt;$AC$5, Таблица1[[#This Row],[Ежемесячный платеж]]&gt;$AC$6)</f>
        <v>0</v>
      </c>
      <c r="T650" s="9">
        <f>(Таблица1[[#This Row],[Кредитный рейтинг]]-586)/(751-586)</f>
        <v>0.8545454545454545</v>
      </c>
      <c r="U650" s="9">
        <f>Таблица1[[#This Row],[Ежемесячный платеж]]/(Таблица1[[#This Row],[Годовой доход]]/12)</f>
        <v>0.12500099249672475</v>
      </c>
    </row>
    <row r="651" spans="1:21" x14ac:dyDescent="0.3">
      <c r="A651">
        <v>650</v>
      </c>
      <c r="B651">
        <v>1</v>
      </c>
      <c r="C651" s="9">
        <v>32230</v>
      </c>
      <c r="D651">
        <f>$Y$13</f>
        <v>723</v>
      </c>
      <c r="E651">
        <f>$AB$13</f>
        <v>1168044</v>
      </c>
      <c r="F651">
        <v>23</v>
      </c>
      <c r="G651">
        <v>5679.1</v>
      </c>
      <c r="H651">
        <v>11.3</v>
      </c>
      <c r="I651">
        <v>6</v>
      </c>
      <c r="J651">
        <v>52364</v>
      </c>
      <c r="K651">
        <v>79464</v>
      </c>
      <c r="L651" t="s">
        <v>41</v>
      </c>
      <c r="M651" t="s">
        <v>692</v>
      </c>
      <c r="N651" t="s">
        <v>68</v>
      </c>
      <c r="O651" t="s">
        <v>34</v>
      </c>
      <c r="P651" t="s">
        <v>22</v>
      </c>
      <c r="Q651" t="s">
        <v>36</v>
      </c>
      <c r="R651" t="b">
        <f>OR(Таблица1[[#This Row],[Ежемесячный платеж]]&lt;$AC$5, Таблица1[[#This Row],[Ежемесячный платеж]]&gt;$AC$6)</f>
        <v>0</v>
      </c>
      <c r="S651" s="9">
        <f>(Таблица1[[#This Row],[Размер кредита]]-21824)/(789096-21824)</f>
        <v>1.3562335130175478E-2</v>
      </c>
      <c r="T651" s="9">
        <f>(Таблица1[[#This Row],[Кредитный рейтинг]]-586)/(751-586)</f>
        <v>0.83030303030303032</v>
      </c>
      <c r="U651" s="9">
        <f>Таблица1[[#This Row],[Ежемесячный платеж]]/(Таблица1[[#This Row],[Годовой доход]]/12)</f>
        <v>5.8344719890689054E-2</v>
      </c>
    </row>
    <row r="652" spans="1:21" x14ac:dyDescent="0.3">
      <c r="A652">
        <v>651</v>
      </c>
      <c r="B652">
        <v>0</v>
      </c>
      <c r="C652" s="9">
        <v>356444</v>
      </c>
      <c r="D652">
        <v>713</v>
      </c>
      <c r="E652" s="1">
        <v>1269808</v>
      </c>
      <c r="F652">
        <v>0</v>
      </c>
      <c r="G652">
        <v>30189.48</v>
      </c>
      <c r="H652">
        <v>22.1</v>
      </c>
      <c r="I652">
        <v>7</v>
      </c>
      <c r="J652">
        <v>762489</v>
      </c>
      <c r="K652">
        <v>955504</v>
      </c>
      <c r="L652" t="s">
        <v>24</v>
      </c>
      <c r="M652" t="s">
        <v>693</v>
      </c>
      <c r="N652" t="s">
        <v>2040</v>
      </c>
      <c r="O652" t="s">
        <v>21</v>
      </c>
      <c r="P652" t="s">
        <v>31</v>
      </c>
      <c r="Q652" t="s">
        <v>36</v>
      </c>
      <c r="R652" t="b">
        <f>OR(Таблица1[[#This Row],[Ежемесячный платеж]]&lt;$AC$5, Таблица1[[#This Row],[Ежемесячный платеж]]&gt;$AC$6)</f>
        <v>0</v>
      </c>
      <c r="S652" s="9">
        <f>(Таблица1[[#This Row],[Размер кредита]]-21824)/(789096-21824)</f>
        <v>0.43611652712467025</v>
      </c>
      <c r="T652" s="9">
        <f>(Таблица1[[#This Row],[Кредитный рейтинг]]-586)/(751-586)</f>
        <v>0.76969696969696966</v>
      </c>
      <c r="U652" s="9">
        <f>Таблица1[[#This Row],[Ежемесячный платеж]]/(Таблица1[[#This Row],[Годовой доход]]/12)</f>
        <v>0.28529806080919323</v>
      </c>
    </row>
    <row r="653" spans="1:21" x14ac:dyDescent="0.3">
      <c r="A653">
        <v>652</v>
      </c>
      <c r="B653">
        <v>0</v>
      </c>
      <c r="C653" s="9">
        <v>111034</v>
      </c>
      <c r="D653">
        <v>699</v>
      </c>
      <c r="E653" s="1">
        <v>348707</v>
      </c>
      <c r="F653">
        <v>0</v>
      </c>
      <c r="G653">
        <v>5957.07</v>
      </c>
      <c r="H653">
        <v>12.7</v>
      </c>
      <c r="I653">
        <v>5</v>
      </c>
      <c r="J653">
        <v>116204</v>
      </c>
      <c r="K653">
        <v>190586</v>
      </c>
      <c r="L653" t="s">
        <v>37</v>
      </c>
      <c r="M653" t="s">
        <v>694</v>
      </c>
      <c r="N653" t="s">
        <v>26</v>
      </c>
      <c r="O653" t="s">
        <v>34</v>
      </c>
      <c r="P653" t="s">
        <v>22</v>
      </c>
      <c r="Q653" t="s">
        <v>23</v>
      </c>
      <c r="R653" t="b">
        <f>OR(Таблица1[[#This Row],[Ежемесячный платеж]]&lt;$AC$5, Таблица1[[#This Row],[Ежемесячный платеж]]&gt;$AC$6)</f>
        <v>0</v>
      </c>
      <c r="S653" s="9">
        <f>(Таблица1[[#This Row],[Размер кредита]]-21824)/(789096-21824)</f>
        <v>0.11626906755361853</v>
      </c>
      <c r="T653" s="9">
        <f>(Таблица1[[#This Row],[Кредитный рейтинг]]-586)/(751-586)</f>
        <v>0.68484848484848482</v>
      </c>
      <c r="U653" s="9">
        <f>Таблица1[[#This Row],[Ежемесячный платеж]]/(Таблица1[[#This Row],[Годовой доход]]/12)</f>
        <v>0.20499972756497573</v>
      </c>
    </row>
    <row r="654" spans="1:21" x14ac:dyDescent="0.3">
      <c r="A654">
        <v>653</v>
      </c>
      <c r="B654">
        <v>0</v>
      </c>
      <c r="C654" s="9">
        <v>389620</v>
      </c>
      <c r="D654">
        <v>743</v>
      </c>
      <c r="E654" s="1">
        <v>985530</v>
      </c>
      <c r="F654">
        <v>0</v>
      </c>
      <c r="G654">
        <v>20942.560000000001</v>
      </c>
      <c r="H654">
        <v>13</v>
      </c>
      <c r="I654">
        <v>18</v>
      </c>
      <c r="J654">
        <v>294481</v>
      </c>
      <c r="K654">
        <v>538670</v>
      </c>
      <c r="L654" t="s">
        <v>37</v>
      </c>
      <c r="M654" t="s">
        <v>695</v>
      </c>
      <c r="N654" t="s">
        <v>26</v>
      </c>
      <c r="O654" t="s">
        <v>34</v>
      </c>
      <c r="P654" t="s">
        <v>22</v>
      </c>
      <c r="Q654" t="s">
        <v>23</v>
      </c>
      <c r="R654" t="b">
        <f>OR(Таблица1[[#This Row],[Ежемесячный платеж]]&lt;$AC$5, Таблица1[[#This Row],[Ежемесячный платеж]]&gt;$AC$6)</f>
        <v>0</v>
      </c>
      <c r="S654" s="9">
        <f>(Таблица1[[#This Row],[Размер кредита]]-21824)/(789096-21824)</f>
        <v>0.47935543066865466</v>
      </c>
      <c r="T654" s="9">
        <f>(Таблица1[[#This Row],[Кредитный рейтинг]]-586)/(751-586)</f>
        <v>0.95151515151515154</v>
      </c>
      <c r="U654" s="9">
        <f>Таблица1[[#This Row],[Ежемесячный платеж]]/(Таблица1[[#This Row],[Годовой доход]]/12)</f>
        <v>0.25500057836899942</v>
      </c>
    </row>
    <row r="655" spans="1:21" x14ac:dyDescent="0.3">
      <c r="A655">
        <v>654</v>
      </c>
      <c r="B655">
        <v>0</v>
      </c>
      <c r="C655" s="9">
        <v>782320</v>
      </c>
      <c r="D655">
        <v>614</v>
      </c>
      <c r="E655" s="1">
        <v>2374392</v>
      </c>
      <c r="F655">
        <v>23</v>
      </c>
      <c r="G655">
        <v>61932.02</v>
      </c>
      <c r="H655">
        <v>21.7</v>
      </c>
      <c r="I655">
        <v>14</v>
      </c>
      <c r="J655">
        <v>363641</v>
      </c>
      <c r="K655">
        <v>487344</v>
      </c>
      <c r="L655" t="s">
        <v>24</v>
      </c>
      <c r="M655" t="s">
        <v>696</v>
      </c>
      <c r="N655" t="s">
        <v>68</v>
      </c>
      <c r="O655" t="s">
        <v>21</v>
      </c>
      <c r="P655" t="s">
        <v>31</v>
      </c>
      <c r="Q655" t="s">
        <v>23</v>
      </c>
      <c r="R655" t="b">
        <f>OR(Таблица1[[#This Row],[Ежемесячный платеж]]&lt;$AC$5, Таблица1[[#This Row],[Ежемесячный платеж]]&gt;$AC$6)</f>
        <v>1</v>
      </c>
      <c r="S655" s="9">
        <f>(Таблица1[[#This Row],[Размер кредита]]-21824)/(789096-21824)</f>
        <v>0.99116871200825785</v>
      </c>
      <c r="T655" s="9">
        <f>(Таблица1[[#This Row],[Кредитный рейтинг]]-586)/(751-586)</f>
        <v>0.16969696969696971</v>
      </c>
      <c r="U655" s="9">
        <f>Таблица1[[#This Row],[Ежемесячный платеж]]/(Таблица1[[#This Row],[Годовой доход]]/12)</f>
        <v>0.31299980795083537</v>
      </c>
    </row>
    <row r="656" spans="1:21" x14ac:dyDescent="0.3">
      <c r="A656">
        <v>655</v>
      </c>
      <c r="B656">
        <v>0</v>
      </c>
      <c r="C656" s="9">
        <v>523292</v>
      </c>
      <c r="D656">
        <v>713</v>
      </c>
      <c r="E656" s="1">
        <v>1788945</v>
      </c>
      <c r="F656">
        <v>26</v>
      </c>
      <c r="G656">
        <v>33542.6</v>
      </c>
      <c r="H656">
        <v>16.8</v>
      </c>
      <c r="I656">
        <v>13</v>
      </c>
      <c r="J656">
        <v>303601</v>
      </c>
      <c r="K656">
        <v>586850</v>
      </c>
      <c r="L656" t="s">
        <v>69</v>
      </c>
      <c r="M656" t="s">
        <v>697</v>
      </c>
      <c r="N656" t="s">
        <v>26</v>
      </c>
      <c r="O656" t="s">
        <v>28</v>
      </c>
      <c r="P656" t="s">
        <v>31</v>
      </c>
      <c r="Q656" t="s">
        <v>23</v>
      </c>
      <c r="R656" t="b">
        <f>OR(Таблица1[[#This Row],[Ежемесячный платеж]]&lt;$AC$5, Таблица1[[#This Row],[Ежемесячный платеж]]&gt;$AC$6)</f>
        <v>0</v>
      </c>
      <c r="S656" s="9">
        <f>(Таблица1[[#This Row],[Размер кредита]]-21824)/(789096-21824)</f>
        <v>0.65357265741484116</v>
      </c>
      <c r="T656" s="9">
        <f>(Таблица1[[#This Row],[Кредитный рейтинг]]-586)/(751-586)</f>
        <v>0.76969696969696966</v>
      </c>
      <c r="U656" s="9">
        <f>Таблица1[[#This Row],[Ежемесячный платеж]]/(Таблица1[[#This Row],[Годовой доход]]/12)</f>
        <v>0.22499920344113428</v>
      </c>
    </row>
    <row r="657" spans="1:21" x14ac:dyDescent="0.3">
      <c r="A657">
        <v>656</v>
      </c>
      <c r="B657">
        <v>0</v>
      </c>
      <c r="C657" s="9">
        <v>217624</v>
      </c>
      <c r="D657">
        <f>$Y$13</f>
        <v>723</v>
      </c>
      <c r="E657">
        <f>$AB$13</f>
        <v>1168044</v>
      </c>
      <c r="F657">
        <v>0</v>
      </c>
      <c r="G657">
        <v>10853.94</v>
      </c>
      <c r="H657">
        <v>12.4</v>
      </c>
      <c r="I657">
        <v>7</v>
      </c>
      <c r="J657">
        <v>107274</v>
      </c>
      <c r="K657">
        <v>239338</v>
      </c>
      <c r="L657" t="s">
        <v>69</v>
      </c>
      <c r="M657" t="s">
        <v>698</v>
      </c>
      <c r="N657" t="s">
        <v>26</v>
      </c>
      <c r="O657" t="s">
        <v>34</v>
      </c>
      <c r="P657" t="s">
        <v>22</v>
      </c>
      <c r="Q657" t="s">
        <v>23</v>
      </c>
      <c r="R657" t="b">
        <f>OR(Таблица1[[#This Row],[Ежемесячный платеж]]&lt;$AC$5, Таблица1[[#This Row],[Ежемесячный платеж]]&gt;$AC$6)</f>
        <v>0</v>
      </c>
      <c r="S657" s="9">
        <f>(Таблица1[[#This Row],[Размер кредита]]-21824)/(789096-21824)</f>
        <v>0.25518981534579654</v>
      </c>
      <c r="T657" s="9">
        <f>(Таблица1[[#This Row],[Кредитный рейтинг]]-586)/(751-586)</f>
        <v>0.83030303030303032</v>
      </c>
      <c r="U657" s="9">
        <f>Таблица1[[#This Row],[Ежемесячный платеж]]/(Таблица1[[#This Row],[Годовой доход]]/12)</f>
        <v>0.11150888151473747</v>
      </c>
    </row>
    <row r="658" spans="1:21" x14ac:dyDescent="0.3">
      <c r="A658">
        <v>657</v>
      </c>
      <c r="B658">
        <v>1</v>
      </c>
      <c r="C658" s="9">
        <v>322740</v>
      </c>
      <c r="D658">
        <f>$Y$13</f>
        <v>723</v>
      </c>
      <c r="E658">
        <f>$AB$13</f>
        <v>1168044</v>
      </c>
      <c r="F658">
        <v>0</v>
      </c>
      <c r="G658">
        <v>43985</v>
      </c>
      <c r="H658">
        <v>20.7</v>
      </c>
      <c r="I658">
        <v>16</v>
      </c>
      <c r="J658">
        <v>446329</v>
      </c>
      <c r="K658">
        <v>891022</v>
      </c>
      <c r="L658" t="s">
        <v>24</v>
      </c>
      <c r="M658" t="s">
        <v>699</v>
      </c>
      <c r="N658" t="s">
        <v>26</v>
      </c>
      <c r="O658" t="s">
        <v>21</v>
      </c>
      <c r="P658" t="s">
        <v>22</v>
      </c>
      <c r="Q658" t="s">
        <v>23</v>
      </c>
      <c r="R658" t="b">
        <f>OR(Таблица1[[#This Row],[Ежемесячный платеж]]&lt;$AC$5, Таблица1[[#This Row],[Ежемесячный платеж]]&gt;$AC$6)</f>
        <v>1</v>
      </c>
      <c r="S658" s="9">
        <f>(Таблица1[[#This Row],[Размер кредита]]-21824)/(789096-21824)</f>
        <v>0.39218947126964099</v>
      </c>
      <c r="T658" s="9">
        <f>(Таблица1[[#This Row],[Кредитный рейтинг]]-586)/(751-586)</f>
        <v>0.83030303030303032</v>
      </c>
      <c r="U658" s="9">
        <f>Таблица1[[#This Row],[Ежемесячный платеж]]/(Таблица1[[#This Row],[Годовой доход]]/12)</f>
        <v>0.45188366191684559</v>
      </c>
    </row>
    <row r="659" spans="1:21" x14ac:dyDescent="0.3">
      <c r="A659">
        <v>658</v>
      </c>
      <c r="B659">
        <v>0</v>
      </c>
      <c r="C659" s="9">
        <v>268620</v>
      </c>
      <c r="D659">
        <v>740</v>
      </c>
      <c r="E659" s="1">
        <v>5316447</v>
      </c>
      <c r="F659">
        <v>0</v>
      </c>
      <c r="G659">
        <v>36329.14</v>
      </c>
      <c r="H659">
        <v>27.6</v>
      </c>
      <c r="I659">
        <v>14</v>
      </c>
      <c r="J659">
        <v>1385062</v>
      </c>
      <c r="K659">
        <v>2187922</v>
      </c>
      <c r="L659" t="s">
        <v>24</v>
      </c>
      <c r="M659" t="s">
        <v>700</v>
      </c>
      <c r="N659" t="s">
        <v>71</v>
      </c>
      <c r="O659" t="s">
        <v>28</v>
      </c>
      <c r="P659" t="s">
        <v>22</v>
      </c>
      <c r="Q659" t="s">
        <v>23</v>
      </c>
      <c r="R659" t="b">
        <f>OR(Таблица1[[#This Row],[Ежемесячный платеж]]&lt;$AC$5, Таблица1[[#This Row],[Ежемесячный платеж]]&gt;$AC$6)</f>
        <v>0</v>
      </c>
      <c r="S659" s="9">
        <f>(Таблица1[[#This Row],[Размер кредита]]-21824)/(789096-21824)</f>
        <v>0.32165385938754443</v>
      </c>
      <c r="T659" s="9">
        <f>(Таблица1[[#This Row],[Кредитный рейтинг]]-586)/(751-586)</f>
        <v>0.93333333333333335</v>
      </c>
      <c r="U659" s="9">
        <f>Таблица1[[#This Row],[Ежемесячный платеж]]/(Таблица1[[#This Row],[Годовой доход]]/12)</f>
        <v>8.2000192986029952E-2</v>
      </c>
    </row>
    <row r="660" spans="1:21" x14ac:dyDescent="0.3">
      <c r="A660">
        <v>659</v>
      </c>
      <c r="B660">
        <v>0</v>
      </c>
      <c r="D660">
        <v>736</v>
      </c>
      <c r="E660" s="1">
        <v>494247</v>
      </c>
      <c r="F660">
        <v>0</v>
      </c>
      <c r="G660">
        <v>11738.39</v>
      </c>
      <c r="H660">
        <v>17.100000000000001</v>
      </c>
      <c r="I660">
        <v>19</v>
      </c>
      <c r="J660">
        <v>229216</v>
      </c>
      <c r="K660">
        <v>804254</v>
      </c>
      <c r="L660" t="s">
        <v>18</v>
      </c>
      <c r="M660" t="s">
        <v>701</v>
      </c>
      <c r="N660" t="s">
        <v>26</v>
      </c>
      <c r="O660" t="s">
        <v>34</v>
      </c>
      <c r="P660" t="s">
        <v>22</v>
      </c>
      <c r="Q660" t="s">
        <v>23</v>
      </c>
      <c r="R660" t="b">
        <f>OR(Таблица1[[#This Row],[Ежемесячный платеж]]&lt;$AC$5, Таблица1[[#This Row],[Ежемесячный платеж]]&gt;$AC$6)</f>
        <v>0</v>
      </c>
      <c r="T660" s="9">
        <f>(Таблица1[[#This Row],[Кредитный рейтинг]]-586)/(751-586)</f>
        <v>0.90909090909090906</v>
      </c>
      <c r="U660" s="9">
        <f>Таблица1[[#This Row],[Ежемесячный платеж]]/(Таблица1[[#This Row],[Годовой доход]]/12)</f>
        <v>0.28500057663475953</v>
      </c>
    </row>
    <row r="661" spans="1:21" x14ac:dyDescent="0.3">
      <c r="A661">
        <v>660</v>
      </c>
      <c r="B661">
        <v>0</v>
      </c>
      <c r="C661" s="9">
        <v>215622</v>
      </c>
      <c r="D661">
        <v>743</v>
      </c>
      <c r="E661" s="1">
        <v>1899430</v>
      </c>
      <c r="F661">
        <v>20</v>
      </c>
      <c r="G661">
        <v>34189.74</v>
      </c>
      <c r="H661">
        <v>19.399999999999999</v>
      </c>
      <c r="I661">
        <v>13</v>
      </c>
      <c r="J661">
        <v>324235</v>
      </c>
      <c r="K661">
        <v>1191806</v>
      </c>
      <c r="L661" t="s">
        <v>18</v>
      </c>
      <c r="M661" s="2" t="s">
        <v>702</v>
      </c>
      <c r="N661" t="s">
        <v>26</v>
      </c>
      <c r="O661" t="s">
        <v>21</v>
      </c>
      <c r="P661" t="s">
        <v>22</v>
      </c>
      <c r="Q661" t="s">
        <v>23</v>
      </c>
      <c r="R661" t="b">
        <f>OR(Таблица1[[#This Row],[Ежемесячный платеж]]&lt;$AC$5, Таблица1[[#This Row],[Ежемесячный платеж]]&gt;$AC$6)</f>
        <v>0</v>
      </c>
      <c r="S661" s="9">
        <f>(Таблица1[[#This Row],[Размер кредита]]-21824)/(789096-21824)</f>
        <v>0.25258057116641819</v>
      </c>
      <c r="T661" s="9">
        <f>(Таблица1[[#This Row],[Кредитный рейтинг]]-586)/(751-586)</f>
        <v>0.95151515151515154</v>
      </c>
      <c r="U661" s="9">
        <f>Таблица1[[#This Row],[Ежемесячный платеж]]/(Таблица1[[#This Row],[Годовой доход]]/12)</f>
        <v>0.21599999999999997</v>
      </c>
    </row>
    <row r="662" spans="1:21" x14ac:dyDescent="0.3">
      <c r="A662">
        <v>661</v>
      </c>
      <c r="B662">
        <v>0</v>
      </c>
      <c r="C662" s="9">
        <v>222112</v>
      </c>
      <c r="D662">
        <v>741</v>
      </c>
      <c r="E662" s="1">
        <v>1822328</v>
      </c>
      <c r="F662">
        <v>37</v>
      </c>
      <c r="G662">
        <v>6499.52</v>
      </c>
      <c r="H662">
        <v>20</v>
      </c>
      <c r="I662">
        <v>26</v>
      </c>
      <c r="J662">
        <v>237595</v>
      </c>
      <c r="K662">
        <v>2116224</v>
      </c>
      <c r="L662" t="s">
        <v>24</v>
      </c>
      <c r="M662" t="s">
        <v>703</v>
      </c>
      <c r="N662" t="s">
        <v>26</v>
      </c>
      <c r="O662" t="s">
        <v>21</v>
      </c>
      <c r="P662" t="s">
        <v>22</v>
      </c>
      <c r="Q662" t="s">
        <v>23</v>
      </c>
      <c r="R662" t="b">
        <f>OR(Таблица1[[#This Row],[Ежемесячный платеж]]&lt;$AC$5, Таблица1[[#This Row],[Ежемесячный платеж]]&gt;$AC$6)</f>
        <v>0</v>
      </c>
      <c r="S662" s="9">
        <f>(Таблица1[[#This Row],[Размер кредита]]-21824)/(789096-21824)</f>
        <v>0.26103910998967772</v>
      </c>
      <c r="T662" s="9">
        <f>(Таблица1[[#This Row],[Кредитный рейтинг]]-586)/(751-586)</f>
        <v>0.93939393939393945</v>
      </c>
      <c r="U662" s="9">
        <f>Таблица1[[#This Row],[Ежемесячный платеж]]/(Таблица1[[#This Row],[Годовой доход]]/12)</f>
        <v>4.2799232629910755E-2</v>
      </c>
    </row>
    <row r="663" spans="1:21" x14ac:dyDescent="0.3">
      <c r="A663">
        <v>662</v>
      </c>
      <c r="B663">
        <v>0</v>
      </c>
      <c r="C663" s="9">
        <v>65714</v>
      </c>
      <c r="D663">
        <f>$Y$13</f>
        <v>723</v>
      </c>
      <c r="E663">
        <f>$AB$13</f>
        <v>1168044</v>
      </c>
      <c r="F663">
        <v>50</v>
      </c>
      <c r="G663">
        <v>1704.87</v>
      </c>
      <c r="H663">
        <v>14.9</v>
      </c>
      <c r="I663">
        <v>3</v>
      </c>
      <c r="J663">
        <v>33250</v>
      </c>
      <c r="K663">
        <v>120340</v>
      </c>
      <c r="L663" t="s">
        <v>47</v>
      </c>
      <c r="M663" t="s">
        <v>704</v>
      </c>
      <c r="N663" t="s">
        <v>68</v>
      </c>
      <c r="O663" t="s">
        <v>34</v>
      </c>
      <c r="P663" t="s">
        <v>22</v>
      </c>
      <c r="Q663" t="s">
        <v>23</v>
      </c>
      <c r="R663" t="b">
        <f>OR(Таблица1[[#This Row],[Ежемесячный платеж]]&lt;$AC$5, Таблица1[[#This Row],[Ежемесячный платеж]]&gt;$AC$6)</f>
        <v>0</v>
      </c>
      <c r="S663" s="9">
        <f>(Таблица1[[#This Row],[Размер кредита]]-21824)/(789096-21824)</f>
        <v>5.7202660855602709E-2</v>
      </c>
      <c r="T663" s="9">
        <f>(Таблица1[[#This Row],[Кредитный рейтинг]]-586)/(751-586)</f>
        <v>0.83030303030303032</v>
      </c>
      <c r="U663" s="9">
        <f>Таблица1[[#This Row],[Ежемесячный платеж]]/(Таблица1[[#This Row],[Годовой доход]]/12)</f>
        <v>1.7515127854772591E-2</v>
      </c>
    </row>
    <row r="664" spans="1:21" x14ac:dyDescent="0.3">
      <c r="A664">
        <v>663</v>
      </c>
      <c r="B664">
        <v>0</v>
      </c>
      <c r="C664" s="9">
        <v>660924</v>
      </c>
      <c r="D664">
        <f>$Y$13</f>
        <v>723</v>
      </c>
      <c r="E664">
        <f>$AB$13</f>
        <v>1168044</v>
      </c>
      <c r="F664">
        <v>48</v>
      </c>
      <c r="G664">
        <v>23848.23</v>
      </c>
      <c r="H664">
        <v>23.6</v>
      </c>
      <c r="I664">
        <v>18</v>
      </c>
      <c r="J664">
        <v>1964923</v>
      </c>
      <c r="K664">
        <v>3321406</v>
      </c>
      <c r="L664" t="s">
        <v>24</v>
      </c>
      <c r="M664" t="s">
        <v>705</v>
      </c>
      <c r="N664" t="s">
        <v>26</v>
      </c>
      <c r="O664" t="s">
        <v>21</v>
      </c>
      <c r="P664" t="s">
        <v>31</v>
      </c>
      <c r="Q664" t="s">
        <v>36</v>
      </c>
      <c r="R664" t="b">
        <f>OR(Таблица1[[#This Row],[Ежемесячный платеж]]&lt;$AC$5, Таблица1[[#This Row],[Ежемесячный платеж]]&gt;$AC$6)</f>
        <v>0</v>
      </c>
      <c r="S664" s="9">
        <f>(Таблица1[[#This Row],[Размер кредита]]-21824)/(789096-21824)</f>
        <v>0.83295102649386399</v>
      </c>
      <c r="T664" s="9">
        <f>(Таблица1[[#This Row],[Кредитный рейтинг]]-586)/(751-586)</f>
        <v>0.83030303030303032</v>
      </c>
      <c r="U664" s="9">
        <f>Таблица1[[#This Row],[Ежемесячный платеж]]/(Таблица1[[#This Row],[Годовой доход]]/12)</f>
        <v>0.24500683193441342</v>
      </c>
    </row>
    <row r="665" spans="1:21" x14ac:dyDescent="0.3">
      <c r="A665">
        <v>664</v>
      </c>
      <c r="B665">
        <v>0</v>
      </c>
      <c r="C665" s="9">
        <v>429572</v>
      </c>
      <c r="D665">
        <v>700</v>
      </c>
      <c r="E665" s="1">
        <v>1597577</v>
      </c>
      <c r="F665">
        <v>0</v>
      </c>
      <c r="G665">
        <v>23430.99</v>
      </c>
      <c r="H665">
        <v>17.5</v>
      </c>
      <c r="I665">
        <v>15</v>
      </c>
      <c r="J665">
        <v>129713</v>
      </c>
      <c r="K665">
        <v>181830</v>
      </c>
      <c r="L665" t="s">
        <v>63</v>
      </c>
      <c r="M665" t="s">
        <v>706</v>
      </c>
      <c r="N665" t="s">
        <v>26</v>
      </c>
      <c r="O665" t="s">
        <v>28</v>
      </c>
      <c r="P665" t="s">
        <v>31</v>
      </c>
      <c r="Q665" t="s">
        <v>36</v>
      </c>
      <c r="R665" t="b">
        <f>OR(Таблица1[[#This Row],[Ежемесячный платеж]]&lt;$AC$5, Таблица1[[#This Row],[Ежемесячный платеж]]&gt;$AC$6)</f>
        <v>0</v>
      </c>
      <c r="S665" s="9">
        <f>(Таблица1[[#This Row],[Размер кредита]]-21824)/(789096-21824)</f>
        <v>0.53142562220438128</v>
      </c>
      <c r="T665" s="9">
        <f>(Таблица1[[#This Row],[Кредитный рейтинг]]-586)/(751-586)</f>
        <v>0.69090909090909092</v>
      </c>
      <c r="U665" s="9">
        <f>Таблица1[[#This Row],[Ежемесячный платеж]]/(Таблица1[[#This Row],[Годовой доход]]/12)</f>
        <v>0.17599895341507799</v>
      </c>
    </row>
    <row r="666" spans="1:21" x14ac:dyDescent="0.3">
      <c r="A666">
        <v>665</v>
      </c>
      <c r="B666">
        <v>0</v>
      </c>
      <c r="C666" s="9">
        <v>484484</v>
      </c>
      <c r="D666">
        <f>$Y$13</f>
        <v>723</v>
      </c>
      <c r="E666">
        <f>$AB$13</f>
        <v>1168044</v>
      </c>
      <c r="F666">
        <v>77</v>
      </c>
      <c r="G666">
        <v>39551.54</v>
      </c>
      <c r="H666">
        <v>11.9</v>
      </c>
      <c r="I666">
        <v>28</v>
      </c>
      <c r="J666">
        <v>559056</v>
      </c>
      <c r="K666">
        <v>1219086</v>
      </c>
      <c r="L666" t="s">
        <v>29</v>
      </c>
      <c r="M666" t="s">
        <v>707</v>
      </c>
      <c r="N666" t="s">
        <v>26</v>
      </c>
      <c r="O666" t="s">
        <v>34</v>
      </c>
      <c r="P666" t="s">
        <v>22</v>
      </c>
      <c r="Q666" t="s">
        <v>23</v>
      </c>
      <c r="R666" t="b">
        <f>OR(Таблица1[[#This Row],[Ежемесячный платеж]]&lt;$AC$5, Таблица1[[#This Row],[Ежемесячный платеж]]&gt;$AC$6)</f>
        <v>0</v>
      </c>
      <c r="S666" s="9">
        <f>(Таблица1[[#This Row],[Размер кредита]]-21824)/(789096-21824)</f>
        <v>0.60299346255304509</v>
      </c>
      <c r="T666" s="9">
        <f>(Таблица1[[#This Row],[Кредитный рейтинг]]-586)/(751-586)</f>
        <v>0.83030303030303032</v>
      </c>
      <c r="U666" s="9">
        <f>Таблица1[[#This Row],[Ежемесячный платеж]]/(Таблица1[[#This Row],[Годовой доход]]/12)</f>
        <v>0.40633613117314077</v>
      </c>
    </row>
    <row r="667" spans="1:21" x14ac:dyDescent="0.3">
      <c r="A667">
        <v>666</v>
      </c>
      <c r="B667">
        <v>0</v>
      </c>
      <c r="C667" s="9">
        <v>393382</v>
      </c>
      <c r="D667">
        <f>$Y$13</f>
        <v>723</v>
      </c>
      <c r="E667">
        <f>$AB$13</f>
        <v>1168044</v>
      </c>
      <c r="F667">
        <v>4</v>
      </c>
      <c r="G667">
        <v>19400.330000000002</v>
      </c>
      <c r="H667">
        <v>11</v>
      </c>
      <c r="I667">
        <v>23</v>
      </c>
      <c r="J667">
        <v>112765</v>
      </c>
      <c r="K667">
        <v>419848</v>
      </c>
      <c r="L667" t="s">
        <v>47</v>
      </c>
      <c r="M667" t="s">
        <v>708</v>
      </c>
      <c r="N667" t="s">
        <v>26</v>
      </c>
      <c r="O667" t="s">
        <v>21</v>
      </c>
      <c r="P667" t="s">
        <v>22</v>
      </c>
      <c r="Q667" t="s">
        <v>23</v>
      </c>
      <c r="R667" t="b">
        <f>OR(Таблица1[[#This Row],[Ежемесячный платеж]]&lt;$AC$5, Таблица1[[#This Row],[Ежемесячный платеж]]&gt;$AC$6)</f>
        <v>0</v>
      </c>
      <c r="S667" s="9">
        <f>(Таблица1[[#This Row],[Размер кредита]]-21824)/(789096-21824)</f>
        <v>0.48425851588484919</v>
      </c>
      <c r="T667" s="9">
        <f>(Таблица1[[#This Row],[Кредитный рейтинг]]-586)/(751-586)</f>
        <v>0.83030303030303032</v>
      </c>
      <c r="U667" s="9">
        <f>Таблица1[[#This Row],[Ежемесячный платеж]]/(Таблица1[[#This Row],[Годовой доход]]/12)</f>
        <v>0.19931095061487411</v>
      </c>
    </row>
    <row r="668" spans="1:21" x14ac:dyDescent="0.3">
      <c r="A668">
        <v>667</v>
      </c>
      <c r="B668">
        <v>0</v>
      </c>
      <c r="C668" s="9">
        <v>318538</v>
      </c>
      <c r="D668">
        <v>749</v>
      </c>
      <c r="E668" s="1">
        <v>1623892</v>
      </c>
      <c r="F668">
        <v>0</v>
      </c>
      <c r="G668">
        <v>5264.14</v>
      </c>
      <c r="H668">
        <v>16.8</v>
      </c>
      <c r="I668">
        <v>6</v>
      </c>
      <c r="J668">
        <v>213199</v>
      </c>
      <c r="K668">
        <v>599192</v>
      </c>
      <c r="L668" t="s">
        <v>18</v>
      </c>
      <c r="M668" t="s">
        <v>709</v>
      </c>
      <c r="N668" t="s">
        <v>26</v>
      </c>
      <c r="O668" t="s">
        <v>34</v>
      </c>
      <c r="P668" t="s">
        <v>22</v>
      </c>
      <c r="Q668" t="s">
        <v>23</v>
      </c>
      <c r="R668" t="b">
        <f>OR(Таблица1[[#This Row],[Ежемесячный платеж]]&lt;$AC$5, Таблица1[[#This Row],[Ежемесячный платеж]]&gt;$AC$6)</f>
        <v>0</v>
      </c>
      <c r="S668" s="9">
        <f>(Таблица1[[#This Row],[Размер кредита]]-21824)/(789096-21824)</f>
        <v>0.38671292579424243</v>
      </c>
      <c r="T668" s="9">
        <f>(Таблица1[[#This Row],[Кредитный рейтинг]]-586)/(751-586)</f>
        <v>0.98787878787878791</v>
      </c>
      <c r="U668" s="9">
        <f>Таблица1[[#This Row],[Ежемесячный платеж]]/(Таблица1[[#This Row],[Годовой доход]]/12)</f>
        <v>3.8900173164225206E-2</v>
      </c>
    </row>
    <row r="669" spans="1:21" x14ac:dyDescent="0.3">
      <c r="A669">
        <v>668</v>
      </c>
      <c r="B669">
        <v>0</v>
      </c>
      <c r="C669" s="9">
        <v>135014</v>
      </c>
      <c r="D669">
        <v>741</v>
      </c>
      <c r="E669" s="1">
        <v>1865591</v>
      </c>
      <c r="F669">
        <v>52</v>
      </c>
      <c r="G669">
        <v>37156.21</v>
      </c>
      <c r="H669">
        <v>25.6</v>
      </c>
      <c r="I669">
        <v>8</v>
      </c>
      <c r="J669">
        <v>313633</v>
      </c>
      <c r="K669">
        <v>465586</v>
      </c>
      <c r="L669" t="s">
        <v>41</v>
      </c>
      <c r="M669" t="s">
        <v>710</v>
      </c>
      <c r="N669" t="s">
        <v>20</v>
      </c>
      <c r="O669" t="s">
        <v>21</v>
      </c>
      <c r="P669" t="s">
        <v>22</v>
      </c>
      <c r="Q669" t="s">
        <v>23</v>
      </c>
      <c r="R669" t="b">
        <f>OR(Таблица1[[#This Row],[Ежемесячный платеж]]&lt;$AC$5, Таблица1[[#This Row],[Ежемесячный платеж]]&gt;$AC$6)</f>
        <v>0</v>
      </c>
      <c r="S669" s="9">
        <f>(Таблица1[[#This Row],[Размер кредита]]-21824)/(789096-21824)</f>
        <v>0.14752265168023856</v>
      </c>
      <c r="T669" s="9">
        <f>(Таблица1[[#This Row],[Кредитный рейтинг]]-586)/(751-586)</f>
        <v>0.93939393939393945</v>
      </c>
      <c r="U669" s="9">
        <f>Таблица1[[#This Row],[Ежемесячный платеж]]/(Таблица1[[#This Row],[Годовой доход]]/12)</f>
        <v>0.23899907321594069</v>
      </c>
    </row>
    <row r="670" spans="1:21" x14ac:dyDescent="0.3">
      <c r="A670">
        <v>669</v>
      </c>
      <c r="B670">
        <v>0</v>
      </c>
      <c r="C670" s="9">
        <v>333036</v>
      </c>
      <c r="D670">
        <v>727</v>
      </c>
      <c r="E670" s="1">
        <v>1629858</v>
      </c>
      <c r="F670">
        <v>0</v>
      </c>
      <c r="G670">
        <v>7904.76</v>
      </c>
      <c r="H670">
        <v>21</v>
      </c>
      <c r="I670">
        <v>9</v>
      </c>
      <c r="J670">
        <v>281979</v>
      </c>
      <c r="K670">
        <v>528330</v>
      </c>
      <c r="L670" t="s">
        <v>24</v>
      </c>
      <c r="M670" t="s">
        <v>711</v>
      </c>
      <c r="N670" t="s">
        <v>26</v>
      </c>
      <c r="O670" t="s">
        <v>21</v>
      </c>
      <c r="P670" t="s">
        <v>22</v>
      </c>
      <c r="Q670" t="s">
        <v>23</v>
      </c>
      <c r="R670" t="b">
        <f>OR(Таблица1[[#This Row],[Ежемесячный платеж]]&lt;$AC$5, Таблица1[[#This Row],[Ежемесячный платеж]]&gt;$AC$6)</f>
        <v>0</v>
      </c>
      <c r="S670" s="9">
        <f>(Таблица1[[#This Row],[Размер кредита]]-21824)/(789096-21824)</f>
        <v>0.4056084413350155</v>
      </c>
      <c r="T670" s="9">
        <f>(Таблица1[[#This Row],[Кредитный рейтинг]]-586)/(751-586)</f>
        <v>0.8545454545454545</v>
      </c>
      <c r="U670" s="9">
        <f>Таблица1[[#This Row],[Ежемесячный платеж]]/(Таблица1[[#This Row],[Годовой доход]]/12)</f>
        <v>5.8199622298384275E-2</v>
      </c>
    </row>
    <row r="671" spans="1:21" x14ac:dyDescent="0.3">
      <c r="A671">
        <v>670</v>
      </c>
      <c r="B671">
        <v>1</v>
      </c>
      <c r="C671" s="9">
        <v>351076</v>
      </c>
      <c r="D671">
        <v>716</v>
      </c>
      <c r="E671" s="1">
        <v>758024</v>
      </c>
      <c r="F671">
        <v>0</v>
      </c>
      <c r="G671">
        <v>8780.4699999999993</v>
      </c>
      <c r="H671">
        <v>16.5</v>
      </c>
      <c r="I671">
        <v>8</v>
      </c>
      <c r="J671">
        <v>97983</v>
      </c>
      <c r="K671">
        <v>144892</v>
      </c>
      <c r="L671" t="s">
        <v>69</v>
      </c>
      <c r="M671" t="s">
        <v>712</v>
      </c>
      <c r="N671" t="s">
        <v>26</v>
      </c>
      <c r="O671" t="s">
        <v>21</v>
      </c>
      <c r="P671" t="s">
        <v>31</v>
      </c>
      <c r="Q671" t="s">
        <v>23</v>
      </c>
      <c r="R671" t="b">
        <f>OR(Таблица1[[#This Row],[Ежемесячный платеж]]&lt;$AC$5, Таблица1[[#This Row],[Ежемесячный платеж]]&gt;$AC$6)</f>
        <v>0</v>
      </c>
      <c r="S671" s="9">
        <f>(Таблица1[[#This Row],[Размер кредита]]-21824)/(789096-21824)</f>
        <v>0.42912031196238098</v>
      </c>
      <c r="T671" s="9">
        <f>(Таблица1[[#This Row],[Кредитный рейтинг]]-586)/(751-586)</f>
        <v>0.78787878787878785</v>
      </c>
      <c r="U671" s="9">
        <f>Таблица1[[#This Row],[Ежемесячный платеж]]/(Таблица1[[#This Row],[Годовой доход]]/12)</f>
        <v>0.13900040104271105</v>
      </c>
    </row>
    <row r="672" spans="1:21" x14ac:dyDescent="0.3">
      <c r="A672">
        <v>671</v>
      </c>
      <c r="B672">
        <v>0</v>
      </c>
      <c r="D672">
        <v>729</v>
      </c>
      <c r="E672" s="1">
        <v>523925</v>
      </c>
      <c r="F672">
        <v>0</v>
      </c>
      <c r="G672">
        <v>2942.72</v>
      </c>
      <c r="H672">
        <v>37.1</v>
      </c>
      <c r="I672">
        <v>4</v>
      </c>
      <c r="J672">
        <v>294880</v>
      </c>
      <c r="K672">
        <v>351648</v>
      </c>
      <c r="L672" t="s">
        <v>63</v>
      </c>
      <c r="M672" t="s">
        <v>713</v>
      </c>
      <c r="N672" t="s">
        <v>26</v>
      </c>
      <c r="O672" t="s">
        <v>21</v>
      </c>
      <c r="P672" t="s">
        <v>22</v>
      </c>
      <c r="Q672" t="s">
        <v>23</v>
      </c>
      <c r="R672" t="b">
        <f>OR(Таблица1[[#This Row],[Ежемесячный платеж]]&lt;$AC$5, Таблица1[[#This Row],[Ежемесячный платеж]]&gt;$AC$6)</f>
        <v>0</v>
      </c>
      <c r="T672" s="9">
        <f>(Таблица1[[#This Row],[Кредитный рейтинг]]-586)/(751-586)</f>
        <v>0.8666666666666667</v>
      </c>
      <c r="U672" s="9">
        <f>Таблица1[[#This Row],[Ежемесячный платеж]]/(Таблица1[[#This Row],[Годовой доход]]/12)</f>
        <v>6.7400181323662739E-2</v>
      </c>
    </row>
    <row r="673" spans="1:21" x14ac:dyDescent="0.3">
      <c r="A673">
        <v>672</v>
      </c>
      <c r="B673">
        <v>1</v>
      </c>
      <c r="C673" s="9">
        <v>209462</v>
      </c>
      <c r="D673">
        <v>669</v>
      </c>
      <c r="E673" s="1">
        <v>1828009</v>
      </c>
      <c r="F673">
        <v>0</v>
      </c>
      <c r="G673">
        <v>29400.6</v>
      </c>
      <c r="H673">
        <v>17</v>
      </c>
      <c r="I673">
        <v>7</v>
      </c>
      <c r="J673">
        <v>23028</v>
      </c>
      <c r="K673">
        <v>28666</v>
      </c>
      <c r="L673" t="s">
        <v>47</v>
      </c>
      <c r="M673" t="s">
        <v>714</v>
      </c>
      <c r="N673" t="s">
        <v>20</v>
      </c>
      <c r="O673" t="s">
        <v>21</v>
      </c>
      <c r="P673" t="s">
        <v>31</v>
      </c>
      <c r="Q673" t="s">
        <v>23</v>
      </c>
      <c r="R673" t="b">
        <f>OR(Таблица1[[#This Row],[Ежемесячный платеж]]&lt;$AC$5, Таблица1[[#This Row],[Ежемесячный платеж]]&gt;$AC$6)</f>
        <v>0</v>
      </c>
      <c r="S673" s="9">
        <f>(Таблица1[[#This Row],[Размер кредита]]-21824)/(789096-21824)</f>
        <v>0.24455212753756164</v>
      </c>
      <c r="T673" s="9">
        <f>(Таблица1[[#This Row],[Кредитный рейтинг]]-586)/(751-586)</f>
        <v>0.50303030303030305</v>
      </c>
      <c r="U673" s="9">
        <f>Таблица1[[#This Row],[Ежемесячный платеж]]/(Таблица1[[#This Row],[Годовой доход]]/12)</f>
        <v>0.19300080032428721</v>
      </c>
    </row>
    <row r="674" spans="1:21" x14ac:dyDescent="0.3">
      <c r="A674">
        <v>673</v>
      </c>
      <c r="B674">
        <v>0</v>
      </c>
      <c r="D674">
        <v>741</v>
      </c>
      <c r="E674" s="1">
        <v>1839048</v>
      </c>
      <c r="F674">
        <v>0</v>
      </c>
      <c r="G674">
        <v>16245</v>
      </c>
      <c r="H674">
        <v>19</v>
      </c>
      <c r="I674">
        <v>7</v>
      </c>
      <c r="J674">
        <v>68818</v>
      </c>
      <c r="K674">
        <v>105424</v>
      </c>
      <c r="L674" t="s">
        <v>37</v>
      </c>
      <c r="M674" t="s">
        <v>715</v>
      </c>
      <c r="N674" t="s">
        <v>20</v>
      </c>
      <c r="O674" t="s">
        <v>21</v>
      </c>
      <c r="P674" t="s">
        <v>22</v>
      </c>
      <c r="Q674" t="s">
        <v>23</v>
      </c>
      <c r="R674" t="b">
        <f>OR(Таблица1[[#This Row],[Ежемесячный платеж]]&lt;$AC$5, Таблица1[[#This Row],[Ежемесячный платеж]]&gt;$AC$6)</f>
        <v>0</v>
      </c>
      <c r="T674" s="9">
        <f>(Таблица1[[#This Row],[Кредитный рейтинг]]-586)/(751-586)</f>
        <v>0.93939393939393945</v>
      </c>
      <c r="U674" s="9">
        <f>Таблица1[[#This Row],[Ежемесячный платеж]]/(Таблица1[[#This Row],[Годовой доход]]/12)</f>
        <v>0.1060004959087528</v>
      </c>
    </row>
    <row r="675" spans="1:21" x14ac:dyDescent="0.3">
      <c r="A675">
        <v>674</v>
      </c>
      <c r="B675">
        <v>0</v>
      </c>
      <c r="C675" s="9">
        <v>221496</v>
      </c>
      <c r="D675">
        <v>728</v>
      </c>
      <c r="E675" s="1">
        <v>956460</v>
      </c>
      <c r="F675">
        <v>0</v>
      </c>
      <c r="G675">
        <v>12354.18</v>
      </c>
      <c r="H675">
        <v>14.8</v>
      </c>
      <c r="I675">
        <v>19</v>
      </c>
      <c r="J675">
        <v>377739</v>
      </c>
      <c r="K675">
        <v>1003178</v>
      </c>
      <c r="L675" t="s">
        <v>24</v>
      </c>
      <c r="M675" t="s">
        <v>716</v>
      </c>
      <c r="N675" t="s">
        <v>68</v>
      </c>
      <c r="O675" t="s">
        <v>21</v>
      </c>
      <c r="P675" t="s">
        <v>22</v>
      </c>
      <c r="Q675" t="s">
        <v>36</v>
      </c>
      <c r="R675" t="b">
        <f>OR(Таблица1[[#This Row],[Ежемесячный платеж]]&lt;$AC$5, Таблица1[[#This Row],[Ежемесячный платеж]]&gt;$AC$6)</f>
        <v>0</v>
      </c>
      <c r="S675" s="9">
        <f>(Таблица1[[#This Row],[Размер кредита]]-21824)/(789096-21824)</f>
        <v>0.26023626562679208</v>
      </c>
      <c r="T675" s="9">
        <f>(Таблица1[[#This Row],[Кредитный рейтинг]]-586)/(751-586)</f>
        <v>0.8606060606060606</v>
      </c>
      <c r="U675" s="9">
        <f>Таблица1[[#This Row],[Ежемесячный платеж]]/(Таблица1[[#This Row],[Годовой доход]]/12)</f>
        <v>0.15499880810488678</v>
      </c>
    </row>
    <row r="676" spans="1:21" x14ac:dyDescent="0.3">
      <c r="A676">
        <v>675</v>
      </c>
      <c r="B676">
        <v>0</v>
      </c>
      <c r="C676" s="9">
        <v>60368</v>
      </c>
      <c r="D676">
        <f>$Y$13</f>
        <v>723</v>
      </c>
      <c r="E676">
        <f>$AB$13</f>
        <v>1168044</v>
      </c>
      <c r="F676">
        <v>0</v>
      </c>
      <c r="G676">
        <v>3988.67</v>
      </c>
      <c r="H676">
        <v>37.4</v>
      </c>
      <c r="I676">
        <v>8</v>
      </c>
      <c r="J676">
        <v>182020</v>
      </c>
      <c r="K676">
        <v>470470</v>
      </c>
      <c r="L676" t="s">
        <v>24</v>
      </c>
      <c r="M676" t="s">
        <v>717</v>
      </c>
      <c r="N676" t="s">
        <v>68</v>
      </c>
      <c r="O676" t="s">
        <v>21</v>
      </c>
      <c r="P676" t="s">
        <v>22</v>
      </c>
      <c r="Q676" t="s">
        <v>36</v>
      </c>
      <c r="R676" t="b">
        <f>OR(Таблица1[[#This Row],[Ежемесячный платеж]]&lt;$AC$5, Таблица1[[#This Row],[Ежемесячный платеж]]&gt;$AC$6)</f>
        <v>0</v>
      </c>
      <c r="S676" s="9">
        <f>(Таблица1[[#This Row],[Размер кредита]]-21824)/(789096-21824)</f>
        <v>5.0235118706273653E-2</v>
      </c>
      <c r="T676" s="9">
        <f>(Таблица1[[#This Row],[Кредитный рейтинг]]-586)/(751-586)</f>
        <v>0.83030303030303032</v>
      </c>
      <c r="U676" s="9">
        <f>Таблица1[[#This Row],[Ежемесячный платеж]]/(Таблица1[[#This Row],[Годовой доход]]/12)</f>
        <v>4.0977942611750931E-2</v>
      </c>
    </row>
    <row r="677" spans="1:21" x14ac:dyDescent="0.3">
      <c r="A677">
        <v>676</v>
      </c>
      <c r="B677">
        <v>0</v>
      </c>
      <c r="C677" s="9">
        <v>329120</v>
      </c>
      <c r="D677">
        <f>$Y$13</f>
        <v>723</v>
      </c>
      <c r="E677">
        <f>$AB$13</f>
        <v>1168044</v>
      </c>
      <c r="F677">
        <v>0</v>
      </c>
      <c r="G677">
        <v>20890.88</v>
      </c>
      <c r="H677">
        <v>10.8</v>
      </c>
      <c r="I677">
        <v>13</v>
      </c>
      <c r="J677">
        <v>246373</v>
      </c>
      <c r="K677">
        <v>690734</v>
      </c>
      <c r="L677" t="s">
        <v>41</v>
      </c>
      <c r="M677" t="s">
        <v>718</v>
      </c>
      <c r="N677" t="s">
        <v>26</v>
      </c>
      <c r="O677" t="s">
        <v>34</v>
      </c>
      <c r="P677" t="s">
        <v>31</v>
      </c>
      <c r="Q677" t="s">
        <v>23</v>
      </c>
      <c r="R677" t="b">
        <f>OR(Таблица1[[#This Row],[Ежемесячный платеж]]&lt;$AC$5, Таблица1[[#This Row],[Ежемесячный платеж]]&gt;$AC$6)</f>
        <v>0</v>
      </c>
      <c r="S677" s="9">
        <f>(Таблица1[[#This Row],[Размер кредита]]-21824)/(789096-21824)</f>
        <v>0.40050464502809957</v>
      </c>
      <c r="T677" s="9">
        <f>(Таблица1[[#This Row],[Кредитный рейтинг]]-586)/(751-586)</f>
        <v>0.83030303030303032</v>
      </c>
      <c r="U677" s="9">
        <f>Таблица1[[#This Row],[Ежемесячный платеж]]/(Таблица1[[#This Row],[Годовой доход]]/12)</f>
        <v>0.21462424360726137</v>
      </c>
    </row>
    <row r="678" spans="1:21" x14ac:dyDescent="0.3">
      <c r="A678">
        <v>677</v>
      </c>
      <c r="B678">
        <v>0</v>
      </c>
      <c r="C678" s="9">
        <v>54230</v>
      </c>
      <c r="D678">
        <v>742</v>
      </c>
      <c r="E678" s="1">
        <v>842859</v>
      </c>
      <c r="F678">
        <v>22</v>
      </c>
      <c r="G678">
        <v>9692.85</v>
      </c>
      <c r="H678">
        <v>17.899999999999999</v>
      </c>
      <c r="I678">
        <v>20</v>
      </c>
      <c r="J678">
        <v>65436</v>
      </c>
      <c r="K678">
        <v>190872</v>
      </c>
      <c r="L678" t="s">
        <v>47</v>
      </c>
      <c r="M678" t="s">
        <v>719</v>
      </c>
      <c r="N678" t="s">
        <v>26</v>
      </c>
      <c r="O678" t="s">
        <v>21</v>
      </c>
      <c r="P678" t="s">
        <v>22</v>
      </c>
      <c r="Q678" t="s">
        <v>23</v>
      </c>
      <c r="R678" t="b">
        <f>OR(Таблица1[[#This Row],[Ежемесячный платеж]]&lt;$AC$5, Таблица1[[#This Row],[Ежемесячный платеж]]&gt;$AC$6)</f>
        <v>0</v>
      </c>
      <c r="S678" s="9">
        <f>(Таблица1[[#This Row],[Размер кредита]]-21824)/(789096-21824)</f>
        <v>4.2235348090377337E-2</v>
      </c>
      <c r="T678" s="9">
        <f>(Таблица1[[#This Row],[Кредитный рейтинг]]-586)/(751-586)</f>
        <v>0.94545454545454544</v>
      </c>
      <c r="U678" s="9">
        <f>Таблица1[[#This Row],[Ежемесячный платеж]]/(Таблица1[[#This Row],[Годовой доход]]/12)</f>
        <v>0.1379995942381822</v>
      </c>
    </row>
    <row r="679" spans="1:21" x14ac:dyDescent="0.3">
      <c r="A679">
        <v>678</v>
      </c>
      <c r="B679">
        <v>0</v>
      </c>
      <c r="C679" s="9">
        <v>64592</v>
      </c>
      <c r="D679">
        <v>686</v>
      </c>
      <c r="E679" s="1">
        <v>1299581</v>
      </c>
      <c r="F679">
        <v>0</v>
      </c>
      <c r="G679">
        <v>35197.120000000003</v>
      </c>
      <c r="H679">
        <v>24.2</v>
      </c>
      <c r="I679">
        <v>20</v>
      </c>
      <c r="J679">
        <v>271111</v>
      </c>
      <c r="K679">
        <v>527582</v>
      </c>
      <c r="L679" t="s">
        <v>29</v>
      </c>
      <c r="M679" t="s">
        <v>720</v>
      </c>
      <c r="N679" t="s">
        <v>26</v>
      </c>
      <c r="O679" t="s">
        <v>21</v>
      </c>
      <c r="P679" t="s">
        <v>22</v>
      </c>
      <c r="Q679" t="s">
        <v>36</v>
      </c>
      <c r="R679" t="b">
        <f>OR(Таблица1[[#This Row],[Ежемесячный платеж]]&lt;$AC$5, Таблица1[[#This Row],[Ежемесячный платеж]]&gt;$AC$6)</f>
        <v>0</v>
      </c>
      <c r="S679" s="9">
        <f>(Таблица1[[#This Row],[Размер кредита]]-21824)/(789096-21824)</f>
        <v>5.5740337194632415E-2</v>
      </c>
      <c r="T679" s="9">
        <f>(Таблица1[[#This Row],[Кредитный рейтинг]]-586)/(751-586)</f>
        <v>0.60606060606060608</v>
      </c>
      <c r="U679" s="9">
        <f>Таблица1[[#This Row],[Ежемесячный платеж]]/(Таблица1[[#This Row],[Годовой доход]]/12)</f>
        <v>0.32500124270822672</v>
      </c>
    </row>
    <row r="680" spans="1:21" x14ac:dyDescent="0.3">
      <c r="A680">
        <v>679</v>
      </c>
      <c r="B680">
        <v>0</v>
      </c>
      <c r="C680" s="9">
        <v>152592</v>
      </c>
      <c r="D680">
        <v>741</v>
      </c>
      <c r="E680" s="1">
        <v>805790</v>
      </c>
      <c r="F680">
        <v>0</v>
      </c>
      <c r="G680">
        <v>10273.870000000001</v>
      </c>
      <c r="H680">
        <v>14.7</v>
      </c>
      <c r="I680">
        <v>16</v>
      </c>
      <c r="J680">
        <v>307420</v>
      </c>
      <c r="K680">
        <v>908050</v>
      </c>
      <c r="L680" t="s">
        <v>18</v>
      </c>
      <c r="M680" t="s">
        <v>721</v>
      </c>
      <c r="N680" t="s">
        <v>26</v>
      </c>
      <c r="O680" t="s">
        <v>28</v>
      </c>
      <c r="P680" t="s">
        <v>22</v>
      </c>
      <c r="Q680" t="s">
        <v>23</v>
      </c>
      <c r="R680" t="b">
        <f>OR(Таблица1[[#This Row],[Ежемесячный платеж]]&lt;$AC$5, Таблица1[[#This Row],[Ежемесячный платеж]]&gt;$AC$6)</f>
        <v>0</v>
      </c>
      <c r="S680" s="9">
        <f>(Таблица1[[#This Row],[Размер кредита]]-21824)/(789096-21824)</f>
        <v>0.17043238903543984</v>
      </c>
      <c r="T680" s="9">
        <f>(Таблица1[[#This Row],[Кредитный рейтинг]]-586)/(751-586)</f>
        <v>0.93939393939393945</v>
      </c>
      <c r="U680" s="9">
        <f>Таблица1[[#This Row],[Ежемесячный платеж]]/(Таблица1[[#This Row],[Годовой доход]]/12)</f>
        <v>0.15300070738033483</v>
      </c>
    </row>
    <row r="681" spans="1:21" x14ac:dyDescent="0.3">
      <c r="A681">
        <v>680</v>
      </c>
      <c r="B681">
        <v>0</v>
      </c>
      <c r="C681" s="9">
        <v>322520</v>
      </c>
      <c r="D681">
        <v>709</v>
      </c>
      <c r="E681" s="1">
        <v>1648896</v>
      </c>
      <c r="F681">
        <v>0</v>
      </c>
      <c r="G681">
        <v>29680.28</v>
      </c>
      <c r="H681">
        <v>16.600000000000001</v>
      </c>
      <c r="I681">
        <v>8</v>
      </c>
      <c r="J681">
        <v>254828</v>
      </c>
      <c r="K681">
        <v>337634</v>
      </c>
      <c r="L681" t="s">
        <v>24</v>
      </c>
      <c r="M681" t="s">
        <v>722</v>
      </c>
      <c r="N681" t="s">
        <v>26</v>
      </c>
      <c r="O681" t="s">
        <v>21</v>
      </c>
      <c r="P681" t="s">
        <v>22</v>
      </c>
      <c r="Q681" t="s">
        <v>36</v>
      </c>
      <c r="R681" t="b">
        <f>OR(Таблица1[[#This Row],[Ежемесячный платеж]]&lt;$AC$5, Таблица1[[#This Row],[Ежемесячный платеж]]&gt;$AC$6)</f>
        <v>0</v>
      </c>
      <c r="S681" s="9">
        <f>(Таблица1[[#This Row],[Размер кредита]]-21824)/(789096-21824)</f>
        <v>0.39190274114003898</v>
      </c>
      <c r="T681" s="9">
        <f>(Таблица1[[#This Row],[Кредитный рейтинг]]-586)/(751-586)</f>
        <v>0.74545454545454548</v>
      </c>
      <c r="U681" s="9">
        <f>Таблица1[[#This Row],[Ежемесячный платеж]]/(Таблица1[[#This Row],[Годовой доход]]/12)</f>
        <v>0.21600110619469026</v>
      </c>
    </row>
    <row r="682" spans="1:21" x14ac:dyDescent="0.3">
      <c r="A682">
        <v>681</v>
      </c>
      <c r="B682">
        <v>1</v>
      </c>
      <c r="C682" s="9">
        <v>111914</v>
      </c>
      <c r="D682">
        <v>701</v>
      </c>
      <c r="E682" s="1">
        <v>1063183</v>
      </c>
      <c r="F682">
        <v>0</v>
      </c>
      <c r="G682">
        <v>7964.99</v>
      </c>
      <c r="H682">
        <v>13.3</v>
      </c>
      <c r="I682">
        <v>14</v>
      </c>
      <c r="J682">
        <v>154508</v>
      </c>
      <c r="K682">
        <v>586586</v>
      </c>
      <c r="L682" t="s">
        <v>50</v>
      </c>
      <c r="M682" t="s">
        <v>723</v>
      </c>
      <c r="N682" t="s">
        <v>103</v>
      </c>
      <c r="O682" t="s">
        <v>21</v>
      </c>
      <c r="P682" t="s">
        <v>22</v>
      </c>
      <c r="Q682" t="s">
        <v>23</v>
      </c>
      <c r="R682" t="b">
        <f>OR(Таблица1[[#This Row],[Ежемесячный платеж]]&lt;$AC$5, Таблица1[[#This Row],[Ежемесячный платеж]]&gt;$AC$6)</f>
        <v>0</v>
      </c>
      <c r="S682" s="9">
        <f>(Таблица1[[#This Row],[Размер кредита]]-21824)/(789096-21824)</f>
        <v>0.11741598807202661</v>
      </c>
      <c r="T682" s="9">
        <f>(Таблица1[[#This Row],[Кредитный рейтинг]]-586)/(751-586)</f>
        <v>0.69696969696969702</v>
      </c>
      <c r="U682" s="9">
        <f>Таблица1[[#This Row],[Ежемесячный платеж]]/(Таблица1[[#This Row],[Годовой доход]]/12)</f>
        <v>8.9899744446628668E-2</v>
      </c>
    </row>
    <row r="683" spans="1:21" x14ac:dyDescent="0.3">
      <c r="A683">
        <v>682</v>
      </c>
      <c r="B683">
        <v>0</v>
      </c>
      <c r="C683" s="9">
        <v>237116</v>
      </c>
      <c r="D683">
        <v>721</v>
      </c>
      <c r="E683" s="1">
        <v>655310</v>
      </c>
      <c r="F683">
        <v>74</v>
      </c>
      <c r="G683">
        <v>6880.66</v>
      </c>
      <c r="H683">
        <v>14.5</v>
      </c>
      <c r="I683">
        <v>5</v>
      </c>
      <c r="J683">
        <v>229026</v>
      </c>
      <c r="K683">
        <v>328218</v>
      </c>
      <c r="L683" t="s">
        <v>63</v>
      </c>
      <c r="M683" t="s">
        <v>724</v>
      </c>
      <c r="N683" t="s">
        <v>26</v>
      </c>
      <c r="O683" t="s">
        <v>34</v>
      </c>
      <c r="P683" t="s">
        <v>22</v>
      </c>
      <c r="Q683" t="s">
        <v>23</v>
      </c>
      <c r="R683" t="b">
        <f>OR(Таблица1[[#This Row],[Ежемесячный платеж]]&lt;$AC$5, Таблица1[[#This Row],[Ежемесячный платеж]]&gt;$AC$6)</f>
        <v>0</v>
      </c>
      <c r="S683" s="9">
        <f>(Таблица1[[#This Row],[Размер кредита]]-21824)/(789096-21824)</f>
        <v>0.28059410482853536</v>
      </c>
      <c r="T683" s="9">
        <f>(Таблица1[[#This Row],[Кредитный рейтинг]]-586)/(751-586)</f>
        <v>0.81818181818181823</v>
      </c>
      <c r="U683" s="9">
        <f>Таблица1[[#This Row],[Ежемесячный платеж]]/(Таблица1[[#This Row],[Годовой доход]]/12)</f>
        <v>0.12599826036532327</v>
      </c>
    </row>
    <row r="684" spans="1:21" x14ac:dyDescent="0.3">
      <c r="A684">
        <v>683</v>
      </c>
      <c r="B684">
        <v>0</v>
      </c>
      <c r="C684" s="9">
        <v>68112</v>
      </c>
      <c r="D684">
        <f>$Y$13</f>
        <v>723</v>
      </c>
      <c r="E684">
        <f>$AB$13</f>
        <v>1168044</v>
      </c>
      <c r="F684">
        <v>0</v>
      </c>
      <c r="G684">
        <v>956.46</v>
      </c>
      <c r="H684">
        <v>8</v>
      </c>
      <c r="I684">
        <v>4</v>
      </c>
      <c r="J684">
        <v>18734</v>
      </c>
      <c r="K684">
        <v>123904</v>
      </c>
      <c r="L684" t="s">
        <v>41</v>
      </c>
      <c r="M684" t="s">
        <v>725</v>
      </c>
      <c r="N684" t="s">
        <v>71</v>
      </c>
      <c r="O684" t="s">
        <v>34</v>
      </c>
      <c r="P684" t="s">
        <v>22</v>
      </c>
      <c r="Q684" t="s">
        <v>23</v>
      </c>
      <c r="R684" t="b">
        <f>OR(Таблица1[[#This Row],[Ежемесячный платеж]]&lt;$AC$5, Таблица1[[#This Row],[Ежемесячный платеж]]&gt;$AC$6)</f>
        <v>0</v>
      </c>
      <c r="S684" s="9">
        <f>(Таблица1[[#This Row],[Размер кредита]]-21824)/(789096-21824)</f>
        <v>6.0328019268264713E-2</v>
      </c>
      <c r="T684" s="9">
        <f>(Таблица1[[#This Row],[Кредитный рейтинг]]-586)/(751-586)</f>
        <v>0.83030303030303032</v>
      </c>
      <c r="U684" s="9">
        <f>Таблица1[[#This Row],[Ежемесячный платеж]]/(Таблица1[[#This Row],[Годовой доход]]/12)</f>
        <v>9.8262736677727901E-3</v>
      </c>
    </row>
    <row r="685" spans="1:21" x14ac:dyDescent="0.3">
      <c r="A685">
        <v>684</v>
      </c>
      <c r="B685">
        <v>0</v>
      </c>
      <c r="C685" s="9">
        <v>341550</v>
      </c>
      <c r="D685">
        <v>682</v>
      </c>
      <c r="E685" s="1">
        <v>823612</v>
      </c>
      <c r="F685">
        <v>36</v>
      </c>
      <c r="G685">
        <v>19149.150000000001</v>
      </c>
      <c r="H685">
        <v>11.4</v>
      </c>
      <c r="I685">
        <v>26</v>
      </c>
      <c r="J685">
        <v>600153</v>
      </c>
      <c r="K685">
        <v>769560</v>
      </c>
      <c r="L685" t="s">
        <v>29</v>
      </c>
      <c r="M685" t="s">
        <v>726</v>
      </c>
      <c r="N685" t="s">
        <v>26</v>
      </c>
      <c r="O685" t="s">
        <v>34</v>
      </c>
      <c r="P685" t="s">
        <v>22</v>
      </c>
      <c r="Q685" t="s">
        <v>23</v>
      </c>
      <c r="R685" t="b">
        <f>OR(Таблица1[[#This Row],[Ежемесячный платеж]]&lt;$AC$5, Таблица1[[#This Row],[Ежемесячный платеж]]&gt;$AC$6)</f>
        <v>0</v>
      </c>
      <c r="S685" s="9">
        <f>(Таблица1[[#This Row],[Размер кредита]]-21824)/(789096-21824)</f>
        <v>0.41670489735061361</v>
      </c>
      <c r="T685" s="9">
        <f>(Таблица1[[#This Row],[Кредитный рейтинг]]-586)/(751-586)</f>
        <v>0.58181818181818179</v>
      </c>
      <c r="U685" s="9">
        <f>Таблица1[[#This Row],[Ежемесячный платеж]]/(Таблица1[[#This Row],[Годовой доход]]/12)</f>
        <v>0.27900249146442746</v>
      </c>
    </row>
    <row r="686" spans="1:21" x14ac:dyDescent="0.3">
      <c r="A686">
        <v>685</v>
      </c>
      <c r="B686">
        <v>0</v>
      </c>
      <c r="C686" s="9">
        <v>671506</v>
      </c>
      <c r="D686">
        <v>706</v>
      </c>
      <c r="E686" s="1">
        <v>1784423</v>
      </c>
      <c r="F686">
        <v>0</v>
      </c>
      <c r="G686">
        <v>44610.48</v>
      </c>
      <c r="H686">
        <v>22.8</v>
      </c>
      <c r="I686">
        <v>14</v>
      </c>
      <c r="J686">
        <v>548663</v>
      </c>
      <c r="K686">
        <v>935660</v>
      </c>
      <c r="L686" t="s">
        <v>24</v>
      </c>
      <c r="M686" t="s">
        <v>727</v>
      </c>
      <c r="N686" t="s">
        <v>26</v>
      </c>
      <c r="O686" t="s">
        <v>21</v>
      </c>
      <c r="P686" t="s">
        <v>22</v>
      </c>
      <c r="Q686" t="s">
        <v>36</v>
      </c>
      <c r="R686" t="b">
        <f>OR(Таблица1[[#This Row],[Ежемесячный платеж]]&lt;$AC$5, Таблица1[[#This Row],[Ежемесячный платеж]]&gt;$AC$6)</f>
        <v>1</v>
      </c>
      <c r="S686" s="9">
        <f>(Таблица1[[#This Row],[Размер кредита]]-21824)/(789096-21824)</f>
        <v>0.84674274572772101</v>
      </c>
      <c r="T686" s="9">
        <f>(Таблица1[[#This Row],[Кредитный рейтинг]]-586)/(751-586)</f>
        <v>0.72727272727272729</v>
      </c>
      <c r="U686" s="9">
        <f>Таблица1[[#This Row],[Ежемесячный платеж]]/(Таблица1[[#This Row],[Годовой доход]]/12)</f>
        <v>0.29999936113802617</v>
      </c>
    </row>
    <row r="687" spans="1:21" x14ac:dyDescent="0.3">
      <c r="A687">
        <v>686</v>
      </c>
      <c r="B687">
        <v>0</v>
      </c>
      <c r="C687" s="9">
        <v>279862</v>
      </c>
      <c r="D687">
        <v>680</v>
      </c>
      <c r="E687" s="1">
        <v>929575</v>
      </c>
      <c r="F687">
        <v>18</v>
      </c>
      <c r="G687">
        <v>6600.03</v>
      </c>
      <c r="H687">
        <v>13.6</v>
      </c>
      <c r="I687">
        <v>5</v>
      </c>
      <c r="J687">
        <v>224143</v>
      </c>
      <c r="K687">
        <v>286462</v>
      </c>
      <c r="L687" t="s">
        <v>63</v>
      </c>
      <c r="M687" t="s">
        <v>728</v>
      </c>
      <c r="N687" t="s">
        <v>26</v>
      </c>
      <c r="O687" t="s">
        <v>34</v>
      </c>
      <c r="P687" t="s">
        <v>22</v>
      </c>
      <c r="Q687" t="s">
        <v>36</v>
      </c>
      <c r="R687" t="b">
        <f>OR(Таблица1[[#This Row],[Ежемесячный платеж]]&lt;$AC$5, Таблица1[[#This Row],[Ежемесячный платеж]]&gt;$AC$6)</f>
        <v>0</v>
      </c>
      <c r="S687" s="9">
        <f>(Таблица1[[#This Row],[Размер кредита]]-21824)/(789096-21824)</f>
        <v>0.33630576901020759</v>
      </c>
      <c r="T687" s="9">
        <f>(Таблица1[[#This Row],[Кредитный рейтинг]]-586)/(751-586)</f>
        <v>0.5696969696969697</v>
      </c>
      <c r="U687" s="9">
        <f>Таблица1[[#This Row],[Ежемесячный платеж]]/(Таблица1[[#This Row],[Годовой доход]]/12)</f>
        <v>8.5200613183444046E-2</v>
      </c>
    </row>
    <row r="688" spans="1:21" x14ac:dyDescent="0.3">
      <c r="A688">
        <v>687</v>
      </c>
      <c r="B688">
        <v>0</v>
      </c>
      <c r="C688" s="9">
        <v>116072</v>
      </c>
      <c r="D688">
        <f>$Y$13</f>
        <v>723</v>
      </c>
      <c r="E688">
        <f>$AB$13</f>
        <v>1168044</v>
      </c>
      <c r="F688">
        <v>14</v>
      </c>
      <c r="G688">
        <v>10777.37</v>
      </c>
      <c r="H688">
        <v>19.399999999999999</v>
      </c>
      <c r="I688">
        <v>19</v>
      </c>
      <c r="J688">
        <v>134729</v>
      </c>
      <c r="K688">
        <v>496826</v>
      </c>
      <c r="L688" t="s">
        <v>41</v>
      </c>
      <c r="M688" t="s">
        <v>729</v>
      </c>
      <c r="N688" t="s">
        <v>26</v>
      </c>
      <c r="O688" t="s">
        <v>21</v>
      </c>
      <c r="P688" t="s">
        <v>22</v>
      </c>
      <c r="Q688" t="s">
        <v>23</v>
      </c>
      <c r="R688" t="b">
        <f>OR(Таблица1[[#This Row],[Ежемесячный платеж]]&lt;$AC$5, Таблица1[[#This Row],[Ежемесячный платеж]]&gt;$AC$6)</f>
        <v>0</v>
      </c>
      <c r="S688" s="9">
        <f>(Таблица1[[#This Row],[Размер кредита]]-21824)/(789096-21824)</f>
        <v>0.12283518752150475</v>
      </c>
      <c r="T688" s="9">
        <f>(Таблица1[[#This Row],[Кредитный рейтинг]]-586)/(751-586)</f>
        <v>0.83030303030303032</v>
      </c>
      <c r="U688" s="9">
        <f>Таблица1[[#This Row],[Ежемесячный платеж]]/(Таблица1[[#This Row],[Годовой доход]]/12)</f>
        <v>0.11072223306656256</v>
      </c>
    </row>
    <row r="689" spans="1:21" x14ac:dyDescent="0.3">
      <c r="A689">
        <v>688</v>
      </c>
      <c r="B689">
        <v>0</v>
      </c>
      <c r="C689" s="9">
        <v>333212</v>
      </c>
      <c r="D689">
        <v>692</v>
      </c>
      <c r="E689" s="1">
        <v>959215</v>
      </c>
      <c r="F689">
        <v>36</v>
      </c>
      <c r="G689">
        <v>26698.23</v>
      </c>
      <c r="H689">
        <v>17.399999999999999</v>
      </c>
      <c r="I689">
        <v>9</v>
      </c>
      <c r="J689">
        <v>616968</v>
      </c>
      <c r="K689">
        <v>948706</v>
      </c>
      <c r="L689" t="s">
        <v>24</v>
      </c>
      <c r="M689" t="s">
        <v>730</v>
      </c>
      <c r="N689" t="s">
        <v>26</v>
      </c>
      <c r="O689" t="s">
        <v>34</v>
      </c>
      <c r="P689" t="s">
        <v>31</v>
      </c>
      <c r="Q689" t="s">
        <v>23</v>
      </c>
      <c r="R689" t="b">
        <f>OR(Таблица1[[#This Row],[Ежемесячный платеж]]&lt;$AC$5, Таблица1[[#This Row],[Ежемесячный платеж]]&gt;$AC$6)</f>
        <v>0</v>
      </c>
      <c r="S689" s="9">
        <f>(Таблица1[[#This Row],[Размер кредита]]-21824)/(789096-21824)</f>
        <v>0.40583782543869712</v>
      </c>
      <c r="T689" s="9">
        <f>(Таблица1[[#This Row],[Кредитный рейтинг]]-586)/(751-586)</f>
        <v>0.64242424242424245</v>
      </c>
      <c r="U689" s="9">
        <f>Таблица1[[#This Row],[Ежемесячный платеж]]/(Таблица1[[#This Row],[Годовой доход]]/12)</f>
        <v>0.33400099039318609</v>
      </c>
    </row>
    <row r="690" spans="1:21" x14ac:dyDescent="0.3">
      <c r="A690">
        <v>689</v>
      </c>
      <c r="B690">
        <v>0</v>
      </c>
      <c r="D690">
        <v>709</v>
      </c>
      <c r="E690" s="1">
        <v>1817996</v>
      </c>
      <c r="F690">
        <v>9</v>
      </c>
      <c r="G690">
        <v>17271</v>
      </c>
      <c r="H690">
        <v>31.7</v>
      </c>
      <c r="I690">
        <v>10</v>
      </c>
      <c r="J690">
        <v>175427</v>
      </c>
      <c r="K690">
        <v>365332</v>
      </c>
      <c r="L690" t="s">
        <v>52</v>
      </c>
      <c r="M690" t="s">
        <v>731</v>
      </c>
      <c r="N690" t="s">
        <v>68</v>
      </c>
      <c r="O690" t="s">
        <v>21</v>
      </c>
      <c r="P690" t="s">
        <v>22</v>
      </c>
      <c r="Q690" t="s">
        <v>23</v>
      </c>
      <c r="R690" t="b">
        <f>OR(Таблица1[[#This Row],[Ежемесячный платеж]]&lt;$AC$5, Таблица1[[#This Row],[Ежемесячный платеж]]&gt;$AC$6)</f>
        <v>0</v>
      </c>
      <c r="T690" s="9">
        <f>(Таблица1[[#This Row],[Кредитный рейтинг]]-586)/(751-586)</f>
        <v>0.74545454545454548</v>
      </c>
      <c r="U690" s="9">
        <f>Таблица1[[#This Row],[Ежемесячный платеж]]/(Таблица1[[#This Row],[Годовой доход]]/12)</f>
        <v>0.11400025082563439</v>
      </c>
    </row>
    <row r="691" spans="1:21" x14ac:dyDescent="0.3">
      <c r="A691">
        <v>690</v>
      </c>
      <c r="B691">
        <v>0</v>
      </c>
      <c r="C691" s="9">
        <v>208670</v>
      </c>
      <c r="D691">
        <v>720</v>
      </c>
      <c r="E691" s="1">
        <v>575130</v>
      </c>
      <c r="F691">
        <v>55</v>
      </c>
      <c r="G691">
        <v>12604.98</v>
      </c>
      <c r="H691">
        <v>22.5</v>
      </c>
      <c r="I691">
        <v>5</v>
      </c>
      <c r="J691">
        <v>245746</v>
      </c>
      <c r="K691">
        <v>353034</v>
      </c>
      <c r="L691" t="s">
        <v>63</v>
      </c>
      <c r="M691" t="s">
        <v>732</v>
      </c>
      <c r="N691" t="s">
        <v>68</v>
      </c>
      <c r="O691" t="s">
        <v>21</v>
      </c>
      <c r="P691" t="s">
        <v>22</v>
      </c>
      <c r="Q691" t="s">
        <v>36</v>
      </c>
      <c r="R691" t="b">
        <f>OR(Таблица1[[#This Row],[Ежемесячный платеж]]&lt;$AC$5, Таблица1[[#This Row],[Ежемесячный платеж]]&gt;$AC$6)</f>
        <v>0</v>
      </c>
      <c r="S691" s="9">
        <f>(Таблица1[[#This Row],[Размер кредита]]-21824)/(789096-21824)</f>
        <v>0.24351989907099439</v>
      </c>
      <c r="T691" s="9">
        <f>(Таблица1[[#This Row],[Кредитный рейтинг]]-586)/(751-586)</f>
        <v>0.81212121212121213</v>
      </c>
      <c r="U691" s="9">
        <f>Таблица1[[#This Row],[Ежемесячный платеж]]/(Таблица1[[#This Row],[Годовой доход]]/12)</f>
        <v>0.26300099108027747</v>
      </c>
    </row>
    <row r="692" spans="1:21" x14ac:dyDescent="0.3">
      <c r="A692">
        <v>691</v>
      </c>
      <c r="B692">
        <v>1</v>
      </c>
      <c r="C692" s="9">
        <v>219692</v>
      </c>
      <c r="D692">
        <v>734</v>
      </c>
      <c r="E692" s="1">
        <v>1413524</v>
      </c>
      <c r="F692">
        <v>51</v>
      </c>
      <c r="G692">
        <v>11060.66</v>
      </c>
      <c r="H692">
        <v>25.2</v>
      </c>
      <c r="I692">
        <v>13</v>
      </c>
      <c r="J692">
        <v>213712</v>
      </c>
      <c r="K692">
        <v>899866</v>
      </c>
      <c r="L692" t="s">
        <v>50</v>
      </c>
      <c r="M692" t="s">
        <v>733</v>
      </c>
      <c r="N692" t="s">
        <v>26</v>
      </c>
      <c r="O692" t="s">
        <v>34</v>
      </c>
      <c r="P692" t="s">
        <v>22</v>
      </c>
      <c r="Q692" t="s">
        <v>36</v>
      </c>
      <c r="R692" t="b">
        <f>OR(Таблица1[[#This Row],[Ежемесячный платеж]]&lt;$AC$5, Таблица1[[#This Row],[Ежемесячный платеж]]&gt;$AC$6)</f>
        <v>0</v>
      </c>
      <c r="S692" s="9">
        <f>(Таблица1[[#This Row],[Размер кредита]]-21824)/(789096-21824)</f>
        <v>0.25788507856405551</v>
      </c>
      <c r="T692" s="9">
        <f>(Таблица1[[#This Row],[Кредитный рейтинг]]-586)/(751-586)</f>
        <v>0.89696969696969697</v>
      </c>
      <c r="U692" s="9">
        <f>Таблица1[[#This Row],[Ежемесячный платеж]]/(Таблица1[[#This Row],[Годовой доход]]/12)</f>
        <v>9.3898596698747241E-2</v>
      </c>
    </row>
    <row r="693" spans="1:21" x14ac:dyDescent="0.3">
      <c r="A693">
        <v>692</v>
      </c>
      <c r="B693">
        <v>0</v>
      </c>
      <c r="D693">
        <v>742</v>
      </c>
      <c r="E693" s="1">
        <v>5972460</v>
      </c>
      <c r="F693">
        <v>24</v>
      </c>
      <c r="G693">
        <v>66194.67</v>
      </c>
      <c r="H693">
        <v>34.200000000000003</v>
      </c>
      <c r="I693">
        <v>28</v>
      </c>
      <c r="J693">
        <v>368695</v>
      </c>
      <c r="K693">
        <v>843678</v>
      </c>
      <c r="L693" t="s">
        <v>24</v>
      </c>
      <c r="M693" t="s">
        <v>734</v>
      </c>
      <c r="N693" t="s">
        <v>26</v>
      </c>
      <c r="O693" t="s">
        <v>21</v>
      </c>
      <c r="P693" t="s">
        <v>22</v>
      </c>
      <c r="Q693" t="s">
        <v>23</v>
      </c>
      <c r="R693" t="b">
        <f>OR(Таблица1[[#This Row],[Ежемесячный платеж]]&lt;$AC$5, Таблица1[[#This Row],[Ежемесячный платеж]]&gt;$AC$6)</f>
        <v>1</v>
      </c>
      <c r="T693" s="9">
        <f>(Таблица1[[#This Row],[Кредитный рейтинг]]-586)/(751-586)</f>
        <v>0.94545454545454544</v>
      </c>
      <c r="U693" s="9">
        <f>Таблица1[[#This Row],[Ежемесячный платеж]]/(Таблица1[[#This Row],[Годовой доход]]/12)</f>
        <v>0.1329998091238786</v>
      </c>
    </row>
    <row r="694" spans="1:21" x14ac:dyDescent="0.3">
      <c r="A694">
        <v>693</v>
      </c>
      <c r="B694">
        <v>0</v>
      </c>
      <c r="C694" s="9">
        <v>707872</v>
      </c>
      <c r="D694">
        <v>713</v>
      </c>
      <c r="E694" s="1">
        <v>2330749</v>
      </c>
      <c r="F694">
        <v>0</v>
      </c>
      <c r="G694">
        <v>40593.879999999997</v>
      </c>
      <c r="H694">
        <v>25.5</v>
      </c>
      <c r="I694">
        <v>10</v>
      </c>
      <c r="J694">
        <v>876090</v>
      </c>
      <c r="K694">
        <v>1172754</v>
      </c>
      <c r="L694" t="s">
        <v>24</v>
      </c>
      <c r="M694" t="s">
        <v>735</v>
      </c>
      <c r="N694" t="s">
        <v>26</v>
      </c>
      <c r="O694" t="s">
        <v>21</v>
      </c>
      <c r="P694" t="s">
        <v>31</v>
      </c>
      <c r="Q694" t="s">
        <v>23</v>
      </c>
      <c r="R694" t="b">
        <f>OR(Таблица1[[#This Row],[Ежемесячный платеж]]&lt;$AC$5, Таблица1[[#This Row],[Ежемесячный платеж]]&gt;$AC$6)</f>
        <v>0</v>
      </c>
      <c r="S694" s="9">
        <f>(Таблица1[[#This Row],[Размер кредита]]-21824)/(789096-21824)</f>
        <v>0.89413923615093471</v>
      </c>
      <c r="T694" s="9">
        <f>(Таблица1[[#This Row],[Кредитный рейтинг]]-586)/(751-586)</f>
        <v>0.76969696969696966</v>
      </c>
      <c r="U694" s="9">
        <f>Таблица1[[#This Row],[Ежемесячный платеж]]/(Таблица1[[#This Row],[Годовой доход]]/12)</f>
        <v>0.20900000815188591</v>
      </c>
    </row>
    <row r="695" spans="1:21" x14ac:dyDescent="0.3">
      <c r="A695">
        <v>694</v>
      </c>
      <c r="B695">
        <v>0</v>
      </c>
      <c r="C695" s="9">
        <v>77286</v>
      </c>
      <c r="D695">
        <v>697</v>
      </c>
      <c r="E695" s="1">
        <v>1964429</v>
      </c>
      <c r="F695">
        <v>0</v>
      </c>
      <c r="G695">
        <v>13489.24</v>
      </c>
      <c r="H695">
        <v>16.7</v>
      </c>
      <c r="I695">
        <v>7</v>
      </c>
      <c r="J695">
        <v>128687</v>
      </c>
      <c r="K695">
        <v>161260</v>
      </c>
      <c r="L695" t="s">
        <v>24</v>
      </c>
      <c r="M695" t="s">
        <v>736</v>
      </c>
      <c r="N695" t="s">
        <v>2041</v>
      </c>
      <c r="O695" t="s">
        <v>21</v>
      </c>
      <c r="P695" t="s">
        <v>22</v>
      </c>
      <c r="Q695" t="s">
        <v>36</v>
      </c>
      <c r="R695" t="b">
        <f>OR(Таблица1[[#This Row],[Ежемесячный платеж]]&lt;$AC$5, Таблица1[[#This Row],[Ежемесячный платеж]]&gt;$AC$6)</f>
        <v>0</v>
      </c>
      <c r="S695" s="9">
        <f>(Таблица1[[#This Row],[Размер кредита]]-21824)/(789096-21824)</f>
        <v>7.2284665672668891E-2</v>
      </c>
      <c r="T695" s="9">
        <f>(Таблица1[[#This Row],[Кредитный рейтинг]]-586)/(751-586)</f>
        <v>0.67272727272727273</v>
      </c>
      <c r="U695" s="9">
        <f>Таблица1[[#This Row],[Ежемесячный платеж]]/(Таблица1[[#This Row],[Годовой доход]]/12)</f>
        <v>8.2400982677409057E-2</v>
      </c>
    </row>
    <row r="696" spans="1:21" x14ac:dyDescent="0.3">
      <c r="A696">
        <v>695</v>
      </c>
      <c r="B696">
        <v>0</v>
      </c>
      <c r="C696" s="9">
        <v>303380</v>
      </c>
      <c r="D696">
        <f>$Y$13</f>
        <v>723</v>
      </c>
      <c r="E696">
        <f>$AB$13</f>
        <v>1168044</v>
      </c>
      <c r="F696">
        <v>13</v>
      </c>
      <c r="G696">
        <v>56924.76</v>
      </c>
      <c r="H696">
        <v>22.5</v>
      </c>
      <c r="I696">
        <v>12</v>
      </c>
      <c r="J696">
        <v>245575</v>
      </c>
      <c r="K696">
        <v>653708</v>
      </c>
      <c r="L696" t="s">
        <v>24</v>
      </c>
      <c r="M696" t="s">
        <v>737</v>
      </c>
      <c r="N696" t="s">
        <v>26</v>
      </c>
      <c r="O696" t="s">
        <v>34</v>
      </c>
      <c r="P696" t="s">
        <v>22</v>
      </c>
      <c r="Q696" t="s">
        <v>23</v>
      </c>
      <c r="R696" t="b">
        <f>OR(Таблица1[[#This Row],[Ежемесячный платеж]]&lt;$AC$5, Таблица1[[#This Row],[Ежемесячный платеж]]&gt;$AC$6)</f>
        <v>1</v>
      </c>
      <c r="S696" s="9">
        <f>(Таблица1[[#This Row],[Размер кредита]]-21824)/(789096-21824)</f>
        <v>0.3669572198646634</v>
      </c>
      <c r="T696" s="9">
        <f>(Таблица1[[#This Row],[Кредитный рейтинг]]-586)/(751-586)</f>
        <v>0.83030303030303032</v>
      </c>
      <c r="U696" s="9">
        <f>Таблица1[[#This Row],[Ежемесячный платеж]]/(Таблица1[[#This Row],[Годовой доход]]/12)</f>
        <v>0.58482139371462039</v>
      </c>
    </row>
    <row r="697" spans="1:21" x14ac:dyDescent="0.3">
      <c r="A697">
        <v>696</v>
      </c>
      <c r="B697">
        <v>0</v>
      </c>
      <c r="C697" s="9">
        <v>246774</v>
      </c>
      <c r="D697">
        <v>746</v>
      </c>
      <c r="E697" s="1">
        <v>968715</v>
      </c>
      <c r="F697">
        <v>0</v>
      </c>
      <c r="G697">
        <v>22684.1</v>
      </c>
      <c r="H697">
        <v>15.4</v>
      </c>
      <c r="I697">
        <v>10</v>
      </c>
      <c r="J697">
        <v>349999</v>
      </c>
      <c r="K697">
        <v>927366</v>
      </c>
      <c r="L697" t="s">
        <v>41</v>
      </c>
      <c r="M697" t="s">
        <v>738</v>
      </c>
      <c r="N697" t="s">
        <v>26</v>
      </c>
      <c r="O697" t="s">
        <v>34</v>
      </c>
      <c r="P697" t="s">
        <v>22</v>
      </c>
      <c r="Q697" t="s">
        <v>36</v>
      </c>
      <c r="R697" t="b">
        <f>OR(Таблица1[[#This Row],[Ежемесячный платеж]]&lt;$AC$5, Таблица1[[#This Row],[Ежемесячный платеж]]&gt;$AC$6)</f>
        <v>0</v>
      </c>
      <c r="S697" s="9">
        <f>(Таблица1[[#This Row],[Размер кредита]]-21824)/(789096-21824)</f>
        <v>0.29318155751806402</v>
      </c>
      <c r="T697" s="9">
        <f>(Таблица1[[#This Row],[Кредитный рейтинг]]-586)/(751-586)</f>
        <v>0.96969696969696972</v>
      </c>
      <c r="U697" s="9">
        <f>Таблица1[[#This Row],[Ежемесячный платеж]]/(Таблица1[[#This Row],[Годовой доход]]/12)</f>
        <v>0.28100029420417766</v>
      </c>
    </row>
    <row r="698" spans="1:21" x14ac:dyDescent="0.3">
      <c r="A698">
        <v>697</v>
      </c>
      <c r="B698">
        <v>0</v>
      </c>
      <c r="C698" s="9">
        <v>265694</v>
      </c>
      <c r="D698">
        <v>739</v>
      </c>
      <c r="E698" s="1">
        <v>655633</v>
      </c>
      <c r="F698">
        <v>0</v>
      </c>
      <c r="G698">
        <v>12620.75</v>
      </c>
      <c r="H698">
        <v>32.9</v>
      </c>
      <c r="I698">
        <v>13</v>
      </c>
      <c r="J698">
        <v>427652</v>
      </c>
      <c r="K698">
        <v>868736</v>
      </c>
      <c r="L698" t="s">
        <v>24</v>
      </c>
      <c r="M698" t="s">
        <v>739</v>
      </c>
      <c r="N698" t="s">
        <v>26</v>
      </c>
      <c r="O698" t="s">
        <v>28</v>
      </c>
      <c r="P698" t="s">
        <v>22</v>
      </c>
      <c r="Q698" t="s">
        <v>23</v>
      </c>
      <c r="R698" t="b">
        <f>OR(Таблица1[[#This Row],[Ежемесячный платеж]]&lt;$AC$5, Таблица1[[#This Row],[Ежемесячный платеж]]&gt;$AC$6)</f>
        <v>0</v>
      </c>
      <c r="S698" s="9">
        <f>(Таблица1[[#This Row],[Размер кредита]]-21824)/(789096-21824)</f>
        <v>0.31784034866383759</v>
      </c>
      <c r="T698" s="9">
        <f>(Таблица1[[#This Row],[Кредитный рейтинг]]-586)/(751-586)</f>
        <v>0.92727272727272725</v>
      </c>
      <c r="U698" s="9">
        <f>Таблица1[[#This Row],[Ежемесячный платеж]]/(Таблица1[[#This Row],[Годовой доход]]/12)</f>
        <v>0.23099660938360331</v>
      </c>
    </row>
    <row r="699" spans="1:21" x14ac:dyDescent="0.3">
      <c r="A699">
        <v>698</v>
      </c>
      <c r="B699">
        <v>1</v>
      </c>
      <c r="C699" s="9">
        <v>265738</v>
      </c>
      <c r="D699">
        <f>$Y$13</f>
        <v>723</v>
      </c>
      <c r="E699">
        <f>$AB$13</f>
        <v>1168044</v>
      </c>
      <c r="F699">
        <v>81</v>
      </c>
      <c r="G699">
        <v>11153.95</v>
      </c>
      <c r="H699">
        <v>14</v>
      </c>
      <c r="I699">
        <v>11</v>
      </c>
      <c r="J699">
        <v>196669</v>
      </c>
      <c r="K699">
        <v>393976</v>
      </c>
      <c r="L699" t="s">
        <v>50</v>
      </c>
      <c r="M699" t="s">
        <v>740</v>
      </c>
      <c r="N699" t="s">
        <v>26</v>
      </c>
      <c r="O699" t="s">
        <v>21</v>
      </c>
      <c r="P699" t="s">
        <v>22</v>
      </c>
      <c r="Q699" t="s">
        <v>23</v>
      </c>
      <c r="R699" t="b">
        <f>OR(Таблица1[[#This Row],[Ежемесячный платеж]]&lt;$AC$5, Таблица1[[#This Row],[Ежемесячный платеж]]&gt;$AC$6)</f>
        <v>0</v>
      </c>
      <c r="S699" s="9">
        <f>(Таблица1[[#This Row],[Размер кредита]]-21824)/(789096-21824)</f>
        <v>0.31789769468975798</v>
      </c>
      <c r="T699" s="9">
        <f>(Таблица1[[#This Row],[Кредитный рейтинг]]-586)/(751-586)</f>
        <v>0.83030303030303032</v>
      </c>
      <c r="U699" s="9">
        <f>Таблица1[[#This Row],[Ежемесячный платеж]]/(Таблица1[[#This Row],[Годовой доход]]/12)</f>
        <v>0.11459105992582472</v>
      </c>
    </row>
    <row r="700" spans="1:21" x14ac:dyDescent="0.3">
      <c r="A700">
        <v>699</v>
      </c>
      <c r="B700">
        <v>0</v>
      </c>
      <c r="C700" s="9">
        <v>288420</v>
      </c>
      <c r="D700">
        <v>687</v>
      </c>
      <c r="E700" s="1">
        <v>1286490</v>
      </c>
      <c r="F700">
        <v>0</v>
      </c>
      <c r="G700">
        <v>4373.99</v>
      </c>
      <c r="H700">
        <v>12.2</v>
      </c>
      <c r="I700">
        <v>6</v>
      </c>
      <c r="J700">
        <v>109459</v>
      </c>
      <c r="K700">
        <v>278564</v>
      </c>
      <c r="L700" t="s">
        <v>41</v>
      </c>
      <c r="M700" t="s">
        <v>741</v>
      </c>
      <c r="N700" t="s">
        <v>26</v>
      </c>
      <c r="O700" t="s">
        <v>34</v>
      </c>
      <c r="P700" t="s">
        <v>31</v>
      </c>
      <c r="Q700" t="s">
        <v>36</v>
      </c>
      <c r="R700" t="b">
        <f>OR(Таблица1[[#This Row],[Ежемесячный платеж]]&lt;$AC$5, Таблица1[[#This Row],[Ежемесячный платеж]]&gt;$AC$6)</f>
        <v>0</v>
      </c>
      <c r="S700" s="9">
        <f>(Таблица1[[#This Row],[Размер кредита]]-21824)/(789096-21824)</f>
        <v>0.34745957105172609</v>
      </c>
      <c r="T700" s="9">
        <f>(Таблица1[[#This Row],[Кредитный рейтинг]]-586)/(751-586)</f>
        <v>0.61212121212121207</v>
      </c>
      <c r="U700" s="9">
        <f>Таблица1[[#This Row],[Ежемесячный платеж]]/(Таблица1[[#This Row],[Годовой доход]]/12)</f>
        <v>4.0799291094373059E-2</v>
      </c>
    </row>
    <row r="701" spans="1:21" x14ac:dyDescent="0.3">
      <c r="A701">
        <v>700</v>
      </c>
      <c r="B701">
        <v>0</v>
      </c>
      <c r="C701" s="9">
        <v>787336</v>
      </c>
      <c r="D701">
        <f>$Y$13</f>
        <v>723</v>
      </c>
      <c r="E701">
        <f>$AB$13</f>
        <v>1168044</v>
      </c>
      <c r="F701">
        <v>25</v>
      </c>
      <c r="G701">
        <v>17259.03</v>
      </c>
      <c r="H701">
        <v>19.3</v>
      </c>
      <c r="I701">
        <v>8</v>
      </c>
      <c r="J701">
        <v>282055</v>
      </c>
      <c r="K701">
        <v>713064</v>
      </c>
      <c r="L701" t="s">
        <v>18</v>
      </c>
      <c r="M701" t="s">
        <v>742</v>
      </c>
      <c r="N701" t="s">
        <v>26</v>
      </c>
      <c r="O701" t="s">
        <v>21</v>
      </c>
      <c r="P701" t="s">
        <v>31</v>
      </c>
      <c r="Q701" t="s">
        <v>36</v>
      </c>
      <c r="R701" t="b">
        <f>OR(Таблица1[[#This Row],[Ежемесячный платеж]]&lt;$AC$5, Таблица1[[#This Row],[Ежемесячный платеж]]&gt;$AC$6)</f>
        <v>0</v>
      </c>
      <c r="S701" s="9">
        <f>(Таблица1[[#This Row],[Размер кредита]]-21824)/(789096-21824)</f>
        <v>0.99770615896318382</v>
      </c>
      <c r="T701" s="9">
        <f>(Таблица1[[#This Row],[Кредитный рейтинг]]-586)/(751-586)</f>
        <v>0.83030303030303032</v>
      </c>
      <c r="U701" s="9">
        <f>Таблица1[[#This Row],[Ежемесячный платеж]]/(Таблица1[[#This Row],[Годовой доход]]/12)</f>
        <v>0.17731212180363068</v>
      </c>
    </row>
    <row r="702" spans="1:21" x14ac:dyDescent="0.3">
      <c r="A702">
        <v>701</v>
      </c>
      <c r="B702">
        <v>0</v>
      </c>
      <c r="C702" s="9">
        <v>271700</v>
      </c>
      <c r="D702">
        <v>696</v>
      </c>
      <c r="E702" s="1">
        <v>675298</v>
      </c>
      <c r="F702">
        <v>57</v>
      </c>
      <c r="G702">
        <v>14293.89</v>
      </c>
      <c r="H702">
        <v>24.5</v>
      </c>
      <c r="I702">
        <v>14</v>
      </c>
      <c r="J702">
        <v>272916</v>
      </c>
      <c r="K702">
        <v>673772</v>
      </c>
      <c r="L702" t="s">
        <v>52</v>
      </c>
      <c r="M702" t="s">
        <v>743</v>
      </c>
      <c r="N702" t="s">
        <v>71</v>
      </c>
      <c r="O702" t="s">
        <v>34</v>
      </c>
      <c r="P702" t="s">
        <v>22</v>
      </c>
      <c r="Q702" t="s">
        <v>36</v>
      </c>
      <c r="R702" t="b">
        <f>OR(Таблица1[[#This Row],[Ежемесячный платеж]]&lt;$AC$5, Таблица1[[#This Row],[Ежемесячный платеж]]&gt;$AC$6)</f>
        <v>0</v>
      </c>
      <c r="S702" s="9">
        <f>(Таблица1[[#This Row],[Размер кредита]]-21824)/(789096-21824)</f>
        <v>0.32566808120197271</v>
      </c>
      <c r="T702" s="9">
        <f>(Таблица1[[#This Row],[Кредитный рейтинг]]-586)/(751-586)</f>
        <v>0.66666666666666663</v>
      </c>
      <c r="U702" s="9">
        <f>Таблица1[[#This Row],[Ежемесячный платеж]]/(Таблица1[[#This Row],[Годовой доход]]/12)</f>
        <v>0.25400146305779076</v>
      </c>
    </row>
    <row r="703" spans="1:21" x14ac:dyDescent="0.3">
      <c r="A703">
        <v>702</v>
      </c>
      <c r="B703">
        <v>0</v>
      </c>
      <c r="C703" s="9">
        <v>449768</v>
      </c>
      <c r="D703">
        <v>737</v>
      </c>
      <c r="E703" s="1">
        <v>2913270</v>
      </c>
      <c r="F703">
        <v>22</v>
      </c>
      <c r="G703">
        <v>23913.02</v>
      </c>
      <c r="H703">
        <v>23.4</v>
      </c>
      <c r="I703">
        <v>11</v>
      </c>
      <c r="J703">
        <v>499681</v>
      </c>
      <c r="K703">
        <v>690448</v>
      </c>
      <c r="L703" t="s">
        <v>29</v>
      </c>
      <c r="M703" t="s">
        <v>744</v>
      </c>
      <c r="N703" t="s">
        <v>26</v>
      </c>
      <c r="O703" t="s">
        <v>21</v>
      </c>
      <c r="P703" t="s">
        <v>22</v>
      </c>
      <c r="Q703" t="s">
        <v>23</v>
      </c>
      <c r="R703" t="b">
        <f>OR(Таблица1[[#This Row],[Ежемесячный платеж]]&lt;$AC$5, Таблица1[[#This Row],[Ежемесячный платеж]]&gt;$AC$6)</f>
        <v>0</v>
      </c>
      <c r="S703" s="9">
        <f>(Таблица1[[#This Row],[Размер кредита]]-21824)/(789096-21824)</f>
        <v>0.55774744810184651</v>
      </c>
      <c r="T703" s="9">
        <f>(Таблица1[[#This Row],[Кредитный рейтинг]]-586)/(751-586)</f>
        <v>0.91515151515151516</v>
      </c>
      <c r="U703" s="9">
        <f>Таблица1[[#This Row],[Ежемесячный платеж]]/(Таблица1[[#This Row],[Годовой доход]]/12)</f>
        <v>9.8499706515359026E-2</v>
      </c>
    </row>
    <row r="704" spans="1:21" x14ac:dyDescent="0.3">
      <c r="A704">
        <v>703</v>
      </c>
      <c r="B704">
        <v>3</v>
      </c>
      <c r="D704">
        <v>700</v>
      </c>
      <c r="E704" s="1">
        <v>1663906</v>
      </c>
      <c r="F704">
        <v>61</v>
      </c>
      <c r="G704">
        <v>33694.03</v>
      </c>
      <c r="H704">
        <v>18.899999999999999</v>
      </c>
      <c r="I704">
        <v>9</v>
      </c>
      <c r="J704">
        <v>107141</v>
      </c>
      <c r="K704">
        <v>275704</v>
      </c>
      <c r="L704" t="s">
        <v>47</v>
      </c>
      <c r="M704" t="s">
        <v>745</v>
      </c>
      <c r="N704" t="s">
        <v>26</v>
      </c>
      <c r="O704" t="s">
        <v>21</v>
      </c>
      <c r="P704" t="s">
        <v>22</v>
      </c>
      <c r="Q704" t="s">
        <v>23</v>
      </c>
      <c r="R704" t="b">
        <f>OR(Таблица1[[#This Row],[Ежемесячный платеж]]&lt;$AC$5, Таблица1[[#This Row],[Ежемесячный платеж]]&gt;$AC$6)</f>
        <v>0</v>
      </c>
      <c r="T704" s="9">
        <f>(Таблица1[[#This Row],[Кредитный рейтинг]]-586)/(751-586)</f>
        <v>0.69090909090909092</v>
      </c>
      <c r="U704" s="9">
        <f>Таблица1[[#This Row],[Ежемесячный платеж]]/(Таблица1[[#This Row],[Годовой доход]]/12)</f>
        <v>0.2429995204055998</v>
      </c>
    </row>
    <row r="705" spans="1:21" x14ac:dyDescent="0.3">
      <c r="A705">
        <v>704</v>
      </c>
      <c r="B705">
        <v>0</v>
      </c>
      <c r="C705" s="9">
        <v>222684</v>
      </c>
      <c r="D705">
        <v>707</v>
      </c>
      <c r="E705" s="1">
        <v>1634703</v>
      </c>
      <c r="F705">
        <v>8</v>
      </c>
      <c r="G705">
        <v>28198.66</v>
      </c>
      <c r="H705">
        <v>29.2</v>
      </c>
      <c r="I705">
        <v>22</v>
      </c>
      <c r="J705">
        <v>565782</v>
      </c>
      <c r="K705">
        <v>843128</v>
      </c>
      <c r="L705" t="s">
        <v>24</v>
      </c>
      <c r="M705" t="s">
        <v>746</v>
      </c>
      <c r="N705" t="s">
        <v>71</v>
      </c>
      <c r="O705" t="s">
        <v>21</v>
      </c>
      <c r="P705" t="s">
        <v>22</v>
      </c>
      <c r="Q705" t="s">
        <v>23</v>
      </c>
      <c r="R705" t="b">
        <f>OR(Таблица1[[#This Row],[Ежемесячный платеж]]&lt;$AC$5, Таблица1[[#This Row],[Ежемесячный платеж]]&gt;$AC$6)</f>
        <v>0</v>
      </c>
      <c r="S705" s="9">
        <f>(Таблица1[[#This Row],[Размер кредита]]-21824)/(789096-21824)</f>
        <v>0.26178460832664296</v>
      </c>
      <c r="T705" s="9">
        <f>(Таблица1[[#This Row],[Кредитный рейтинг]]-586)/(751-586)</f>
        <v>0.73333333333333328</v>
      </c>
      <c r="U705" s="9">
        <f>Таблица1[[#This Row],[Ежемесячный платеж]]/(Таблица1[[#This Row],[Годовой доход]]/12)</f>
        <v>0.2070002440810349</v>
      </c>
    </row>
    <row r="706" spans="1:21" x14ac:dyDescent="0.3">
      <c r="A706">
        <v>705</v>
      </c>
      <c r="B706">
        <v>0</v>
      </c>
      <c r="C706" s="9">
        <v>196196</v>
      </c>
      <c r="D706">
        <v>739</v>
      </c>
      <c r="E706" s="1">
        <v>378632</v>
      </c>
      <c r="F706">
        <v>0</v>
      </c>
      <c r="G706">
        <v>2120.4</v>
      </c>
      <c r="H706">
        <v>6.8</v>
      </c>
      <c r="I706">
        <v>3</v>
      </c>
      <c r="J706">
        <v>80028</v>
      </c>
      <c r="K706">
        <v>188320</v>
      </c>
      <c r="L706" t="s">
        <v>63</v>
      </c>
      <c r="M706" t="s">
        <v>747</v>
      </c>
      <c r="N706" t="s">
        <v>26</v>
      </c>
      <c r="O706" t="s">
        <v>21</v>
      </c>
      <c r="P706" t="s">
        <v>22</v>
      </c>
      <c r="Q706" t="s">
        <v>23</v>
      </c>
      <c r="R706" t="b">
        <f>OR(Таблица1[[#This Row],[Ежемесячный платеж]]&lt;$AC$5, Таблица1[[#This Row],[Ежемесячный платеж]]&gt;$AC$6)</f>
        <v>0</v>
      </c>
      <c r="S706" s="9">
        <f>(Таблица1[[#This Row],[Размер кредита]]-21824)/(789096-21824)</f>
        <v>0.22726230072255993</v>
      </c>
      <c r="T706" s="9">
        <f>(Таблица1[[#This Row],[Кредитный рейтинг]]-586)/(751-586)</f>
        <v>0.92727272727272725</v>
      </c>
      <c r="U706" s="9">
        <f>Таблица1[[#This Row],[Ежемесячный платеж]]/(Таблица1[[#This Row],[Годовой доход]]/12)</f>
        <v>6.7201926936973105E-2</v>
      </c>
    </row>
    <row r="707" spans="1:21" x14ac:dyDescent="0.3">
      <c r="A707">
        <v>706</v>
      </c>
      <c r="B707">
        <v>0</v>
      </c>
      <c r="C707" s="9">
        <v>219538</v>
      </c>
      <c r="D707">
        <v>751</v>
      </c>
      <c r="E707" s="1">
        <v>1611618</v>
      </c>
      <c r="F707">
        <v>0</v>
      </c>
      <c r="G707">
        <v>11603.49</v>
      </c>
      <c r="H707">
        <v>21</v>
      </c>
      <c r="I707">
        <v>9</v>
      </c>
      <c r="J707">
        <v>79572</v>
      </c>
      <c r="K707">
        <v>662882</v>
      </c>
      <c r="L707" t="s">
        <v>24</v>
      </c>
      <c r="M707" t="s">
        <v>748</v>
      </c>
      <c r="N707" t="s">
        <v>68</v>
      </c>
      <c r="O707" t="s">
        <v>21</v>
      </c>
      <c r="P707" t="s">
        <v>22</v>
      </c>
      <c r="Q707" t="s">
        <v>36</v>
      </c>
      <c r="R707" t="b">
        <f>OR(Таблица1[[#This Row],[Ежемесячный платеж]]&lt;$AC$5, Таблица1[[#This Row],[Ежемесячный платеж]]&gt;$AC$6)</f>
        <v>0</v>
      </c>
      <c r="S707" s="9">
        <f>(Таблица1[[#This Row],[Размер кредита]]-21824)/(789096-21824)</f>
        <v>0.25768436747333412</v>
      </c>
      <c r="T707" s="9">
        <f>(Таблица1[[#This Row],[Кредитный рейтинг]]-586)/(751-586)</f>
        <v>1</v>
      </c>
      <c r="U707" s="9">
        <f>Таблица1[[#This Row],[Ежемесячный платеж]]/(Таблица1[[#This Row],[Годовой доход]]/12)</f>
        <v>8.6398811629058492E-2</v>
      </c>
    </row>
    <row r="708" spans="1:21" x14ac:dyDescent="0.3">
      <c r="A708">
        <v>707</v>
      </c>
      <c r="B708">
        <v>0</v>
      </c>
      <c r="C708" s="9">
        <v>297902</v>
      </c>
      <c r="D708">
        <v>713</v>
      </c>
      <c r="E708" s="1">
        <v>808317</v>
      </c>
      <c r="F708">
        <v>0</v>
      </c>
      <c r="G708">
        <v>14482.56</v>
      </c>
      <c r="H708">
        <v>21</v>
      </c>
      <c r="I708">
        <v>12</v>
      </c>
      <c r="J708">
        <v>232560</v>
      </c>
      <c r="K708">
        <v>359524</v>
      </c>
      <c r="L708" t="s">
        <v>18</v>
      </c>
      <c r="M708" t="s">
        <v>749</v>
      </c>
      <c r="N708" t="s">
        <v>71</v>
      </c>
      <c r="O708" t="s">
        <v>21</v>
      </c>
      <c r="P708" t="s">
        <v>22</v>
      </c>
      <c r="Q708" t="s">
        <v>23</v>
      </c>
      <c r="R708" t="b">
        <f>OR(Таблица1[[#This Row],[Ежемесячный платеж]]&lt;$AC$5, Таблица1[[#This Row],[Ежемесячный платеж]]&gt;$AC$6)</f>
        <v>0</v>
      </c>
      <c r="S708" s="9">
        <f>(Таблица1[[#This Row],[Размер кредита]]-21824)/(789096-21824)</f>
        <v>0.35981763963757313</v>
      </c>
      <c r="T708" s="9">
        <f>(Таблица1[[#This Row],[Кредитный рейтинг]]-586)/(751-586)</f>
        <v>0.76969696969696966</v>
      </c>
      <c r="U708" s="9">
        <f>Таблица1[[#This Row],[Ежемесячный платеж]]/(Таблица1[[#This Row],[Годовой доход]]/12)</f>
        <v>0.21500317325999577</v>
      </c>
    </row>
    <row r="709" spans="1:21" x14ac:dyDescent="0.3">
      <c r="A709">
        <v>708</v>
      </c>
      <c r="B709">
        <v>0</v>
      </c>
      <c r="C709" s="9">
        <v>394548</v>
      </c>
      <c r="D709">
        <f>$Y$13</f>
        <v>723</v>
      </c>
      <c r="E709">
        <f>$AB$13</f>
        <v>1168044</v>
      </c>
      <c r="F709">
        <v>23</v>
      </c>
      <c r="G709">
        <v>30443.13</v>
      </c>
      <c r="H709">
        <v>20.100000000000001</v>
      </c>
      <c r="I709">
        <v>12</v>
      </c>
      <c r="J709">
        <v>357523</v>
      </c>
      <c r="K709">
        <v>810128</v>
      </c>
      <c r="L709" t="s">
        <v>24</v>
      </c>
      <c r="M709" t="s">
        <v>750</v>
      </c>
      <c r="N709" t="s">
        <v>26</v>
      </c>
      <c r="O709" t="s">
        <v>21</v>
      </c>
      <c r="P709" t="s">
        <v>22</v>
      </c>
      <c r="Q709" t="s">
        <v>23</v>
      </c>
      <c r="R709" t="b">
        <f>OR(Таблица1[[#This Row],[Ежемесячный платеж]]&lt;$AC$5, Таблица1[[#This Row],[Ежемесячный платеж]]&gt;$AC$6)</f>
        <v>0</v>
      </c>
      <c r="S709" s="9">
        <f>(Таблица1[[#This Row],[Размер кредита]]-21824)/(789096-21824)</f>
        <v>0.48577818557173985</v>
      </c>
      <c r="T709" s="9">
        <f>(Таблица1[[#This Row],[Кредитный рейтинг]]-586)/(751-586)</f>
        <v>0.83030303030303032</v>
      </c>
      <c r="U709" s="9">
        <f>Таблица1[[#This Row],[Ежемесячный платеж]]/(Таблица1[[#This Row],[Годовой доход]]/12)</f>
        <v>0.31276010150302558</v>
      </c>
    </row>
    <row r="710" spans="1:21" x14ac:dyDescent="0.3">
      <c r="A710">
        <v>709</v>
      </c>
      <c r="B710">
        <v>0</v>
      </c>
      <c r="C710" s="9">
        <v>322300</v>
      </c>
      <c r="D710">
        <v>733</v>
      </c>
      <c r="E710" s="1">
        <v>891480</v>
      </c>
      <c r="F710">
        <v>11</v>
      </c>
      <c r="G710">
        <v>23772.799999999999</v>
      </c>
      <c r="H710">
        <v>22.6</v>
      </c>
      <c r="I710">
        <v>11</v>
      </c>
      <c r="J710">
        <v>53827</v>
      </c>
      <c r="K710">
        <v>214918</v>
      </c>
      <c r="L710" t="s">
        <v>41</v>
      </c>
      <c r="M710" t="s">
        <v>751</v>
      </c>
      <c r="N710" t="s">
        <v>26</v>
      </c>
      <c r="O710" t="s">
        <v>21</v>
      </c>
      <c r="P710" t="s">
        <v>22</v>
      </c>
      <c r="Q710" t="s">
        <v>36</v>
      </c>
      <c r="R710" t="b">
        <f>OR(Таблица1[[#This Row],[Ежемесячный платеж]]&lt;$AC$5, Таблица1[[#This Row],[Ежемесячный платеж]]&gt;$AC$6)</f>
        <v>0</v>
      </c>
      <c r="S710" s="9">
        <f>(Таблица1[[#This Row],[Размер кредита]]-21824)/(789096-21824)</f>
        <v>0.39161601101043697</v>
      </c>
      <c r="T710" s="9">
        <f>(Таблица1[[#This Row],[Кредитный рейтинг]]-586)/(751-586)</f>
        <v>0.89090909090909087</v>
      </c>
      <c r="U710" s="9">
        <f>Таблица1[[#This Row],[Ежемесячный платеж]]/(Таблица1[[#This Row],[Годовой доход]]/12)</f>
        <v>0.32</v>
      </c>
    </row>
    <row r="711" spans="1:21" x14ac:dyDescent="0.3">
      <c r="A711">
        <v>710</v>
      </c>
      <c r="B711">
        <v>0</v>
      </c>
      <c r="C711" s="9">
        <v>208604</v>
      </c>
      <c r="D711">
        <f>$Y$13</f>
        <v>723</v>
      </c>
      <c r="E711">
        <f>$AB$13</f>
        <v>1168044</v>
      </c>
      <c r="F711">
        <v>0</v>
      </c>
      <c r="G711">
        <v>20384.91</v>
      </c>
      <c r="H711">
        <v>17.600000000000001</v>
      </c>
      <c r="I711">
        <v>11</v>
      </c>
      <c r="J711">
        <v>358720</v>
      </c>
      <c r="K711">
        <v>553828</v>
      </c>
      <c r="L711" t="s">
        <v>41</v>
      </c>
      <c r="M711" t="s">
        <v>752</v>
      </c>
      <c r="N711" t="s">
        <v>26</v>
      </c>
      <c r="O711" t="s">
        <v>21</v>
      </c>
      <c r="P711" t="s">
        <v>22</v>
      </c>
      <c r="Q711" t="s">
        <v>36</v>
      </c>
      <c r="R711" t="b">
        <f>OR(Таблица1[[#This Row],[Ежемесячный платеж]]&lt;$AC$5, Таблица1[[#This Row],[Ежемесячный платеж]]&gt;$AC$6)</f>
        <v>0</v>
      </c>
      <c r="S711" s="9">
        <f>(Таблица1[[#This Row],[Размер кредита]]-21824)/(789096-21824)</f>
        <v>0.24343388003211378</v>
      </c>
      <c r="T711" s="9">
        <f>(Таблица1[[#This Row],[Кредитный рейтинг]]-586)/(751-586)</f>
        <v>0.83030303030303032</v>
      </c>
      <c r="U711" s="9">
        <f>Таблица1[[#This Row],[Ежемесячный платеж]]/(Таблица1[[#This Row],[Годовой доход]]/12)</f>
        <v>0.2094261175092719</v>
      </c>
    </row>
    <row r="712" spans="1:21" x14ac:dyDescent="0.3">
      <c r="A712">
        <v>711</v>
      </c>
      <c r="B712">
        <v>0</v>
      </c>
      <c r="D712">
        <v>738</v>
      </c>
      <c r="E712" s="1">
        <v>1981529</v>
      </c>
      <c r="F712">
        <v>27</v>
      </c>
      <c r="G712">
        <v>37649.07</v>
      </c>
      <c r="H712">
        <v>32.6</v>
      </c>
      <c r="I712">
        <v>19</v>
      </c>
      <c r="J712">
        <v>452618</v>
      </c>
      <c r="K712">
        <v>1000142</v>
      </c>
      <c r="L712" t="s">
        <v>24</v>
      </c>
      <c r="M712" t="s">
        <v>753</v>
      </c>
      <c r="N712" t="s">
        <v>26</v>
      </c>
      <c r="O712" t="s">
        <v>21</v>
      </c>
      <c r="P712" t="s">
        <v>22</v>
      </c>
      <c r="Q712" t="s">
        <v>23</v>
      </c>
      <c r="R712" t="b">
        <f>OR(Таблица1[[#This Row],[Ежемесячный платеж]]&lt;$AC$5, Таблица1[[#This Row],[Ежемесячный платеж]]&gt;$AC$6)</f>
        <v>0</v>
      </c>
      <c r="T712" s="9">
        <f>(Таблица1[[#This Row],[Кредитный рейтинг]]-586)/(751-586)</f>
        <v>0.92121212121212126</v>
      </c>
      <c r="U712" s="9">
        <f>Таблица1[[#This Row],[Ежемесячный платеж]]/(Таблица1[[#This Row],[Годовой доход]]/12)</f>
        <v>0.22800011506266121</v>
      </c>
    </row>
    <row r="713" spans="1:21" x14ac:dyDescent="0.3">
      <c r="A713">
        <v>712</v>
      </c>
      <c r="B713">
        <v>0</v>
      </c>
      <c r="C713" s="9">
        <v>407132</v>
      </c>
      <c r="D713">
        <v>668</v>
      </c>
      <c r="E713" s="1">
        <v>1233765</v>
      </c>
      <c r="F713">
        <v>0</v>
      </c>
      <c r="G713">
        <v>2868.62</v>
      </c>
      <c r="H713">
        <v>12.4</v>
      </c>
      <c r="I713">
        <v>12</v>
      </c>
      <c r="J713">
        <v>38589</v>
      </c>
      <c r="K713">
        <v>312466</v>
      </c>
      <c r="L713" t="s">
        <v>29</v>
      </c>
      <c r="M713" t="s">
        <v>754</v>
      </c>
      <c r="N713" t="s">
        <v>76</v>
      </c>
      <c r="O713" t="s">
        <v>34</v>
      </c>
      <c r="P713" t="s">
        <v>31</v>
      </c>
      <c r="Q713" t="s">
        <v>23</v>
      </c>
      <c r="R713" t="b">
        <f>OR(Таблица1[[#This Row],[Ежемесячный платеж]]&lt;$AC$5, Таблица1[[#This Row],[Ежемесячный платеж]]&gt;$AC$6)</f>
        <v>0</v>
      </c>
      <c r="S713" s="9">
        <f>(Таблица1[[#This Row],[Размер кредита]]-21824)/(789096-21824)</f>
        <v>0.50217914898497529</v>
      </c>
      <c r="T713" s="9">
        <f>(Таблица1[[#This Row],[Кредитный рейтинг]]-586)/(751-586)</f>
        <v>0.49696969696969695</v>
      </c>
      <c r="U713" s="9">
        <f>Таблица1[[#This Row],[Ежемесячный платеж]]/(Таблица1[[#This Row],[Годовой доход]]/12)</f>
        <v>2.7901131901131901E-2</v>
      </c>
    </row>
    <row r="714" spans="1:21" x14ac:dyDescent="0.3">
      <c r="A714">
        <v>713</v>
      </c>
      <c r="B714">
        <v>0</v>
      </c>
      <c r="C714" s="9">
        <v>82610</v>
      </c>
      <c r="D714">
        <f>$Y$13</f>
        <v>723</v>
      </c>
      <c r="E714">
        <f>$AB$13</f>
        <v>1168044</v>
      </c>
      <c r="F714">
        <v>0</v>
      </c>
      <c r="G714">
        <v>7767.2</v>
      </c>
      <c r="H714">
        <v>22.2</v>
      </c>
      <c r="I714">
        <v>4</v>
      </c>
      <c r="J714">
        <v>48108</v>
      </c>
      <c r="K714">
        <v>216766</v>
      </c>
      <c r="L714" t="s">
        <v>24</v>
      </c>
      <c r="M714" t="s">
        <v>755</v>
      </c>
      <c r="N714" t="s">
        <v>26</v>
      </c>
      <c r="O714" t="s">
        <v>34</v>
      </c>
      <c r="P714" t="s">
        <v>22</v>
      </c>
      <c r="Q714" t="s">
        <v>23</v>
      </c>
      <c r="R714" t="b">
        <f>OR(Таблица1[[#This Row],[Ежемесячный платеж]]&lt;$AC$5, Таблица1[[#This Row],[Ежемесячный платеж]]&gt;$AC$6)</f>
        <v>0</v>
      </c>
      <c r="S714" s="9">
        <f>(Таблица1[[#This Row],[Размер кредита]]-21824)/(789096-21824)</f>
        <v>7.9223534809037738E-2</v>
      </c>
      <c r="T714" s="9">
        <f>(Таблица1[[#This Row],[Кредитный рейтинг]]-586)/(751-586)</f>
        <v>0.83030303030303032</v>
      </c>
      <c r="U714" s="9">
        <f>Таблица1[[#This Row],[Ежемесячный платеж]]/(Таблица1[[#This Row],[Годовой доход]]/12)</f>
        <v>7.9796993948858086E-2</v>
      </c>
    </row>
    <row r="715" spans="1:21" x14ac:dyDescent="0.3">
      <c r="A715">
        <v>714</v>
      </c>
      <c r="B715">
        <v>0</v>
      </c>
      <c r="C715" s="9">
        <v>357588</v>
      </c>
      <c r="D715">
        <v>739</v>
      </c>
      <c r="E715" s="1">
        <v>1374650</v>
      </c>
      <c r="F715">
        <v>29</v>
      </c>
      <c r="G715">
        <v>19015.96</v>
      </c>
      <c r="H715">
        <v>17.5</v>
      </c>
      <c r="I715">
        <v>12</v>
      </c>
      <c r="J715">
        <v>88616</v>
      </c>
      <c r="K715">
        <v>190014</v>
      </c>
      <c r="L715" t="s">
        <v>41</v>
      </c>
      <c r="M715" t="s">
        <v>756</v>
      </c>
      <c r="N715" t="s">
        <v>26</v>
      </c>
      <c r="O715" t="s">
        <v>34</v>
      </c>
      <c r="P715" t="s">
        <v>22</v>
      </c>
      <c r="Q715" t="s">
        <v>36</v>
      </c>
      <c r="R715" t="b">
        <f>OR(Таблица1[[#This Row],[Ежемесячный платеж]]&lt;$AC$5, Таблица1[[#This Row],[Ежемесячный платеж]]&gt;$AC$6)</f>
        <v>0</v>
      </c>
      <c r="S715" s="9">
        <f>(Таблица1[[#This Row],[Размер кредита]]-21824)/(789096-21824)</f>
        <v>0.43760752379860074</v>
      </c>
      <c r="T715" s="9">
        <f>(Таблица1[[#This Row],[Кредитный рейтинг]]-586)/(751-586)</f>
        <v>0.92727272727272725</v>
      </c>
      <c r="U715" s="9">
        <f>Таблица1[[#This Row],[Ежемесячный платеж]]/(Таблица1[[#This Row],[Годовой доход]]/12)</f>
        <v>0.1659997235659986</v>
      </c>
    </row>
    <row r="716" spans="1:21" x14ac:dyDescent="0.3">
      <c r="A716">
        <v>715</v>
      </c>
      <c r="B716">
        <v>0</v>
      </c>
      <c r="C716" s="9">
        <v>128942</v>
      </c>
      <c r="D716">
        <v>712</v>
      </c>
      <c r="E716" s="1">
        <v>1633202</v>
      </c>
      <c r="F716">
        <v>9</v>
      </c>
      <c r="G716">
        <v>44505.03</v>
      </c>
      <c r="H716">
        <v>21.2</v>
      </c>
      <c r="I716">
        <v>13</v>
      </c>
      <c r="J716">
        <v>72884</v>
      </c>
      <c r="K716">
        <v>120384</v>
      </c>
      <c r="L716" t="s">
        <v>24</v>
      </c>
      <c r="M716" t="s">
        <v>757</v>
      </c>
      <c r="N716" t="s">
        <v>26</v>
      </c>
      <c r="O716" t="s">
        <v>21</v>
      </c>
      <c r="P716" t="s">
        <v>22</v>
      </c>
      <c r="Q716" t="s">
        <v>23</v>
      </c>
      <c r="R716" t="b">
        <f>OR(Таблица1[[#This Row],[Ежемесячный платеж]]&lt;$AC$5, Таблица1[[#This Row],[Ежемесячный платеж]]&gt;$AC$6)</f>
        <v>1</v>
      </c>
      <c r="S716" s="9">
        <f>(Таблица1[[#This Row],[Размер кредита]]-21824)/(789096-21824)</f>
        <v>0.13960890010322285</v>
      </c>
      <c r="T716" s="9">
        <f>(Таблица1[[#This Row],[Кредитный рейтинг]]-586)/(751-586)</f>
        <v>0.76363636363636367</v>
      </c>
      <c r="U716" s="9">
        <f>Таблица1[[#This Row],[Ежемесячный платеж]]/(Таблица1[[#This Row],[Годовой доход]]/12)</f>
        <v>0.32700202424439845</v>
      </c>
    </row>
    <row r="717" spans="1:21" x14ac:dyDescent="0.3">
      <c r="A717">
        <v>716</v>
      </c>
      <c r="B717">
        <v>0</v>
      </c>
      <c r="C717" s="9">
        <v>223168</v>
      </c>
      <c r="D717">
        <v>707</v>
      </c>
      <c r="E717" s="1">
        <v>819128</v>
      </c>
      <c r="F717">
        <v>0</v>
      </c>
      <c r="G717">
        <v>17338.07</v>
      </c>
      <c r="H717">
        <v>20.5</v>
      </c>
      <c r="I717">
        <v>21</v>
      </c>
      <c r="J717">
        <v>147972</v>
      </c>
      <c r="K717">
        <v>176264</v>
      </c>
      <c r="L717" t="s">
        <v>41</v>
      </c>
      <c r="M717" t="s">
        <v>758</v>
      </c>
      <c r="N717" t="s">
        <v>26</v>
      </c>
      <c r="O717" t="s">
        <v>34</v>
      </c>
      <c r="P717" t="s">
        <v>22</v>
      </c>
      <c r="Q717" t="s">
        <v>23</v>
      </c>
      <c r="R717" t="b">
        <f>OR(Таблица1[[#This Row],[Ежемесячный платеж]]&lt;$AC$5, Таблица1[[#This Row],[Ежемесячный платеж]]&gt;$AC$6)</f>
        <v>0</v>
      </c>
      <c r="S717" s="9">
        <f>(Таблица1[[#This Row],[Размер кредита]]-21824)/(789096-21824)</f>
        <v>0.26241541461176743</v>
      </c>
      <c r="T717" s="9">
        <f>(Таблица1[[#This Row],[Кредитный рейтинг]]-586)/(751-586)</f>
        <v>0.73333333333333328</v>
      </c>
      <c r="U717" s="9">
        <f>Таблица1[[#This Row],[Ежемесячный платеж]]/(Таблица1[[#This Row],[Годовой доход]]/12)</f>
        <v>0.25399795880497306</v>
      </c>
    </row>
    <row r="718" spans="1:21" x14ac:dyDescent="0.3">
      <c r="A718">
        <v>717</v>
      </c>
      <c r="B718">
        <v>0</v>
      </c>
      <c r="C718" s="9">
        <v>214940</v>
      </c>
      <c r="D718">
        <v>727</v>
      </c>
      <c r="E718" s="1">
        <v>1095217</v>
      </c>
      <c r="F718">
        <v>69</v>
      </c>
      <c r="G718">
        <v>11435.91</v>
      </c>
      <c r="H718">
        <v>27.9</v>
      </c>
      <c r="I718">
        <v>6</v>
      </c>
      <c r="J718">
        <v>181773</v>
      </c>
      <c r="K718">
        <v>313654</v>
      </c>
      <c r="L718" t="s">
        <v>32</v>
      </c>
      <c r="M718" t="s">
        <v>759</v>
      </c>
      <c r="N718" t="s">
        <v>26</v>
      </c>
      <c r="O718" t="s">
        <v>21</v>
      </c>
      <c r="P718" t="s">
        <v>22</v>
      </c>
      <c r="Q718" t="s">
        <v>36</v>
      </c>
      <c r="R718" t="b">
        <f>OR(Таблица1[[#This Row],[Ежемесячный платеж]]&lt;$AC$5, Таблица1[[#This Row],[Ежемесячный платеж]]&gt;$AC$6)</f>
        <v>0</v>
      </c>
      <c r="S718" s="9">
        <f>(Таблица1[[#This Row],[Размер кредита]]-21824)/(789096-21824)</f>
        <v>0.25169170776465188</v>
      </c>
      <c r="T718" s="9">
        <f>(Таблица1[[#This Row],[Кредитный рейтинг]]-586)/(751-586)</f>
        <v>0.8545454545454545</v>
      </c>
      <c r="U718" s="9">
        <f>Таблица1[[#This Row],[Ежемесячный платеж]]/(Таблица1[[#This Row],[Годовой доход]]/12)</f>
        <v>0.12530020991273877</v>
      </c>
    </row>
    <row r="719" spans="1:21" x14ac:dyDescent="0.3">
      <c r="A719">
        <v>718</v>
      </c>
      <c r="B719">
        <v>0</v>
      </c>
      <c r="C719" s="9">
        <v>698742</v>
      </c>
      <c r="D719">
        <f>$Y$13</f>
        <v>723</v>
      </c>
      <c r="E719">
        <f>$AB$13</f>
        <v>1168044</v>
      </c>
      <c r="F719">
        <v>0</v>
      </c>
      <c r="G719">
        <v>22817.29</v>
      </c>
      <c r="H719">
        <v>14.7</v>
      </c>
      <c r="I719">
        <v>10</v>
      </c>
      <c r="J719">
        <v>447317</v>
      </c>
      <c r="K719">
        <v>824736</v>
      </c>
      <c r="L719" t="s">
        <v>18</v>
      </c>
      <c r="M719" t="s">
        <v>760</v>
      </c>
      <c r="N719" t="s">
        <v>26</v>
      </c>
      <c r="O719" t="s">
        <v>21</v>
      </c>
      <c r="P719" t="s">
        <v>31</v>
      </c>
      <c r="Q719" t="s">
        <v>23</v>
      </c>
      <c r="R719" t="b">
        <f>OR(Таблица1[[#This Row],[Ежемесячный платеж]]&lt;$AC$5, Таблица1[[#This Row],[Ежемесячный платеж]]&gt;$AC$6)</f>
        <v>0</v>
      </c>
      <c r="S719" s="9">
        <f>(Таблица1[[#This Row],[Размер кредита]]-21824)/(789096-21824)</f>
        <v>0.88223993577245097</v>
      </c>
      <c r="T719" s="9">
        <f>(Таблица1[[#This Row],[Кредитный рейтинг]]-586)/(751-586)</f>
        <v>0.83030303030303032</v>
      </c>
      <c r="U719" s="9">
        <f>Таблица1[[#This Row],[Ежемесячный платеж]]/(Таблица1[[#This Row],[Годовой доход]]/12)</f>
        <v>0.23441538161233652</v>
      </c>
    </row>
    <row r="720" spans="1:21" x14ac:dyDescent="0.3">
      <c r="A720">
        <v>719</v>
      </c>
      <c r="B720">
        <v>0</v>
      </c>
      <c r="C720" s="9">
        <v>174306</v>
      </c>
      <c r="D720">
        <f>$Y$13</f>
        <v>723</v>
      </c>
      <c r="E720">
        <f>$AB$13</f>
        <v>1168044</v>
      </c>
      <c r="F720">
        <v>24</v>
      </c>
      <c r="G720">
        <v>7113.03</v>
      </c>
      <c r="H720">
        <v>19.399999999999999</v>
      </c>
      <c r="I720">
        <v>10</v>
      </c>
      <c r="J720">
        <v>103208</v>
      </c>
      <c r="K720">
        <v>156838</v>
      </c>
      <c r="L720" t="s">
        <v>37</v>
      </c>
      <c r="M720" t="s">
        <v>761</v>
      </c>
      <c r="N720" t="s">
        <v>71</v>
      </c>
      <c r="O720" t="s">
        <v>34</v>
      </c>
      <c r="P720" t="s">
        <v>22</v>
      </c>
      <c r="Q720" t="s">
        <v>36</v>
      </c>
      <c r="R720" t="b">
        <f>OR(Таблица1[[#This Row],[Ежемесячный платеж]]&lt;$AC$5, Таблица1[[#This Row],[Ежемесячный платеж]]&gt;$AC$6)</f>
        <v>0</v>
      </c>
      <c r="S720" s="9">
        <f>(Таблица1[[#This Row],[Размер кредита]]-21824)/(789096-21824)</f>
        <v>0.19873265282715907</v>
      </c>
      <c r="T720" s="9">
        <f>(Таблица1[[#This Row],[Кредитный рейтинг]]-586)/(751-586)</f>
        <v>0.83030303030303032</v>
      </c>
      <c r="U720" s="9">
        <f>Таблица1[[#This Row],[Ежемесячный платеж]]/(Таблица1[[#This Row],[Годовой доход]]/12)</f>
        <v>7.3076322467304305E-2</v>
      </c>
    </row>
    <row r="721" spans="1:21" x14ac:dyDescent="0.3">
      <c r="A721">
        <v>720</v>
      </c>
      <c r="B721">
        <v>0</v>
      </c>
      <c r="C721" s="9">
        <v>434016</v>
      </c>
      <c r="D721">
        <f>$Y$13</f>
        <v>723</v>
      </c>
      <c r="E721">
        <f>$AB$13</f>
        <v>1168044</v>
      </c>
      <c r="F721">
        <v>21</v>
      </c>
      <c r="G721">
        <v>36280.5</v>
      </c>
      <c r="H721">
        <v>26.1</v>
      </c>
      <c r="I721">
        <v>10</v>
      </c>
      <c r="J721">
        <v>1194188</v>
      </c>
      <c r="K721">
        <v>1632532</v>
      </c>
      <c r="L721" t="s">
        <v>24</v>
      </c>
      <c r="M721" t="s">
        <v>762</v>
      </c>
      <c r="N721" t="s">
        <v>26</v>
      </c>
      <c r="O721" t="s">
        <v>21</v>
      </c>
      <c r="P721" t="s">
        <v>22</v>
      </c>
      <c r="Q721" t="s">
        <v>23</v>
      </c>
      <c r="R721" t="b">
        <f>OR(Таблица1[[#This Row],[Ежемесячный платеж]]&lt;$AC$5, Таблица1[[#This Row],[Ежемесячный платеж]]&gt;$AC$6)</f>
        <v>0</v>
      </c>
      <c r="S721" s="9">
        <f>(Таблица1[[#This Row],[Размер кредита]]-21824)/(789096-21824)</f>
        <v>0.53721757082234201</v>
      </c>
      <c r="T721" s="9">
        <f>(Таблица1[[#This Row],[Кредитный рейтинг]]-586)/(751-586)</f>
        <v>0.83030303030303032</v>
      </c>
      <c r="U721" s="9">
        <f>Таблица1[[#This Row],[Ежемесячный платеж]]/(Таблица1[[#This Row],[Годовой доход]]/12)</f>
        <v>0.37273082178411088</v>
      </c>
    </row>
    <row r="722" spans="1:21" x14ac:dyDescent="0.3">
      <c r="A722">
        <v>721</v>
      </c>
      <c r="B722">
        <v>0</v>
      </c>
      <c r="C722" s="9">
        <v>393668</v>
      </c>
      <c r="D722">
        <f>$Y$13</f>
        <v>723</v>
      </c>
      <c r="E722">
        <f>$AB$13</f>
        <v>1168044</v>
      </c>
      <c r="F722">
        <v>0</v>
      </c>
      <c r="G722">
        <v>30908.44</v>
      </c>
      <c r="H722">
        <v>17.600000000000001</v>
      </c>
      <c r="I722">
        <v>15</v>
      </c>
      <c r="J722">
        <v>492290</v>
      </c>
      <c r="K722">
        <v>708994</v>
      </c>
      <c r="L722" t="s">
        <v>24</v>
      </c>
      <c r="M722" t="s">
        <v>763</v>
      </c>
      <c r="N722" t="s">
        <v>26</v>
      </c>
      <c r="O722" t="s">
        <v>34</v>
      </c>
      <c r="P722" t="s">
        <v>22</v>
      </c>
      <c r="Q722" t="s">
        <v>23</v>
      </c>
      <c r="R722" t="b">
        <f>OR(Таблица1[[#This Row],[Ежемесячный платеж]]&lt;$AC$5, Таблица1[[#This Row],[Ежемесячный платеж]]&gt;$AC$6)</f>
        <v>0</v>
      </c>
      <c r="S722" s="9">
        <f>(Таблица1[[#This Row],[Размер кредита]]-21824)/(789096-21824)</f>
        <v>0.48463126505333182</v>
      </c>
      <c r="T722" s="9">
        <f>(Таблица1[[#This Row],[Кредитный рейтинг]]-586)/(751-586)</f>
        <v>0.83030303030303032</v>
      </c>
      <c r="U722" s="9">
        <f>Таблица1[[#This Row],[Ежемесячный платеж]]/(Таблица1[[#This Row],[Годовой доход]]/12)</f>
        <v>0.31754050361116531</v>
      </c>
    </row>
    <row r="723" spans="1:21" x14ac:dyDescent="0.3">
      <c r="A723">
        <v>722</v>
      </c>
      <c r="B723">
        <v>2</v>
      </c>
      <c r="C723" s="9">
        <v>216128</v>
      </c>
      <c r="D723">
        <v>715</v>
      </c>
      <c r="E723" s="1">
        <v>1175929</v>
      </c>
      <c r="F723">
        <v>0</v>
      </c>
      <c r="G723">
        <v>15483.1</v>
      </c>
      <c r="H723">
        <v>32.299999999999997</v>
      </c>
      <c r="I723">
        <v>12</v>
      </c>
      <c r="J723">
        <v>137332</v>
      </c>
      <c r="K723">
        <v>255222</v>
      </c>
      <c r="L723" t="s">
        <v>32</v>
      </c>
      <c r="M723" t="s">
        <v>764</v>
      </c>
      <c r="N723" t="s">
        <v>26</v>
      </c>
      <c r="O723" t="s">
        <v>21</v>
      </c>
      <c r="P723" t="s">
        <v>22</v>
      </c>
      <c r="Q723" t="s">
        <v>23</v>
      </c>
      <c r="R723" t="b">
        <f>OR(Таблица1[[#This Row],[Ежемесячный платеж]]&lt;$AC$5, Таблица1[[#This Row],[Ежемесячный платеж]]&gt;$AC$6)</f>
        <v>0</v>
      </c>
      <c r="S723" s="9">
        <f>(Таблица1[[#This Row],[Размер кредита]]-21824)/(789096-21824)</f>
        <v>0.25324005046450282</v>
      </c>
      <c r="T723" s="9">
        <f>(Таблица1[[#This Row],[Кредитный рейтинг]]-586)/(751-586)</f>
        <v>0.78181818181818186</v>
      </c>
      <c r="U723" s="9">
        <f>Таблица1[[#This Row],[Ежемесячный платеж]]/(Таблица1[[#This Row],[Годовой доход]]/12)</f>
        <v>0.15800035546363769</v>
      </c>
    </row>
    <row r="724" spans="1:21" x14ac:dyDescent="0.3">
      <c r="A724">
        <v>723</v>
      </c>
      <c r="B724">
        <v>1</v>
      </c>
      <c r="C724" s="9">
        <v>246202</v>
      </c>
      <c r="D724">
        <v>720</v>
      </c>
      <c r="E724" s="1">
        <v>1404879</v>
      </c>
      <c r="F724">
        <v>36</v>
      </c>
      <c r="G724">
        <v>13112.28</v>
      </c>
      <c r="H724">
        <v>16.600000000000001</v>
      </c>
      <c r="I724">
        <v>7</v>
      </c>
      <c r="J724">
        <v>171570</v>
      </c>
      <c r="K724">
        <v>309914</v>
      </c>
      <c r="L724" t="s">
        <v>18</v>
      </c>
      <c r="M724" t="s">
        <v>765</v>
      </c>
      <c r="N724" t="s">
        <v>26</v>
      </c>
      <c r="O724" t="s">
        <v>34</v>
      </c>
      <c r="P724" t="s">
        <v>22</v>
      </c>
      <c r="Q724" t="s">
        <v>23</v>
      </c>
      <c r="R724" t="b">
        <f>OR(Таблица1[[#This Row],[Ежемесячный платеж]]&lt;$AC$5, Таблица1[[#This Row],[Ежемесячный платеж]]&gt;$AC$6)</f>
        <v>0</v>
      </c>
      <c r="S724" s="9">
        <f>(Таблица1[[#This Row],[Размер кредита]]-21824)/(789096-21824)</f>
        <v>0.29243605918109877</v>
      </c>
      <c r="T724" s="9">
        <f>(Таблица1[[#This Row],[Кредитный рейтинг]]-586)/(751-586)</f>
        <v>0.81212121212121213</v>
      </c>
      <c r="U724" s="9">
        <f>Таблица1[[#This Row],[Ежемесячный платеж]]/(Таблица1[[#This Row],[Годовой доход]]/12)</f>
        <v>0.11200064916622714</v>
      </c>
    </row>
    <row r="725" spans="1:21" x14ac:dyDescent="0.3">
      <c r="A725">
        <v>724</v>
      </c>
      <c r="B725">
        <v>1</v>
      </c>
      <c r="C725" s="9">
        <v>105798</v>
      </c>
      <c r="D725">
        <v>722</v>
      </c>
      <c r="E725" s="1">
        <v>628197</v>
      </c>
      <c r="F725">
        <v>0</v>
      </c>
      <c r="G725">
        <v>10312.82</v>
      </c>
      <c r="H725">
        <v>14.5</v>
      </c>
      <c r="I725">
        <v>14</v>
      </c>
      <c r="J725">
        <v>149568</v>
      </c>
      <c r="K725">
        <v>548042</v>
      </c>
      <c r="L725" t="s">
        <v>63</v>
      </c>
      <c r="M725" t="s">
        <v>766</v>
      </c>
      <c r="N725" t="s">
        <v>26</v>
      </c>
      <c r="O725" t="s">
        <v>34</v>
      </c>
      <c r="P725" t="s">
        <v>22</v>
      </c>
      <c r="Q725" t="s">
        <v>23</v>
      </c>
      <c r="R725" t="b">
        <f>OR(Таблица1[[#This Row],[Ежемесячный платеж]]&lt;$AC$5, Таблица1[[#This Row],[Ежемесячный платеж]]&gt;$AC$6)</f>
        <v>0</v>
      </c>
      <c r="S725" s="9">
        <f>(Таблица1[[#This Row],[Размер кредита]]-21824)/(789096-21824)</f>
        <v>0.10944489046909049</v>
      </c>
      <c r="T725" s="9">
        <f>(Таблица1[[#This Row],[Кредитный рейтинг]]-586)/(751-586)</f>
        <v>0.82424242424242422</v>
      </c>
      <c r="U725" s="9">
        <f>Таблица1[[#This Row],[Ежемесячный платеж]]/(Таблица1[[#This Row],[Годовой доход]]/12)</f>
        <v>0.19699845749024589</v>
      </c>
    </row>
    <row r="726" spans="1:21" x14ac:dyDescent="0.3">
      <c r="A726">
        <v>725</v>
      </c>
      <c r="B726">
        <v>0</v>
      </c>
      <c r="C726" s="9">
        <v>66638</v>
      </c>
      <c r="D726">
        <f>$Y$13</f>
        <v>723</v>
      </c>
      <c r="E726">
        <f>$AB$13</f>
        <v>1168044</v>
      </c>
      <c r="F726">
        <v>0</v>
      </c>
      <c r="G726">
        <v>11203.54</v>
      </c>
      <c r="H726">
        <v>8.9</v>
      </c>
      <c r="I726">
        <v>10</v>
      </c>
      <c r="J726">
        <v>126027</v>
      </c>
      <c r="K726">
        <v>173316</v>
      </c>
      <c r="L726" t="s">
        <v>63</v>
      </c>
      <c r="M726" t="s">
        <v>767</v>
      </c>
      <c r="N726" t="s">
        <v>26</v>
      </c>
      <c r="O726" t="s">
        <v>34</v>
      </c>
      <c r="P726" t="s">
        <v>22</v>
      </c>
      <c r="Q726" t="s">
        <v>23</v>
      </c>
      <c r="R726" t="b">
        <f>OR(Таблица1[[#This Row],[Ежемесячный платеж]]&lt;$AC$5, Таблица1[[#This Row],[Ежемесячный платеж]]&gt;$AC$6)</f>
        <v>0</v>
      </c>
      <c r="S726" s="9">
        <f>(Таблица1[[#This Row],[Размер кредита]]-21824)/(789096-21824)</f>
        <v>5.8406927399931183E-2</v>
      </c>
      <c r="T726" s="9">
        <f>(Таблица1[[#This Row],[Кредитный рейтинг]]-586)/(751-586)</f>
        <v>0.83030303030303032</v>
      </c>
      <c r="U726" s="9">
        <f>Таблица1[[#This Row],[Ежемесячный платеж]]/(Таблица1[[#This Row],[Годовой доход]]/12)</f>
        <v>0.11510052703494048</v>
      </c>
    </row>
    <row r="727" spans="1:21" x14ac:dyDescent="0.3">
      <c r="A727">
        <v>726</v>
      </c>
      <c r="B727">
        <v>0</v>
      </c>
      <c r="D727">
        <v>741</v>
      </c>
      <c r="E727" s="1">
        <v>1028698</v>
      </c>
      <c r="F727">
        <v>0</v>
      </c>
      <c r="G727">
        <v>15258.9</v>
      </c>
      <c r="H727">
        <v>9.5</v>
      </c>
      <c r="I727">
        <v>17</v>
      </c>
      <c r="J727">
        <v>157529</v>
      </c>
      <c r="K727">
        <v>413600</v>
      </c>
      <c r="L727" t="s">
        <v>52</v>
      </c>
      <c r="M727" t="s">
        <v>768</v>
      </c>
      <c r="N727" t="s">
        <v>26</v>
      </c>
      <c r="O727" t="s">
        <v>28</v>
      </c>
      <c r="P727" t="s">
        <v>22</v>
      </c>
      <c r="Q727" t="s">
        <v>23</v>
      </c>
      <c r="R727" t="b">
        <f>OR(Таблица1[[#This Row],[Ежемесячный платеж]]&lt;$AC$5, Таблица1[[#This Row],[Ежемесячный платеж]]&gt;$AC$6)</f>
        <v>0</v>
      </c>
      <c r="T727" s="9">
        <f>(Таблица1[[#This Row],[Кредитный рейтинг]]-586)/(751-586)</f>
        <v>0.93939393939393945</v>
      </c>
      <c r="U727" s="9">
        <f>Таблица1[[#This Row],[Ежемесячный платеж]]/(Таблица1[[#This Row],[Годовой доход]]/12)</f>
        <v>0.17799859628384618</v>
      </c>
    </row>
    <row r="728" spans="1:21" x14ac:dyDescent="0.3">
      <c r="A728">
        <v>727</v>
      </c>
      <c r="B728">
        <v>0</v>
      </c>
      <c r="C728" s="9">
        <v>423214</v>
      </c>
      <c r="D728">
        <v>718</v>
      </c>
      <c r="E728" s="1">
        <v>1186949</v>
      </c>
      <c r="F728">
        <v>57</v>
      </c>
      <c r="G728">
        <v>25222.5</v>
      </c>
      <c r="H728">
        <v>10.6</v>
      </c>
      <c r="I728">
        <v>14</v>
      </c>
      <c r="J728">
        <v>327484</v>
      </c>
      <c r="K728">
        <v>820754</v>
      </c>
      <c r="L728" t="s">
        <v>63</v>
      </c>
      <c r="M728" t="s">
        <v>769</v>
      </c>
      <c r="N728" t="s">
        <v>26</v>
      </c>
      <c r="O728" t="s">
        <v>34</v>
      </c>
      <c r="P728" t="s">
        <v>22</v>
      </c>
      <c r="Q728" t="s">
        <v>36</v>
      </c>
      <c r="R728" t="b">
        <f>OR(Таблица1[[#This Row],[Ежемесячный платеж]]&lt;$AC$5, Таблица1[[#This Row],[Ежемесячный платеж]]&gt;$AC$6)</f>
        <v>0</v>
      </c>
      <c r="S728" s="9">
        <f>(Таблица1[[#This Row],[Размер кредита]]-21824)/(789096-21824)</f>
        <v>0.52313912145888286</v>
      </c>
      <c r="T728" s="9">
        <f>(Таблица1[[#This Row],[Кредитный рейтинг]]-586)/(751-586)</f>
        <v>0.8</v>
      </c>
      <c r="U728" s="9">
        <f>Таблица1[[#This Row],[Ежемесячный платеж]]/(Таблица1[[#This Row],[Годовой доход]]/12)</f>
        <v>0.25499831922011812</v>
      </c>
    </row>
    <row r="729" spans="1:21" x14ac:dyDescent="0.3">
      <c r="A729">
        <v>728</v>
      </c>
      <c r="B729">
        <v>0</v>
      </c>
      <c r="C729" s="9">
        <v>188298</v>
      </c>
      <c r="D729">
        <v>723</v>
      </c>
      <c r="E729" s="1">
        <v>1281778</v>
      </c>
      <c r="F729">
        <v>31</v>
      </c>
      <c r="G729">
        <v>21790.34</v>
      </c>
      <c r="H729">
        <v>23.9</v>
      </c>
      <c r="I729">
        <v>14</v>
      </c>
      <c r="J729">
        <v>161063</v>
      </c>
      <c r="K729">
        <v>409882</v>
      </c>
      <c r="L729" t="s">
        <v>47</v>
      </c>
      <c r="M729" s="2" t="s">
        <v>770</v>
      </c>
      <c r="N729" t="s">
        <v>26</v>
      </c>
      <c r="O729" t="s">
        <v>34</v>
      </c>
      <c r="P729" t="s">
        <v>22</v>
      </c>
      <c r="Q729" t="s">
        <v>23</v>
      </c>
      <c r="R729" t="b">
        <f>OR(Таблица1[[#This Row],[Ежемесячный платеж]]&lt;$AC$5, Таблица1[[#This Row],[Ежемесячный платеж]]&gt;$AC$6)</f>
        <v>0</v>
      </c>
      <c r="S729" s="9">
        <f>(Таблица1[[#This Row],[Размер кредита]]-21824)/(789096-21824)</f>
        <v>0.21696868906984745</v>
      </c>
      <c r="T729" s="9">
        <f>(Таблица1[[#This Row],[Кредитный рейтинг]]-586)/(751-586)</f>
        <v>0.83030303030303032</v>
      </c>
      <c r="U729" s="9">
        <f>Таблица1[[#This Row],[Ежемесячный платеж]]/(Таблица1[[#This Row],[Годовой доход]]/12)</f>
        <v>0.20400106726749875</v>
      </c>
    </row>
    <row r="730" spans="1:21" x14ac:dyDescent="0.3">
      <c r="A730">
        <v>729</v>
      </c>
      <c r="B730">
        <v>0</v>
      </c>
      <c r="C730" s="9">
        <v>111122</v>
      </c>
      <c r="D730">
        <v>693</v>
      </c>
      <c r="E730" s="1">
        <v>767752</v>
      </c>
      <c r="F730">
        <v>0</v>
      </c>
      <c r="G730">
        <v>4184.18</v>
      </c>
      <c r="H730">
        <v>10.1</v>
      </c>
      <c r="I730">
        <v>3</v>
      </c>
      <c r="J730">
        <v>35701</v>
      </c>
      <c r="K730">
        <v>86658</v>
      </c>
      <c r="L730" t="s">
        <v>52</v>
      </c>
      <c r="M730" t="s">
        <v>771</v>
      </c>
      <c r="N730" t="s">
        <v>71</v>
      </c>
      <c r="O730" t="s">
        <v>34</v>
      </c>
      <c r="P730" t="s">
        <v>22</v>
      </c>
      <c r="Q730" t="s">
        <v>36</v>
      </c>
      <c r="R730" t="b">
        <f>OR(Таблица1[[#This Row],[Ежемесячный платеж]]&lt;$AC$5, Таблица1[[#This Row],[Ежемесячный платеж]]&gt;$AC$6)</f>
        <v>0</v>
      </c>
      <c r="S730" s="9">
        <f>(Таблица1[[#This Row],[Размер кредита]]-21824)/(789096-21824)</f>
        <v>0.11638375960545934</v>
      </c>
      <c r="T730" s="9">
        <f>(Таблица1[[#This Row],[Кредитный рейтинг]]-586)/(751-586)</f>
        <v>0.64848484848484844</v>
      </c>
      <c r="U730" s="9">
        <f>Таблица1[[#This Row],[Ежемесячный платеж]]/(Таблица1[[#This Row],[Годовой доход]]/12)</f>
        <v>6.5398930904771335E-2</v>
      </c>
    </row>
    <row r="731" spans="1:21" x14ac:dyDescent="0.3">
      <c r="A731">
        <v>730</v>
      </c>
      <c r="B731">
        <v>0</v>
      </c>
      <c r="C731" s="9">
        <v>259270</v>
      </c>
      <c r="D731">
        <v>741</v>
      </c>
      <c r="E731" s="1">
        <v>1306193</v>
      </c>
      <c r="F731">
        <v>0</v>
      </c>
      <c r="G731">
        <v>33090.21</v>
      </c>
      <c r="H731">
        <v>21</v>
      </c>
      <c r="I731">
        <v>10</v>
      </c>
      <c r="J731">
        <v>498579</v>
      </c>
      <c r="K731">
        <v>607046</v>
      </c>
      <c r="L731" t="s">
        <v>24</v>
      </c>
      <c r="M731" t="s">
        <v>772</v>
      </c>
      <c r="N731" t="s">
        <v>26</v>
      </c>
      <c r="O731" t="s">
        <v>21</v>
      </c>
      <c r="P731" t="s">
        <v>22</v>
      </c>
      <c r="Q731" t="s">
        <v>23</v>
      </c>
      <c r="R731" t="b">
        <f>OR(Таблица1[[#This Row],[Ежемесячный платеж]]&lt;$AC$5, Таблица1[[#This Row],[Ежемесячный платеж]]&gt;$AC$6)</f>
        <v>0</v>
      </c>
      <c r="S731" s="9">
        <f>(Таблица1[[#This Row],[Размер кредита]]-21824)/(789096-21824)</f>
        <v>0.30946782887945867</v>
      </c>
      <c r="T731" s="9">
        <f>(Таблица1[[#This Row],[Кредитный рейтинг]]-586)/(751-586)</f>
        <v>0.93939393939393945</v>
      </c>
      <c r="U731" s="9">
        <f>Таблица1[[#This Row],[Ежемесячный платеж]]/(Таблица1[[#This Row],[Годовой доход]]/12)</f>
        <v>0.30399988363128572</v>
      </c>
    </row>
    <row r="732" spans="1:21" x14ac:dyDescent="0.3">
      <c r="A732">
        <v>731</v>
      </c>
      <c r="B732">
        <v>0</v>
      </c>
      <c r="C732" s="9">
        <v>178948</v>
      </c>
      <c r="D732">
        <v>740</v>
      </c>
      <c r="E732" s="1">
        <v>1352344</v>
      </c>
      <c r="F732">
        <v>14</v>
      </c>
      <c r="G732">
        <v>25581.98</v>
      </c>
      <c r="H732">
        <v>17.899999999999999</v>
      </c>
      <c r="I732">
        <v>10</v>
      </c>
      <c r="J732">
        <v>79952</v>
      </c>
      <c r="K732">
        <v>183304</v>
      </c>
      <c r="L732" t="s">
        <v>29</v>
      </c>
      <c r="M732" t="s">
        <v>773</v>
      </c>
      <c r="N732" t="s">
        <v>68</v>
      </c>
      <c r="O732" t="s">
        <v>34</v>
      </c>
      <c r="P732" t="s">
        <v>22</v>
      </c>
      <c r="Q732" t="s">
        <v>36</v>
      </c>
      <c r="R732" t="b">
        <f>OR(Таблица1[[#This Row],[Ежемесячный платеж]]&lt;$AC$5, Таблица1[[#This Row],[Ежемесячный платеж]]&gt;$AC$6)</f>
        <v>0</v>
      </c>
      <c r="S732" s="9">
        <f>(Таблица1[[#This Row],[Размер кредита]]-21824)/(789096-21824)</f>
        <v>0.20478265856176167</v>
      </c>
      <c r="T732" s="9">
        <f>(Таблица1[[#This Row],[Кредитный рейтинг]]-586)/(751-586)</f>
        <v>0.93333333333333335</v>
      </c>
      <c r="U732" s="9">
        <f>Таблица1[[#This Row],[Ежемесячный платеж]]/(Таблица1[[#This Row],[Годовой доход]]/12)</f>
        <v>0.22700123637181072</v>
      </c>
    </row>
    <row r="733" spans="1:21" x14ac:dyDescent="0.3">
      <c r="A733">
        <v>732</v>
      </c>
      <c r="B733">
        <v>1</v>
      </c>
      <c r="C733" s="9">
        <v>217338</v>
      </c>
      <c r="D733">
        <v>704</v>
      </c>
      <c r="E733" s="1">
        <v>2721674</v>
      </c>
      <c r="F733">
        <v>10</v>
      </c>
      <c r="G733">
        <v>29257.91</v>
      </c>
      <c r="H733">
        <v>18.600000000000001</v>
      </c>
      <c r="I733">
        <v>7</v>
      </c>
      <c r="J733">
        <v>160493</v>
      </c>
      <c r="K733">
        <v>239162</v>
      </c>
      <c r="L733" t="s">
        <v>24</v>
      </c>
      <c r="M733" t="s">
        <v>774</v>
      </c>
      <c r="N733" t="s">
        <v>26</v>
      </c>
      <c r="O733" t="s">
        <v>34</v>
      </c>
      <c r="P733" t="s">
        <v>22</v>
      </c>
      <c r="Q733" t="s">
        <v>23</v>
      </c>
      <c r="R733" t="b">
        <f>OR(Таблица1[[#This Row],[Ежемесячный платеж]]&lt;$AC$5, Таблица1[[#This Row],[Ежемесячный платеж]]&gt;$AC$6)</f>
        <v>0</v>
      </c>
      <c r="S733" s="9">
        <f>(Таблица1[[#This Row],[Размер кредита]]-21824)/(789096-21824)</f>
        <v>0.25481706617731392</v>
      </c>
      <c r="T733" s="9">
        <f>(Таблица1[[#This Row],[Кредитный рейтинг]]-586)/(751-586)</f>
        <v>0.7151515151515152</v>
      </c>
      <c r="U733" s="9">
        <f>Таблица1[[#This Row],[Ежемесячный платеж]]/(Таблица1[[#This Row],[Годовой доход]]/12)</f>
        <v>0.12899962302612289</v>
      </c>
    </row>
    <row r="734" spans="1:21" x14ac:dyDescent="0.3">
      <c r="A734">
        <v>733</v>
      </c>
      <c r="B734">
        <v>0</v>
      </c>
      <c r="C734" s="9">
        <v>263362</v>
      </c>
      <c r="D734">
        <v>731</v>
      </c>
      <c r="E734" s="1">
        <v>614118</v>
      </c>
      <c r="F734">
        <v>0</v>
      </c>
      <c r="G734">
        <v>8300.91</v>
      </c>
      <c r="H734">
        <v>14.1</v>
      </c>
      <c r="I734">
        <v>8</v>
      </c>
      <c r="J734">
        <v>158213</v>
      </c>
      <c r="K734">
        <v>380050</v>
      </c>
      <c r="L734" t="s">
        <v>41</v>
      </c>
      <c r="M734" t="s">
        <v>775</v>
      </c>
      <c r="N734" t="s">
        <v>26</v>
      </c>
      <c r="O734" t="s">
        <v>34</v>
      </c>
      <c r="P734" t="s">
        <v>31</v>
      </c>
      <c r="Q734" t="s">
        <v>36</v>
      </c>
      <c r="R734" t="b">
        <f>OR(Таблица1[[#This Row],[Ежемесячный платеж]]&lt;$AC$5, Таблица1[[#This Row],[Ежемесячный платеж]]&gt;$AC$6)</f>
        <v>0</v>
      </c>
      <c r="S734" s="9">
        <f>(Таблица1[[#This Row],[Размер кредита]]-21824)/(789096-21824)</f>
        <v>0.31480100929005622</v>
      </c>
      <c r="T734" s="9">
        <f>(Таблица1[[#This Row],[Кредитный рейтинг]]-586)/(751-586)</f>
        <v>0.87878787878787878</v>
      </c>
      <c r="U734" s="9">
        <f>Таблица1[[#This Row],[Ежемесячный платеж]]/(Таблица1[[#This Row],[Годовой доход]]/12)</f>
        <v>0.16220159643586413</v>
      </c>
    </row>
    <row r="735" spans="1:21" x14ac:dyDescent="0.3">
      <c r="A735">
        <v>734</v>
      </c>
      <c r="B735">
        <v>0</v>
      </c>
      <c r="C735" s="9">
        <v>395846</v>
      </c>
      <c r="D735">
        <v>751</v>
      </c>
      <c r="E735" s="1">
        <v>3228708</v>
      </c>
      <c r="F735">
        <v>0</v>
      </c>
      <c r="G735">
        <v>31749</v>
      </c>
      <c r="H735">
        <v>18.2</v>
      </c>
      <c r="I735">
        <v>13</v>
      </c>
      <c r="J735">
        <v>817589</v>
      </c>
      <c r="K735">
        <v>2674232</v>
      </c>
      <c r="L735" t="s">
        <v>69</v>
      </c>
      <c r="M735" t="s">
        <v>776</v>
      </c>
      <c r="N735" t="s">
        <v>26</v>
      </c>
      <c r="O735" t="s">
        <v>21</v>
      </c>
      <c r="P735" t="s">
        <v>22</v>
      </c>
      <c r="Q735" t="s">
        <v>23</v>
      </c>
      <c r="R735" t="b">
        <f>OR(Таблица1[[#This Row],[Ежемесячный платеж]]&lt;$AC$5, Таблица1[[#This Row],[Ежемесячный платеж]]&gt;$AC$6)</f>
        <v>0</v>
      </c>
      <c r="S735" s="9">
        <f>(Таблица1[[#This Row],[Размер кредита]]-21824)/(789096-21824)</f>
        <v>0.48746989333639179</v>
      </c>
      <c r="T735" s="9">
        <f>(Таблица1[[#This Row],[Кредитный рейтинг]]-586)/(751-586)</f>
        <v>1</v>
      </c>
      <c r="U735" s="9">
        <f>Таблица1[[#This Row],[Ежемесячный платеж]]/(Таблица1[[#This Row],[Годовой доход]]/12)</f>
        <v>0.11800014123296378</v>
      </c>
    </row>
    <row r="736" spans="1:21" x14ac:dyDescent="0.3">
      <c r="A736">
        <v>735</v>
      </c>
      <c r="B736">
        <v>0</v>
      </c>
      <c r="C736" s="9">
        <v>560010</v>
      </c>
      <c r="D736">
        <v>719</v>
      </c>
      <c r="E736" s="1">
        <v>5701140</v>
      </c>
      <c r="F736">
        <v>0</v>
      </c>
      <c r="G736">
        <v>24942.44</v>
      </c>
      <c r="H736">
        <v>8.4</v>
      </c>
      <c r="I736">
        <v>9</v>
      </c>
      <c r="J736">
        <v>76893</v>
      </c>
      <c r="K736">
        <v>436414</v>
      </c>
      <c r="L736" t="s">
        <v>47</v>
      </c>
      <c r="M736" t="s">
        <v>777</v>
      </c>
      <c r="N736" t="s">
        <v>20</v>
      </c>
      <c r="O736" t="s">
        <v>21</v>
      </c>
      <c r="P736" t="s">
        <v>31</v>
      </c>
      <c r="Q736" t="s">
        <v>23</v>
      </c>
      <c r="R736" t="b">
        <f>OR(Таблица1[[#This Row],[Ежемесячный платеж]]&lt;$AC$5, Таблица1[[#This Row],[Ежемесячный платеж]]&gt;$AC$6)</f>
        <v>0</v>
      </c>
      <c r="S736" s="9">
        <f>(Таблица1[[#This Row],[Размер кредита]]-21824)/(789096-21824)</f>
        <v>0.7014279160454181</v>
      </c>
      <c r="T736" s="9">
        <f>(Таблица1[[#This Row],[Кредитный рейтинг]]-586)/(751-586)</f>
        <v>0.80606060606060603</v>
      </c>
      <c r="U736" s="9">
        <f>Таблица1[[#This Row],[Ежемесячный платеж]]/(Таблица1[[#This Row],[Годовой доход]]/12)</f>
        <v>5.2499900019996E-2</v>
      </c>
    </row>
    <row r="737" spans="1:21" x14ac:dyDescent="0.3">
      <c r="A737">
        <v>736</v>
      </c>
      <c r="B737">
        <v>0</v>
      </c>
      <c r="C737" s="9">
        <v>287408</v>
      </c>
      <c r="D737">
        <v>699</v>
      </c>
      <c r="E737" s="1">
        <v>992845</v>
      </c>
      <c r="F737">
        <v>0</v>
      </c>
      <c r="G737">
        <v>6014.83</v>
      </c>
      <c r="H737">
        <v>8</v>
      </c>
      <c r="I737">
        <v>7</v>
      </c>
      <c r="J737">
        <v>93005</v>
      </c>
      <c r="K737">
        <v>192302</v>
      </c>
      <c r="L737" t="s">
        <v>69</v>
      </c>
      <c r="M737" t="s">
        <v>778</v>
      </c>
      <c r="N737" t="s">
        <v>26</v>
      </c>
      <c r="O737" t="s">
        <v>34</v>
      </c>
      <c r="P737" t="s">
        <v>22</v>
      </c>
      <c r="Q737" t="s">
        <v>23</v>
      </c>
      <c r="R737" t="b">
        <f>OR(Таблица1[[#This Row],[Ежемесячный платеж]]&lt;$AC$5, Таблица1[[#This Row],[Ежемесячный платеж]]&gt;$AC$6)</f>
        <v>0</v>
      </c>
      <c r="S737" s="9">
        <f>(Таблица1[[#This Row],[Размер кредита]]-21824)/(789096-21824)</f>
        <v>0.34614061245555683</v>
      </c>
      <c r="T737" s="9">
        <f>(Таблица1[[#This Row],[Кредитный рейтинг]]-586)/(751-586)</f>
        <v>0.68484848484848482</v>
      </c>
      <c r="U737" s="9">
        <f>Таблица1[[#This Row],[Ежемесячный платеж]]/(Таблица1[[#This Row],[Годовой доход]]/12)</f>
        <v>7.2698115012917425E-2</v>
      </c>
    </row>
    <row r="738" spans="1:21" x14ac:dyDescent="0.3">
      <c r="A738">
        <v>737</v>
      </c>
      <c r="B738">
        <v>0</v>
      </c>
      <c r="C738" s="9">
        <v>623436</v>
      </c>
      <c r="D738">
        <f>$Y$13</f>
        <v>723</v>
      </c>
      <c r="E738">
        <f>$AB$13</f>
        <v>1168044</v>
      </c>
      <c r="F738">
        <v>0</v>
      </c>
      <c r="G738">
        <v>17820.099999999999</v>
      </c>
      <c r="H738">
        <v>15</v>
      </c>
      <c r="I738">
        <v>27</v>
      </c>
      <c r="J738">
        <v>448647</v>
      </c>
      <c r="K738">
        <v>630454</v>
      </c>
      <c r="L738" t="s">
        <v>41</v>
      </c>
      <c r="M738" t="s">
        <v>779</v>
      </c>
      <c r="N738" t="s">
        <v>26</v>
      </c>
      <c r="O738" t="s">
        <v>34</v>
      </c>
      <c r="P738" t="s">
        <v>22</v>
      </c>
      <c r="Q738" t="s">
        <v>36</v>
      </c>
      <c r="R738" t="b">
        <f>OR(Таблица1[[#This Row],[Ежемесячный платеж]]&lt;$AC$5, Таблица1[[#This Row],[Ежемесячный платеж]]&gt;$AC$6)</f>
        <v>0</v>
      </c>
      <c r="S738" s="9">
        <f>(Таблица1[[#This Row],[Размер кредита]]-21824)/(789096-21824)</f>
        <v>0.78409221240967997</v>
      </c>
      <c r="T738" s="9">
        <f>(Таблица1[[#This Row],[Кредитный рейтинг]]-586)/(751-586)</f>
        <v>0.83030303030303032</v>
      </c>
      <c r="U738" s="9">
        <f>Таблица1[[#This Row],[Ежемесячный платеж]]/(Таблица1[[#This Row],[Годовой доход]]/12)</f>
        <v>0.18307632246730429</v>
      </c>
    </row>
    <row r="739" spans="1:21" x14ac:dyDescent="0.3">
      <c r="A739">
        <v>738</v>
      </c>
      <c r="B739">
        <v>1</v>
      </c>
      <c r="C739" s="9">
        <v>259820</v>
      </c>
      <c r="D739">
        <f>$Y$13</f>
        <v>723</v>
      </c>
      <c r="E739">
        <f>$AB$13</f>
        <v>1168044</v>
      </c>
      <c r="F739">
        <v>0</v>
      </c>
      <c r="G739">
        <v>19026.98</v>
      </c>
      <c r="H739">
        <v>9.9</v>
      </c>
      <c r="I739">
        <v>8</v>
      </c>
      <c r="J739">
        <v>181678</v>
      </c>
      <c r="K739">
        <v>385308</v>
      </c>
      <c r="L739" t="s">
        <v>37</v>
      </c>
      <c r="M739" t="s">
        <v>780</v>
      </c>
      <c r="N739" t="s">
        <v>26</v>
      </c>
      <c r="O739" t="s">
        <v>34</v>
      </c>
      <c r="P739" t="s">
        <v>22</v>
      </c>
      <c r="Q739" t="s">
        <v>23</v>
      </c>
      <c r="R739" t="b">
        <f>OR(Таблица1[[#This Row],[Ежемесячный платеж]]&lt;$AC$5, Таблица1[[#This Row],[Ежемесячный платеж]]&gt;$AC$6)</f>
        <v>0</v>
      </c>
      <c r="S739" s="9">
        <f>(Таблица1[[#This Row],[Размер кредита]]-21824)/(789096-21824)</f>
        <v>0.31018465420346369</v>
      </c>
      <c r="T739" s="9">
        <f>(Таблица1[[#This Row],[Кредитный рейтинг]]-586)/(751-586)</f>
        <v>0.83030303030303032</v>
      </c>
      <c r="U739" s="9">
        <f>Таблица1[[#This Row],[Ежемесячный платеж]]/(Таблица1[[#This Row],[Годовой доход]]/12)</f>
        <v>0.19547530743704861</v>
      </c>
    </row>
    <row r="740" spans="1:21" x14ac:dyDescent="0.3">
      <c r="A740">
        <v>739</v>
      </c>
      <c r="B740">
        <v>0</v>
      </c>
      <c r="C740" s="9">
        <v>107998</v>
      </c>
      <c r="D740">
        <v>750</v>
      </c>
      <c r="E740" s="1">
        <v>634182</v>
      </c>
      <c r="F740">
        <v>0</v>
      </c>
      <c r="G740">
        <v>14210.86</v>
      </c>
      <c r="H740">
        <v>18.8</v>
      </c>
      <c r="I740">
        <v>21</v>
      </c>
      <c r="J740">
        <v>9177</v>
      </c>
      <c r="K740">
        <v>2125178</v>
      </c>
      <c r="L740" t="s">
        <v>41</v>
      </c>
      <c r="M740" t="s">
        <v>781</v>
      </c>
      <c r="N740" t="s">
        <v>26</v>
      </c>
      <c r="O740" t="s">
        <v>34</v>
      </c>
      <c r="P740" t="s">
        <v>22</v>
      </c>
      <c r="Q740" t="s">
        <v>23</v>
      </c>
      <c r="R740" t="b">
        <f>OR(Таблица1[[#This Row],[Ежемесячный платеж]]&lt;$AC$5, Таблица1[[#This Row],[Ежемесячный платеж]]&gt;$AC$6)</f>
        <v>0</v>
      </c>
      <c r="S740" s="9">
        <f>(Таблица1[[#This Row],[Размер кредита]]-21824)/(789096-21824)</f>
        <v>0.11231219176511067</v>
      </c>
      <c r="T740" s="9">
        <f>(Таблица1[[#This Row],[Кредитный рейтинг]]-586)/(751-586)</f>
        <v>0.9939393939393939</v>
      </c>
      <c r="U740" s="9">
        <f>Таблица1[[#This Row],[Ежемесячный платеж]]/(Таблица1[[#This Row],[Годовой доход]]/12)</f>
        <v>0.26889807657738629</v>
      </c>
    </row>
    <row r="741" spans="1:21" x14ac:dyDescent="0.3">
      <c r="A741">
        <v>740</v>
      </c>
      <c r="B741">
        <v>0</v>
      </c>
      <c r="C741" s="9">
        <v>450912</v>
      </c>
      <c r="D741">
        <v>717</v>
      </c>
      <c r="E741" s="1">
        <v>1168272</v>
      </c>
      <c r="F741">
        <v>0</v>
      </c>
      <c r="G741">
        <v>19568.48</v>
      </c>
      <c r="H741">
        <v>7.6</v>
      </c>
      <c r="I741">
        <v>8</v>
      </c>
      <c r="J741">
        <v>144780</v>
      </c>
      <c r="K741">
        <v>315722</v>
      </c>
      <c r="L741" t="s">
        <v>47</v>
      </c>
      <c r="M741" t="s">
        <v>782</v>
      </c>
      <c r="N741" t="s">
        <v>26</v>
      </c>
      <c r="O741" t="s">
        <v>34</v>
      </c>
      <c r="P741" t="s">
        <v>31</v>
      </c>
      <c r="Q741" t="s">
        <v>36</v>
      </c>
      <c r="R741" t="b">
        <f>OR(Таблица1[[#This Row],[Ежемесячный платеж]]&lt;$AC$5, Таблица1[[#This Row],[Ежемесячный платеж]]&gt;$AC$6)</f>
        <v>0</v>
      </c>
      <c r="S741" s="9">
        <f>(Таблица1[[#This Row],[Размер кредита]]-21824)/(789096-21824)</f>
        <v>0.559238444775777</v>
      </c>
      <c r="T741" s="9">
        <f>(Таблица1[[#This Row],[Кредитный рейтинг]]-586)/(751-586)</f>
        <v>0.79393939393939394</v>
      </c>
      <c r="U741" s="9">
        <f>Таблица1[[#This Row],[Ежемесячный платеж]]/(Таблица1[[#This Row],[Годовой доход]]/12)</f>
        <v>0.20099921935987508</v>
      </c>
    </row>
    <row r="742" spans="1:21" x14ac:dyDescent="0.3">
      <c r="A742">
        <v>741</v>
      </c>
      <c r="B742">
        <v>0</v>
      </c>
      <c r="C742" s="9">
        <v>225808</v>
      </c>
      <c r="D742">
        <f>$Y$13</f>
        <v>723</v>
      </c>
      <c r="E742">
        <f>$AB$13</f>
        <v>1168044</v>
      </c>
      <c r="F742">
        <v>43</v>
      </c>
      <c r="G742">
        <v>5552.18</v>
      </c>
      <c r="H742">
        <v>32.1</v>
      </c>
      <c r="I742">
        <v>9</v>
      </c>
      <c r="J742">
        <v>189449</v>
      </c>
      <c r="K742">
        <v>753786</v>
      </c>
      <c r="L742" t="s">
        <v>47</v>
      </c>
      <c r="M742" t="s">
        <v>783</v>
      </c>
      <c r="N742" t="s">
        <v>26</v>
      </c>
      <c r="O742" t="s">
        <v>34</v>
      </c>
      <c r="P742" t="s">
        <v>22</v>
      </c>
      <c r="Q742" t="s">
        <v>23</v>
      </c>
      <c r="R742" t="b">
        <f>OR(Таблица1[[#This Row],[Ежемесячный платеж]]&lt;$AC$5, Таблица1[[#This Row],[Ежемесячный платеж]]&gt;$AC$6)</f>
        <v>0</v>
      </c>
      <c r="S742" s="9">
        <f>(Таблица1[[#This Row],[Размер кредита]]-21824)/(789096-21824)</f>
        <v>0.26585617616699164</v>
      </c>
      <c r="T742" s="9">
        <f>(Таблица1[[#This Row],[Кредитный рейтинг]]-586)/(751-586)</f>
        <v>0.83030303030303032</v>
      </c>
      <c r="U742" s="9">
        <f>Таблица1[[#This Row],[Ежемесячный платеж]]/(Таблица1[[#This Row],[Годовой доход]]/12)</f>
        <v>5.704079640835448E-2</v>
      </c>
    </row>
    <row r="743" spans="1:21" x14ac:dyDescent="0.3">
      <c r="A743">
        <v>742</v>
      </c>
      <c r="B743">
        <v>0</v>
      </c>
      <c r="C743" s="9">
        <v>182028</v>
      </c>
      <c r="D743">
        <v>723</v>
      </c>
      <c r="E743" s="1">
        <v>655025</v>
      </c>
      <c r="F743">
        <v>0</v>
      </c>
      <c r="G743">
        <v>20251.150000000001</v>
      </c>
      <c r="H743">
        <v>5</v>
      </c>
      <c r="I743">
        <v>5</v>
      </c>
      <c r="J743">
        <v>134045</v>
      </c>
      <c r="K743">
        <v>257818</v>
      </c>
      <c r="L743" t="s">
        <v>32</v>
      </c>
      <c r="M743" t="s">
        <v>784</v>
      </c>
      <c r="N743" t="s">
        <v>26</v>
      </c>
      <c r="O743" t="s">
        <v>34</v>
      </c>
      <c r="P743" t="s">
        <v>22</v>
      </c>
      <c r="Q743" t="s">
        <v>23</v>
      </c>
      <c r="R743" t="b">
        <f>OR(Таблица1[[#This Row],[Ежемесячный платеж]]&lt;$AC$5, Таблица1[[#This Row],[Ежемесячный платеж]]&gt;$AC$6)</f>
        <v>0</v>
      </c>
      <c r="S743" s="9">
        <f>(Таблица1[[#This Row],[Размер кредита]]-21824)/(789096-21824)</f>
        <v>0.20879688037618993</v>
      </c>
      <c r="T743" s="9">
        <f>(Таблица1[[#This Row],[Кредитный рейтинг]]-586)/(751-586)</f>
        <v>0.83030303030303032</v>
      </c>
      <c r="U743" s="9">
        <f>Таблица1[[#This Row],[Ежемесячный платеж]]/(Таблица1[[#This Row],[Годовой доход]]/12)</f>
        <v>0.37099927483683831</v>
      </c>
    </row>
    <row r="744" spans="1:21" x14ac:dyDescent="0.3">
      <c r="A744">
        <v>743</v>
      </c>
      <c r="B744">
        <v>0</v>
      </c>
      <c r="C744" s="9">
        <v>448184</v>
      </c>
      <c r="D744">
        <f>$Y$13</f>
        <v>723</v>
      </c>
      <c r="E744">
        <f>$AB$13</f>
        <v>1168044</v>
      </c>
      <c r="F744">
        <v>0</v>
      </c>
      <c r="G744">
        <v>22256.41</v>
      </c>
      <c r="H744">
        <v>12.8</v>
      </c>
      <c r="I744">
        <v>14</v>
      </c>
      <c r="J744">
        <v>352564</v>
      </c>
      <c r="K744">
        <v>459206</v>
      </c>
      <c r="L744" t="s">
        <v>32</v>
      </c>
      <c r="M744" t="s">
        <v>785</v>
      </c>
      <c r="N744" t="s">
        <v>26</v>
      </c>
      <c r="O744" t="s">
        <v>21</v>
      </c>
      <c r="P744" t="s">
        <v>22</v>
      </c>
      <c r="Q744" t="s">
        <v>23</v>
      </c>
      <c r="R744" t="b">
        <f>OR(Таблица1[[#This Row],[Ежемесячный платеж]]&lt;$AC$5, Таблица1[[#This Row],[Ежемесячный платеж]]&gt;$AC$6)</f>
        <v>0</v>
      </c>
      <c r="S744" s="9">
        <f>(Таблица1[[#This Row],[Размер кредита]]-21824)/(789096-21824)</f>
        <v>0.555682991168712</v>
      </c>
      <c r="T744" s="9">
        <f>(Таблица1[[#This Row],[Кредитный рейтинг]]-586)/(751-586)</f>
        <v>0.83030303030303032</v>
      </c>
      <c r="U744" s="9">
        <f>Таблица1[[#This Row],[Ежемесячный платеж]]/(Таблица1[[#This Row],[Годовой доход]]/12)</f>
        <v>0.22865313292992387</v>
      </c>
    </row>
    <row r="745" spans="1:21" x14ac:dyDescent="0.3">
      <c r="A745">
        <v>744</v>
      </c>
      <c r="B745">
        <v>0</v>
      </c>
      <c r="C745" s="9">
        <v>219604</v>
      </c>
      <c r="D745">
        <f>$Y$13</f>
        <v>723</v>
      </c>
      <c r="E745">
        <f>$AB$13</f>
        <v>1168044</v>
      </c>
      <c r="F745">
        <v>53</v>
      </c>
      <c r="G745">
        <v>9843.33</v>
      </c>
      <c r="H745">
        <v>21.9</v>
      </c>
      <c r="I745">
        <v>11</v>
      </c>
      <c r="J745">
        <v>111245</v>
      </c>
      <c r="K745">
        <v>326942</v>
      </c>
      <c r="L745" t="s">
        <v>37</v>
      </c>
      <c r="M745" t="s">
        <v>786</v>
      </c>
      <c r="N745" t="s">
        <v>26</v>
      </c>
      <c r="O745" t="s">
        <v>21</v>
      </c>
      <c r="P745" t="s">
        <v>22</v>
      </c>
      <c r="Q745" t="s">
        <v>36</v>
      </c>
      <c r="R745" t="b">
        <f>OR(Таблица1[[#This Row],[Ежемесячный платеж]]&lt;$AC$5, Таблица1[[#This Row],[Ежемесячный платеж]]&gt;$AC$6)</f>
        <v>0</v>
      </c>
      <c r="S745" s="9">
        <f>(Таблица1[[#This Row],[Размер кредита]]-21824)/(789096-21824)</f>
        <v>0.25777038651221468</v>
      </c>
      <c r="T745" s="9">
        <f>(Таблица1[[#This Row],[Кредитный рейтинг]]-586)/(751-586)</f>
        <v>0.83030303030303032</v>
      </c>
      <c r="U745" s="9">
        <f>Таблица1[[#This Row],[Ежемесячный платеж]]/(Таблица1[[#This Row],[Годовой доход]]/12)</f>
        <v>0.1011262931875854</v>
      </c>
    </row>
    <row r="746" spans="1:21" x14ac:dyDescent="0.3">
      <c r="A746">
        <v>745</v>
      </c>
      <c r="B746">
        <v>0</v>
      </c>
      <c r="D746">
        <v>723</v>
      </c>
      <c r="E746" s="1">
        <v>9057984</v>
      </c>
      <c r="F746">
        <v>4</v>
      </c>
      <c r="G746">
        <v>105676.48</v>
      </c>
      <c r="H746">
        <v>23.1</v>
      </c>
      <c r="I746">
        <v>15</v>
      </c>
      <c r="J746">
        <v>149720</v>
      </c>
      <c r="K746">
        <v>912428</v>
      </c>
      <c r="L746" t="s">
        <v>41</v>
      </c>
      <c r="M746" t="s">
        <v>787</v>
      </c>
      <c r="N746" t="s">
        <v>26</v>
      </c>
      <c r="O746" t="s">
        <v>21</v>
      </c>
      <c r="P746" t="s">
        <v>22</v>
      </c>
      <c r="Q746" t="s">
        <v>23</v>
      </c>
      <c r="R746" t="b">
        <f>OR(Таблица1[[#This Row],[Ежемесячный платеж]]&lt;$AC$5, Таблица1[[#This Row],[Ежемесячный платеж]]&gt;$AC$6)</f>
        <v>1</v>
      </c>
      <c r="T746" s="9">
        <f>(Таблица1[[#This Row],[Кредитный рейтинг]]-586)/(751-586)</f>
        <v>0.83030303030303032</v>
      </c>
      <c r="U746" s="9">
        <f>Таблица1[[#This Row],[Ежемесячный платеж]]/(Таблица1[[#This Row],[Годовой доход]]/12)</f>
        <v>0.13999999999999999</v>
      </c>
    </row>
    <row r="747" spans="1:21" x14ac:dyDescent="0.3">
      <c r="A747">
        <v>746</v>
      </c>
      <c r="B747">
        <v>0</v>
      </c>
      <c r="C747" s="9">
        <v>214764</v>
      </c>
      <c r="D747">
        <v>730</v>
      </c>
      <c r="E747" s="1">
        <v>983041</v>
      </c>
      <c r="F747">
        <v>43</v>
      </c>
      <c r="G747">
        <v>12697.51</v>
      </c>
      <c r="H747">
        <v>13.4</v>
      </c>
      <c r="I747">
        <v>19</v>
      </c>
      <c r="J747">
        <v>209741</v>
      </c>
      <c r="K747">
        <v>527956</v>
      </c>
      <c r="L747" t="s">
        <v>29</v>
      </c>
      <c r="M747" t="s">
        <v>788</v>
      </c>
      <c r="N747" t="s">
        <v>26</v>
      </c>
      <c r="O747" t="s">
        <v>34</v>
      </c>
      <c r="P747" t="s">
        <v>22</v>
      </c>
      <c r="Q747" t="s">
        <v>23</v>
      </c>
      <c r="R747" t="b">
        <f>OR(Таблица1[[#This Row],[Ежемесячный платеж]]&lt;$AC$5, Таблица1[[#This Row],[Ежемесячный платеж]]&gt;$AC$6)</f>
        <v>0</v>
      </c>
      <c r="S747" s="9">
        <f>(Таблица1[[#This Row],[Размер кредита]]-21824)/(789096-21824)</f>
        <v>0.25146232366097032</v>
      </c>
      <c r="T747" s="9">
        <f>(Таблица1[[#This Row],[Кредитный рейтинг]]-586)/(751-586)</f>
        <v>0.87272727272727268</v>
      </c>
      <c r="U747" s="9">
        <f>Таблица1[[#This Row],[Ежемесячный платеж]]/(Таблица1[[#This Row],[Годовой доход]]/12)</f>
        <v>0.15499874369431185</v>
      </c>
    </row>
    <row r="748" spans="1:21" x14ac:dyDescent="0.3">
      <c r="A748">
        <v>747</v>
      </c>
      <c r="B748">
        <v>0</v>
      </c>
      <c r="C748" s="9">
        <v>320078</v>
      </c>
      <c r="D748">
        <f>$Y$13</f>
        <v>723</v>
      </c>
      <c r="E748">
        <f>$AB$13</f>
        <v>1168044</v>
      </c>
      <c r="F748">
        <v>15</v>
      </c>
      <c r="G748">
        <v>11364.85</v>
      </c>
      <c r="H748">
        <v>19.100000000000001</v>
      </c>
      <c r="I748">
        <v>12</v>
      </c>
      <c r="J748">
        <v>393015</v>
      </c>
      <c r="K748">
        <v>770000</v>
      </c>
      <c r="L748" t="s">
        <v>24</v>
      </c>
      <c r="M748" t="s">
        <v>789</v>
      </c>
      <c r="N748" t="s">
        <v>26</v>
      </c>
      <c r="O748" t="s">
        <v>21</v>
      </c>
      <c r="P748" t="s">
        <v>22</v>
      </c>
      <c r="Q748" t="s">
        <v>23</v>
      </c>
      <c r="R748" t="b">
        <f>OR(Таблица1[[#This Row],[Ежемесячный платеж]]&lt;$AC$5, Таблица1[[#This Row],[Ежемесячный платеж]]&gt;$AC$6)</f>
        <v>0</v>
      </c>
      <c r="S748" s="9">
        <f>(Таблица1[[#This Row],[Размер кредита]]-21824)/(789096-21824)</f>
        <v>0.38872003670145661</v>
      </c>
      <c r="T748" s="9">
        <f>(Таблица1[[#This Row],[Кредитный рейтинг]]-586)/(751-586)</f>
        <v>0.83030303030303032</v>
      </c>
      <c r="U748" s="9">
        <f>Таблица1[[#This Row],[Ежемесячный платеж]]/(Таблица1[[#This Row],[Годовой доход]]/12)</f>
        <v>0.11675775912551239</v>
      </c>
    </row>
    <row r="749" spans="1:21" x14ac:dyDescent="0.3">
      <c r="A749">
        <v>748</v>
      </c>
      <c r="B749">
        <v>0</v>
      </c>
      <c r="C749" s="9">
        <v>175956</v>
      </c>
      <c r="D749">
        <v>749</v>
      </c>
      <c r="E749" s="1">
        <v>664867</v>
      </c>
      <c r="F749">
        <v>0</v>
      </c>
      <c r="G749">
        <v>13962.15</v>
      </c>
      <c r="H749">
        <v>42.4</v>
      </c>
      <c r="I749">
        <v>9</v>
      </c>
      <c r="J749">
        <v>168511</v>
      </c>
      <c r="K749">
        <v>1283700</v>
      </c>
      <c r="L749" t="s">
        <v>24</v>
      </c>
      <c r="M749" t="s">
        <v>790</v>
      </c>
      <c r="N749" t="s">
        <v>26</v>
      </c>
      <c r="O749" t="s">
        <v>21</v>
      </c>
      <c r="P749" t="s">
        <v>22</v>
      </c>
      <c r="Q749" t="s">
        <v>23</v>
      </c>
      <c r="R749" t="b">
        <f>OR(Таблица1[[#This Row],[Ежемесячный платеж]]&lt;$AC$5, Таблица1[[#This Row],[Ежемесячный платеж]]&gt;$AC$6)</f>
        <v>0</v>
      </c>
      <c r="S749" s="9">
        <f>(Таблица1[[#This Row],[Размер кредита]]-21824)/(789096-21824)</f>
        <v>0.20088312879917422</v>
      </c>
      <c r="T749" s="9">
        <f>(Таблица1[[#This Row],[Кредитный рейтинг]]-586)/(751-586)</f>
        <v>0.98787878787878791</v>
      </c>
      <c r="U749" s="9">
        <f>Таблица1[[#This Row],[Ежемесячный платеж]]/(Таблица1[[#This Row],[Годовой доход]]/12)</f>
        <v>0.25199897122281595</v>
      </c>
    </row>
    <row r="750" spans="1:21" x14ac:dyDescent="0.3">
      <c r="A750">
        <v>749</v>
      </c>
      <c r="B750">
        <v>0</v>
      </c>
      <c r="C750" s="9">
        <v>400400</v>
      </c>
      <c r="D750">
        <v>719</v>
      </c>
      <c r="E750" s="1">
        <v>1152654</v>
      </c>
      <c r="F750">
        <v>0</v>
      </c>
      <c r="G750">
        <v>28047.99</v>
      </c>
      <c r="H750">
        <v>12</v>
      </c>
      <c r="I750">
        <v>36</v>
      </c>
      <c r="J750">
        <v>569962</v>
      </c>
      <c r="K750">
        <v>1499916</v>
      </c>
      <c r="L750" t="s">
        <v>24</v>
      </c>
      <c r="M750" t="s">
        <v>791</v>
      </c>
      <c r="N750" t="s">
        <v>26</v>
      </c>
      <c r="O750" t="s">
        <v>21</v>
      </c>
      <c r="P750" t="s">
        <v>22</v>
      </c>
      <c r="Q750" t="s">
        <v>36</v>
      </c>
      <c r="R750" t="b">
        <f>OR(Таблица1[[#This Row],[Ежемесячный платеж]]&lt;$AC$5, Таблица1[[#This Row],[Ежемесячный платеж]]&gt;$AC$6)</f>
        <v>0</v>
      </c>
      <c r="S750" s="9">
        <f>(Таблица1[[#This Row],[Размер кредита]]-21824)/(789096-21824)</f>
        <v>0.49340520701915358</v>
      </c>
      <c r="T750" s="9">
        <f>(Таблица1[[#This Row],[Кредитный рейтинг]]-586)/(751-586)</f>
        <v>0.80606060606060603</v>
      </c>
      <c r="U750" s="9">
        <f>Таблица1[[#This Row],[Ежемесячный платеж]]/(Таблица1[[#This Row],[Годовой доход]]/12)</f>
        <v>0.2920007912174859</v>
      </c>
    </row>
    <row r="751" spans="1:21" x14ac:dyDescent="0.3">
      <c r="A751">
        <v>750</v>
      </c>
      <c r="B751">
        <v>0</v>
      </c>
      <c r="C751" s="9">
        <v>628584</v>
      </c>
      <c r="D751">
        <v>692</v>
      </c>
      <c r="E751" s="1">
        <v>1217102</v>
      </c>
      <c r="F751">
        <v>34</v>
      </c>
      <c r="G751">
        <v>19879.509999999998</v>
      </c>
      <c r="H751">
        <v>28.8</v>
      </c>
      <c r="I751">
        <v>24</v>
      </c>
      <c r="J751">
        <v>451934</v>
      </c>
      <c r="K751">
        <v>1202960</v>
      </c>
      <c r="L751" t="s">
        <v>24</v>
      </c>
      <c r="M751" t="s">
        <v>792</v>
      </c>
      <c r="N751" t="s">
        <v>26</v>
      </c>
      <c r="O751" t="s">
        <v>34</v>
      </c>
      <c r="P751" t="s">
        <v>31</v>
      </c>
      <c r="Q751" t="s">
        <v>36</v>
      </c>
      <c r="R751" t="b">
        <f>OR(Таблица1[[#This Row],[Ежемесячный платеж]]&lt;$AC$5, Таблица1[[#This Row],[Ежемесячный платеж]]&gt;$AC$6)</f>
        <v>0</v>
      </c>
      <c r="S751" s="9">
        <f>(Таблица1[[#This Row],[Размер кредита]]-21824)/(789096-21824)</f>
        <v>0.79080169744236728</v>
      </c>
      <c r="T751" s="9">
        <f>(Таблица1[[#This Row],[Кредитный рейтинг]]-586)/(751-586)</f>
        <v>0.64242424242424245</v>
      </c>
      <c r="U751" s="9">
        <f>Таблица1[[#This Row],[Ежемесячный платеж]]/(Таблица1[[#This Row],[Годовой доход]]/12)</f>
        <v>0.19600174841549842</v>
      </c>
    </row>
    <row r="752" spans="1:21" x14ac:dyDescent="0.3">
      <c r="A752">
        <v>751</v>
      </c>
      <c r="B752">
        <v>0</v>
      </c>
      <c r="C752" s="9">
        <v>626362</v>
      </c>
      <c r="D752">
        <f>$Y$13</f>
        <v>723</v>
      </c>
      <c r="E752">
        <f>$AB$13</f>
        <v>1168044</v>
      </c>
      <c r="F752">
        <v>0</v>
      </c>
      <c r="G752">
        <v>28106.13</v>
      </c>
      <c r="H752">
        <v>22</v>
      </c>
      <c r="I752">
        <v>13</v>
      </c>
      <c r="J752">
        <v>526034</v>
      </c>
      <c r="K752">
        <v>1602854</v>
      </c>
      <c r="L752" t="s">
        <v>41</v>
      </c>
      <c r="M752" t="s">
        <v>793</v>
      </c>
      <c r="N752" t="s">
        <v>26</v>
      </c>
      <c r="O752" t="s">
        <v>21</v>
      </c>
      <c r="P752" t="s">
        <v>31</v>
      </c>
      <c r="Q752" t="s">
        <v>23</v>
      </c>
      <c r="R752" t="b">
        <f>OR(Таблица1[[#This Row],[Ежемесячный платеж]]&lt;$AC$5, Таблица1[[#This Row],[Ежемесячный платеж]]&gt;$AC$6)</f>
        <v>0</v>
      </c>
      <c r="S752" s="9">
        <f>(Таблица1[[#This Row],[Размер кредита]]-21824)/(789096-21824)</f>
        <v>0.7879057231333868</v>
      </c>
      <c r="T752" s="9">
        <f>(Таблица1[[#This Row],[Кредитный рейтинг]]-586)/(751-586)</f>
        <v>0.83030303030303032</v>
      </c>
      <c r="U752" s="9">
        <f>Таблица1[[#This Row],[Ежемесячный платеж]]/(Таблица1[[#This Row],[Годовой доход]]/12)</f>
        <v>0.28875073199297285</v>
      </c>
    </row>
    <row r="753" spans="1:21" x14ac:dyDescent="0.3">
      <c r="A753">
        <v>752</v>
      </c>
      <c r="B753">
        <v>0</v>
      </c>
      <c r="C753" s="9">
        <v>540364</v>
      </c>
      <c r="D753">
        <v>723</v>
      </c>
      <c r="E753" s="1">
        <v>3387244</v>
      </c>
      <c r="F753">
        <v>39</v>
      </c>
      <c r="G753">
        <v>29920.82</v>
      </c>
      <c r="H753">
        <v>12.6</v>
      </c>
      <c r="I753">
        <v>6</v>
      </c>
      <c r="J753">
        <v>255987</v>
      </c>
      <c r="K753">
        <v>432080</v>
      </c>
      <c r="L753" t="s">
        <v>32</v>
      </c>
      <c r="M753" t="s">
        <v>794</v>
      </c>
      <c r="N753" t="s">
        <v>26</v>
      </c>
      <c r="O753" t="s">
        <v>21</v>
      </c>
      <c r="P753" t="s">
        <v>31</v>
      </c>
      <c r="Q753" t="s">
        <v>23</v>
      </c>
      <c r="R753" t="b">
        <f>OR(Таблица1[[#This Row],[Ежемесячный платеж]]&lt;$AC$5, Таблица1[[#This Row],[Ежемесячный платеж]]&gt;$AC$6)</f>
        <v>0</v>
      </c>
      <c r="S753" s="9">
        <f>(Таблица1[[#This Row],[Размер кредита]]-21824)/(789096-21824)</f>
        <v>0.67582291547195783</v>
      </c>
      <c r="T753" s="9">
        <f>(Таблица1[[#This Row],[Кредитный рейтинг]]-586)/(751-586)</f>
        <v>0.83030303030303032</v>
      </c>
      <c r="U753" s="9">
        <f>Таблица1[[#This Row],[Ежемесячный платеж]]/(Таблица1[[#This Row],[Годовой доход]]/12)</f>
        <v>0.10600058336511926</v>
      </c>
    </row>
    <row r="754" spans="1:21" x14ac:dyDescent="0.3">
      <c r="A754">
        <v>753</v>
      </c>
      <c r="B754">
        <v>0</v>
      </c>
      <c r="C754" s="9">
        <v>162074</v>
      </c>
      <c r="D754">
        <v>712</v>
      </c>
      <c r="E754" s="1">
        <v>583224</v>
      </c>
      <c r="F754">
        <v>0</v>
      </c>
      <c r="G754">
        <v>4665.83</v>
      </c>
      <c r="H754">
        <v>23.1</v>
      </c>
      <c r="I754">
        <v>6</v>
      </c>
      <c r="J754">
        <v>128231</v>
      </c>
      <c r="K754">
        <v>159830</v>
      </c>
      <c r="L754" t="s">
        <v>63</v>
      </c>
      <c r="M754" t="s">
        <v>795</v>
      </c>
      <c r="N754" t="s">
        <v>26</v>
      </c>
      <c r="O754" t="s">
        <v>28</v>
      </c>
      <c r="P754" t="s">
        <v>22</v>
      </c>
      <c r="Q754" t="s">
        <v>23</v>
      </c>
      <c r="R754" t="b">
        <f>OR(Таблица1[[#This Row],[Ежемесячный платеж]]&lt;$AC$5, Таблица1[[#This Row],[Ежемесячный платеж]]&gt;$AC$6)</f>
        <v>0</v>
      </c>
      <c r="S754" s="9">
        <f>(Таблица1[[#This Row],[Размер кредита]]-21824)/(789096-21824)</f>
        <v>0.18279045762128684</v>
      </c>
      <c r="T754" s="9">
        <f>(Таблица1[[#This Row],[Кредитный рейтинг]]-586)/(751-586)</f>
        <v>0.76363636363636367</v>
      </c>
      <c r="U754" s="9">
        <f>Таблица1[[#This Row],[Ежемесячный платеж]]/(Таблица1[[#This Row],[Годовой доход]]/12)</f>
        <v>9.6000781860828777E-2</v>
      </c>
    </row>
    <row r="755" spans="1:21" x14ac:dyDescent="0.3">
      <c r="A755">
        <v>754</v>
      </c>
      <c r="B755">
        <v>0</v>
      </c>
      <c r="C755" s="9">
        <v>345136</v>
      </c>
      <c r="D755">
        <v>703</v>
      </c>
      <c r="E755" s="1">
        <v>1117770</v>
      </c>
      <c r="F755">
        <v>0</v>
      </c>
      <c r="G755">
        <v>6967.49</v>
      </c>
      <c r="H755">
        <v>13.5</v>
      </c>
      <c r="I755">
        <v>8</v>
      </c>
      <c r="J755">
        <v>300846</v>
      </c>
      <c r="K755">
        <v>556468</v>
      </c>
      <c r="L755" t="s">
        <v>41</v>
      </c>
      <c r="M755" t="s">
        <v>796</v>
      </c>
      <c r="N755" t="s">
        <v>40</v>
      </c>
      <c r="O755" t="s">
        <v>34</v>
      </c>
      <c r="P755" t="s">
        <v>22</v>
      </c>
      <c r="Q755" t="s">
        <v>23</v>
      </c>
      <c r="R755" t="b">
        <f>OR(Таблица1[[#This Row],[Ежемесячный платеж]]&lt;$AC$5, Таблица1[[#This Row],[Ежемесячный платеж]]&gt;$AC$6)</f>
        <v>0</v>
      </c>
      <c r="S755" s="9">
        <f>(Таблица1[[#This Row],[Размер кредита]]-21824)/(789096-21824)</f>
        <v>0.42137859846312653</v>
      </c>
      <c r="T755" s="9">
        <f>(Таблица1[[#This Row],[Кредитный рейтинг]]-586)/(751-586)</f>
        <v>0.70909090909090911</v>
      </c>
      <c r="U755" s="9">
        <f>Таблица1[[#This Row],[Ежемесячный платеж]]/(Таблица1[[#This Row],[Годовой доход]]/12)</f>
        <v>7.4800611932687402E-2</v>
      </c>
    </row>
    <row r="756" spans="1:21" x14ac:dyDescent="0.3">
      <c r="A756">
        <v>755</v>
      </c>
      <c r="B756">
        <v>0</v>
      </c>
      <c r="C756" s="9">
        <v>266794</v>
      </c>
      <c r="D756">
        <v>686</v>
      </c>
      <c r="E756" s="1">
        <v>576042</v>
      </c>
      <c r="F756">
        <v>0</v>
      </c>
      <c r="G756">
        <v>12336.89</v>
      </c>
      <c r="H756">
        <v>5.8</v>
      </c>
      <c r="I756">
        <v>9</v>
      </c>
      <c r="J756">
        <v>233206</v>
      </c>
      <c r="K756">
        <v>342232</v>
      </c>
      <c r="L756" t="s">
        <v>37</v>
      </c>
      <c r="M756" t="s">
        <v>797</v>
      </c>
      <c r="N756" t="s">
        <v>26</v>
      </c>
      <c r="O756" t="s">
        <v>28</v>
      </c>
      <c r="P756" t="s">
        <v>31</v>
      </c>
      <c r="Q756" t="s">
        <v>23</v>
      </c>
      <c r="R756" t="b">
        <f>OR(Таблица1[[#This Row],[Ежемесячный платеж]]&lt;$AC$5, Таблица1[[#This Row],[Ежемесячный платеж]]&gt;$AC$6)</f>
        <v>0</v>
      </c>
      <c r="S756" s="9">
        <f>(Таблица1[[#This Row],[Размер кредита]]-21824)/(789096-21824)</f>
        <v>0.31927399931184769</v>
      </c>
      <c r="T756" s="9">
        <f>(Таблица1[[#This Row],[Кредитный рейтинг]]-586)/(751-586)</f>
        <v>0.60606060606060608</v>
      </c>
      <c r="U756" s="9">
        <f>Таблица1[[#This Row],[Ежемесячный платеж]]/(Таблица1[[#This Row],[Годовой доход]]/12)</f>
        <v>0.25699980209776369</v>
      </c>
    </row>
    <row r="757" spans="1:21" x14ac:dyDescent="0.3">
      <c r="A757">
        <v>756</v>
      </c>
      <c r="B757">
        <v>0</v>
      </c>
      <c r="C757" s="9">
        <v>446160</v>
      </c>
      <c r="D757">
        <v>741</v>
      </c>
      <c r="E757" s="1">
        <v>1541280</v>
      </c>
      <c r="F757">
        <v>0</v>
      </c>
      <c r="G757">
        <v>28256.799999999999</v>
      </c>
      <c r="H757">
        <v>22.1</v>
      </c>
      <c r="I757">
        <v>10</v>
      </c>
      <c r="J757">
        <v>235885</v>
      </c>
      <c r="K757">
        <v>537658</v>
      </c>
      <c r="L757" t="s">
        <v>24</v>
      </c>
      <c r="M757" t="s">
        <v>798</v>
      </c>
      <c r="N757" t="s">
        <v>26</v>
      </c>
      <c r="O757" t="s">
        <v>28</v>
      </c>
      <c r="P757" t="s">
        <v>31</v>
      </c>
      <c r="Q757" t="s">
        <v>23</v>
      </c>
      <c r="R757" t="b">
        <f>OR(Таблица1[[#This Row],[Ежемесячный платеж]]&lt;$AC$5, Таблица1[[#This Row],[Ежемесячный платеж]]&gt;$AC$6)</f>
        <v>0</v>
      </c>
      <c r="S757" s="9">
        <f>(Таблица1[[#This Row],[Размер кредита]]-21824)/(789096-21824)</f>
        <v>0.55304507397637348</v>
      </c>
      <c r="T757" s="9">
        <f>(Таблица1[[#This Row],[Кредитный рейтинг]]-586)/(751-586)</f>
        <v>0.93939393939393945</v>
      </c>
      <c r="U757" s="9">
        <f>Таблица1[[#This Row],[Ежемесячный платеж]]/(Таблица1[[#This Row],[Годовой доход]]/12)</f>
        <v>0.22</v>
      </c>
    </row>
    <row r="758" spans="1:21" x14ac:dyDescent="0.3">
      <c r="A758">
        <v>757</v>
      </c>
      <c r="B758">
        <v>1</v>
      </c>
      <c r="C758" s="9">
        <v>347028</v>
      </c>
      <c r="D758">
        <v>743</v>
      </c>
      <c r="E758" s="1">
        <v>1685889</v>
      </c>
      <c r="F758">
        <v>0</v>
      </c>
      <c r="G758">
        <v>8836.9</v>
      </c>
      <c r="H758">
        <v>16.899999999999999</v>
      </c>
      <c r="I758">
        <v>13</v>
      </c>
      <c r="J758">
        <v>127224</v>
      </c>
      <c r="K758">
        <v>403612</v>
      </c>
      <c r="L758" t="s">
        <v>47</v>
      </c>
      <c r="M758" t="s">
        <v>799</v>
      </c>
      <c r="N758" t="s">
        <v>26</v>
      </c>
      <c r="O758" t="s">
        <v>21</v>
      </c>
      <c r="P758" t="s">
        <v>22</v>
      </c>
      <c r="Q758" t="s">
        <v>23</v>
      </c>
      <c r="R758" t="b">
        <f>OR(Таблица1[[#This Row],[Ежемесячный платеж]]&lt;$AC$5, Таблица1[[#This Row],[Ежемесячный платеж]]&gt;$AC$6)</f>
        <v>0</v>
      </c>
      <c r="S758" s="9">
        <f>(Таблица1[[#This Row],[Размер кредита]]-21824)/(789096-21824)</f>
        <v>0.42384447757770388</v>
      </c>
      <c r="T758" s="9">
        <f>(Таблица1[[#This Row],[Кредитный рейтинг]]-586)/(751-586)</f>
        <v>0.95151515151515154</v>
      </c>
      <c r="U758" s="9">
        <f>Таблица1[[#This Row],[Ежемесячный платеж]]/(Таблица1[[#This Row],[Годовой доход]]/12)</f>
        <v>6.2900226527369235E-2</v>
      </c>
    </row>
    <row r="759" spans="1:21" x14ac:dyDescent="0.3">
      <c r="A759">
        <v>758</v>
      </c>
      <c r="B759">
        <v>0</v>
      </c>
      <c r="C759" s="9">
        <v>267454</v>
      </c>
      <c r="D759">
        <f>$Y$13</f>
        <v>723</v>
      </c>
      <c r="E759">
        <f>$AB$13</f>
        <v>1168044</v>
      </c>
      <c r="F759">
        <v>0</v>
      </c>
      <c r="G759">
        <v>19455.810000000001</v>
      </c>
      <c r="H759">
        <v>13.8</v>
      </c>
      <c r="I759">
        <v>17</v>
      </c>
      <c r="J759">
        <v>434302</v>
      </c>
      <c r="K759">
        <v>557502</v>
      </c>
      <c r="L759" t="s">
        <v>47</v>
      </c>
      <c r="M759" t="s">
        <v>800</v>
      </c>
      <c r="N759" t="s">
        <v>26</v>
      </c>
      <c r="O759" t="s">
        <v>34</v>
      </c>
      <c r="P759" t="s">
        <v>22</v>
      </c>
      <c r="Q759" t="s">
        <v>23</v>
      </c>
      <c r="R759" t="b">
        <f>OR(Таблица1[[#This Row],[Ежемесячный платеж]]&lt;$AC$5, Таблица1[[#This Row],[Ежемесячный платеж]]&gt;$AC$6)</f>
        <v>0</v>
      </c>
      <c r="S759" s="9">
        <f>(Таблица1[[#This Row],[Размер кредита]]-21824)/(789096-21824)</f>
        <v>0.32013418970065377</v>
      </c>
      <c r="T759" s="9">
        <f>(Таблица1[[#This Row],[Кредитный рейтинг]]-586)/(751-586)</f>
        <v>0.83030303030303032</v>
      </c>
      <c r="U759" s="9">
        <f>Таблица1[[#This Row],[Ежемесячный платеж]]/(Таблица1[[#This Row],[Годовой доход]]/12)</f>
        <v>0.19988092914308023</v>
      </c>
    </row>
    <row r="760" spans="1:21" x14ac:dyDescent="0.3">
      <c r="A760">
        <v>759</v>
      </c>
      <c r="B760">
        <v>0</v>
      </c>
      <c r="C760" s="9">
        <v>220022</v>
      </c>
      <c r="D760">
        <f>$Y$13</f>
        <v>723</v>
      </c>
      <c r="E760">
        <f>$AB$13</f>
        <v>1168044</v>
      </c>
      <c r="F760">
        <v>78</v>
      </c>
      <c r="G760">
        <v>29528.66</v>
      </c>
      <c r="H760">
        <v>22</v>
      </c>
      <c r="I760">
        <v>12</v>
      </c>
      <c r="J760">
        <v>356421</v>
      </c>
      <c r="K760">
        <v>953106</v>
      </c>
      <c r="L760" t="s">
        <v>24</v>
      </c>
      <c r="M760" t="s">
        <v>801</v>
      </c>
      <c r="N760" t="s">
        <v>26</v>
      </c>
      <c r="O760" t="s">
        <v>34</v>
      </c>
      <c r="P760" t="s">
        <v>22</v>
      </c>
      <c r="Q760" t="s">
        <v>23</v>
      </c>
      <c r="R760" t="b">
        <f>OR(Таблица1[[#This Row],[Ежемесячный платеж]]&lt;$AC$5, Таблица1[[#This Row],[Ежемесячный платеж]]&gt;$AC$6)</f>
        <v>0</v>
      </c>
      <c r="S760" s="9">
        <f>(Таблица1[[#This Row],[Размер кредита]]-21824)/(789096-21824)</f>
        <v>0.25831517375845853</v>
      </c>
      <c r="T760" s="9">
        <f>(Таблица1[[#This Row],[Кредитный рейтинг]]-586)/(751-586)</f>
        <v>0.83030303030303032</v>
      </c>
      <c r="U760" s="9">
        <f>Таблица1[[#This Row],[Ежемесячный платеж]]/(Таблица1[[#This Row],[Годовой доход]]/12)</f>
        <v>0.30336521569392932</v>
      </c>
    </row>
    <row r="761" spans="1:21" x14ac:dyDescent="0.3">
      <c r="A761">
        <v>760</v>
      </c>
      <c r="B761">
        <v>0</v>
      </c>
      <c r="C761" s="9">
        <v>283426</v>
      </c>
      <c r="D761">
        <v>738</v>
      </c>
      <c r="E761" s="1">
        <v>1355688</v>
      </c>
      <c r="F761">
        <v>0</v>
      </c>
      <c r="G761">
        <v>9015.31</v>
      </c>
      <c r="H761">
        <v>22.8</v>
      </c>
      <c r="I761">
        <v>7</v>
      </c>
      <c r="J761">
        <v>342665</v>
      </c>
      <c r="K761">
        <v>549538</v>
      </c>
      <c r="L761" t="s">
        <v>24</v>
      </c>
      <c r="M761" t="s">
        <v>802</v>
      </c>
      <c r="N761" t="s">
        <v>68</v>
      </c>
      <c r="O761" t="s">
        <v>21</v>
      </c>
      <c r="P761" t="s">
        <v>31</v>
      </c>
      <c r="Q761" t="s">
        <v>23</v>
      </c>
      <c r="R761" t="b">
        <f>OR(Таблица1[[#This Row],[Ежемесячный платеж]]&lt;$AC$5, Таблица1[[#This Row],[Ежемесячный платеж]]&gt;$AC$6)</f>
        <v>0</v>
      </c>
      <c r="S761" s="9">
        <f>(Таблица1[[#This Row],[Размер кредита]]-21824)/(789096-21824)</f>
        <v>0.34095079710976028</v>
      </c>
      <c r="T761" s="9">
        <f>(Таблица1[[#This Row],[Кредитный рейтинг]]-586)/(751-586)</f>
        <v>0.92121212121212126</v>
      </c>
      <c r="U761" s="9">
        <f>Таблица1[[#This Row],[Ежемесячный платеж]]/(Таблица1[[#This Row],[Годовой доход]]/12)</f>
        <v>7.9799865455768573E-2</v>
      </c>
    </row>
    <row r="762" spans="1:21" x14ac:dyDescent="0.3">
      <c r="A762">
        <v>761</v>
      </c>
      <c r="B762">
        <v>0</v>
      </c>
      <c r="C762" s="9">
        <v>270556</v>
      </c>
      <c r="D762">
        <v>724</v>
      </c>
      <c r="E762" s="1">
        <v>1752408</v>
      </c>
      <c r="F762">
        <v>70</v>
      </c>
      <c r="G762">
        <v>24095.61</v>
      </c>
      <c r="H762">
        <v>23.5</v>
      </c>
      <c r="I762">
        <v>7</v>
      </c>
      <c r="J762">
        <v>286387</v>
      </c>
      <c r="K762">
        <v>908490</v>
      </c>
      <c r="L762" t="s">
        <v>24</v>
      </c>
      <c r="M762" t="s">
        <v>803</v>
      </c>
      <c r="N762" t="s">
        <v>20</v>
      </c>
      <c r="O762" t="s">
        <v>28</v>
      </c>
      <c r="P762" t="s">
        <v>22</v>
      </c>
      <c r="Q762" t="s">
        <v>23</v>
      </c>
      <c r="R762" t="b">
        <f>OR(Таблица1[[#This Row],[Ежемесячный платеж]]&lt;$AC$5, Таблица1[[#This Row],[Ежемесячный платеж]]&gt;$AC$6)</f>
        <v>0</v>
      </c>
      <c r="S762" s="9">
        <f>(Таблица1[[#This Row],[Размер кредита]]-21824)/(789096-21824)</f>
        <v>0.32417708452804223</v>
      </c>
      <c r="T762" s="9">
        <f>(Таблица1[[#This Row],[Кредитный рейтинг]]-586)/(751-586)</f>
        <v>0.83636363636363631</v>
      </c>
      <c r="U762" s="9">
        <f>Таблица1[[#This Row],[Ежемесячный платеж]]/(Таблица1[[#This Row],[Годовой доход]]/12)</f>
        <v>0.16500000000000001</v>
      </c>
    </row>
    <row r="763" spans="1:21" x14ac:dyDescent="0.3">
      <c r="A763">
        <v>762</v>
      </c>
      <c r="B763">
        <v>0</v>
      </c>
      <c r="C763" s="9">
        <v>322476</v>
      </c>
      <c r="D763">
        <v>711</v>
      </c>
      <c r="E763" s="1">
        <v>1262550</v>
      </c>
      <c r="F763">
        <v>11</v>
      </c>
      <c r="G763">
        <v>24198.59</v>
      </c>
      <c r="H763">
        <v>17.5</v>
      </c>
      <c r="I763">
        <v>9</v>
      </c>
      <c r="J763">
        <v>321024</v>
      </c>
      <c r="K763">
        <v>477158</v>
      </c>
      <c r="L763" t="s">
        <v>63</v>
      </c>
      <c r="M763" t="s">
        <v>804</v>
      </c>
      <c r="N763" t="s">
        <v>71</v>
      </c>
      <c r="O763" t="s">
        <v>28</v>
      </c>
      <c r="P763" t="s">
        <v>22</v>
      </c>
      <c r="Q763" t="s">
        <v>23</v>
      </c>
      <c r="R763" t="b">
        <f>OR(Таблица1[[#This Row],[Ежемесячный платеж]]&lt;$AC$5, Таблица1[[#This Row],[Ежемесячный платеж]]&gt;$AC$6)</f>
        <v>0</v>
      </c>
      <c r="S763" s="9">
        <f>(Таблица1[[#This Row],[Размер кредита]]-21824)/(789096-21824)</f>
        <v>0.39184539511411859</v>
      </c>
      <c r="T763" s="9">
        <f>(Таблица1[[#This Row],[Кредитный рейтинг]]-586)/(751-586)</f>
        <v>0.75757575757575757</v>
      </c>
      <c r="U763" s="9">
        <f>Таблица1[[#This Row],[Ежемесячный платеж]]/(Таблица1[[#This Row],[Годовой доход]]/12)</f>
        <v>0.22999729119638826</v>
      </c>
    </row>
    <row r="764" spans="1:21" x14ac:dyDescent="0.3">
      <c r="A764">
        <v>763</v>
      </c>
      <c r="B764">
        <v>0</v>
      </c>
      <c r="C764" s="9">
        <v>441364</v>
      </c>
      <c r="D764">
        <v>691</v>
      </c>
      <c r="E764" s="1">
        <v>1315066</v>
      </c>
      <c r="F764">
        <v>9</v>
      </c>
      <c r="G764">
        <v>16986.189999999999</v>
      </c>
      <c r="H764">
        <v>22.6</v>
      </c>
      <c r="I764">
        <v>12</v>
      </c>
      <c r="J764">
        <v>233035</v>
      </c>
      <c r="K764">
        <v>439472</v>
      </c>
      <c r="L764" t="s">
        <v>24</v>
      </c>
      <c r="M764" t="s">
        <v>805</v>
      </c>
      <c r="N764" t="s">
        <v>26</v>
      </c>
      <c r="O764" t="s">
        <v>21</v>
      </c>
      <c r="P764" t="s">
        <v>22</v>
      </c>
      <c r="Q764" t="s">
        <v>23</v>
      </c>
      <c r="R764" t="b">
        <f>OR(Таблица1[[#This Row],[Ежемесячный платеж]]&lt;$AC$5, Таблица1[[#This Row],[Ежемесячный платеж]]&gt;$AC$6)</f>
        <v>0</v>
      </c>
      <c r="S764" s="9">
        <f>(Таблица1[[#This Row],[Размер кредита]]-21824)/(789096-21824)</f>
        <v>0.5467943571510494</v>
      </c>
      <c r="T764" s="9">
        <f>(Таблица1[[#This Row],[Кредитный рейтинг]]-586)/(751-586)</f>
        <v>0.63636363636363635</v>
      </c>
      <c r="U764" s="9">
        <f>Таблица1[[#This Row],[Ежемесячный платеж]]/(Таблица1[[#This Row],[Годовой доход]]/12)</f>
        <v>0.15499927760279711</v>
      </c>
    </row>
    <row r="765" spans="1:21" x14ac:dyDescent="0.3">
      <c r="A765">
        <v>764</v>
      </c>
      <c r="B765">
        <v>1</v>
      </c>
      <c r="D765">
        <v>726</v>
      </c>
      <c r="E765" s="1">
        <v>1488289</v>
      </c>
      <c r="F765">
        <v>0</v>
      </c>
      <c r="G765">
        <v>35099.08</v>
      </c>
      <c r="H765">
        <v>15.4</v>
      </c>
      <c r="I765">
        <v>15</v>
      </c>
      <c r="J765">
        <v>187929</v>
      </c>
      <c r="K765">
        <v>465960</v>
      </c>
      <c r="L765" t="s">
        <v>52</v>
      </c>
      <c r="M765" t="s">
        <v>806</v>
      </c>
      <c r="N765" t="s">
        <v>26</v>
      </c>
      <c r="O765" t="s">
        <v>21</v>
      </c>
      <c r="P765" t="s">
        <v>22</v>
      </c>
      <c r="Q765" t="s">
        <v>23</v>
      </c>
      <c r="R765" t="b">
        <f>OR(Таблица1[[#This Row],[Ежемесячный платеж]]&lt;$AC$5, Таблица1[[#This Row],[Ежемесячный платеж]]&gt;$AC$6)</f>
        <v>0</v>
      </c>
      <c r="T765" s="9">
        <f>(Таблица1[[#This Row],[Кредитный рейтинг]]-586)/(751-586)</f>
        <v>0.84848484848484851</v>
      </c>
      <c r="U765" s="9">
        <f>Таблица1[[#This Row],[Ежемесячный платеж]]/(Таблица1[[#This Row],[Годовой доход]]/12)</f>
        <v>0.28300213197839941</v>
      </c>
    </row>
    <row r="766" spans="1:21" x14ac:dyDescent="0.3">
      <c r="A766">
        <v>765</v>
      </c>
      <c r="B766">
        <v>0</v>
      </c>
      <c r="C766" s="9">
        <v>247786</v>
      </c>
      <c r="D766">
        <v>748</v>
      </c>
      <c r="E766" s="1">
        <v>1361787</v>
      </c>
      <c r="F766">
        <v>0</v>
      </c>
      <c r="G766">
        <v>13288.79</v>
      </c>
      <c r="H766">
        <v>14.3</v>
      </c>
      <c r="I766">
        <v>13</v>
      </c>
      <c r="J766">
        <v>211831</v>
      </c>
      <c r="K766">
        <v>1075800</v>
      </c>
      <c r="L766" t="s">
        <v>41</v>
      </c>
      <c r="M766" t="s">
        <v>807</v>
      </c>
      <c r="N766" t="s">
        <v>26</v>
      </c>
      <c r="O766" t="s">
        <v>21</v>
      </c>
      <c r="P766" t="s">
        <v>22</v>
      </c>
      <c r="Q766" t="s">
        <v>23</v>
      </c>
      <c r="R766" t="b">
        <f>OR(Таблица1[[#This Row],[Ежемесячный платеж]]&lt;$AC$5, Таблица1[[#This Row],[Ежемесячный платеж]]&gt;$AC$6)</f>
        <v>0</v>
      </c>
      <c r="S766" s="9">
        <f>(Таблица1[[#This Row],[Размер кредита]]-21824)/(789096-21824)</f>
        <v>0.29450051611423328</v>
      </c>
      <c r="T766" s="9">
        <f>(Таблица1[[#This Row],[Кредитный рейтинг]]-586)/(751-586)</f>
        <v>0.98181818181818181</v>
      </c>
      <c r="U766" s="9">
        <f>Таблица1[[#This Row],[Ежемесячный платеж]]/(Таблица1[[#This Row],[Годовой доход]]/12)</f>
        <v>0.11710016324138797</v>
      </c>
    </row>
    <row r="767" spans="1:21" x14ac:dyDescent="0.3">
      <c r="A767">
        <v>766</v>
      </c>
      <c r="B767">
        <v>0</v>
      </c>
      <c r="C767" s="9">
        <v>334070</v>
      </c>
      <c r="D767">
        <v>704</v>
      </c>
      <c r="E767" s="1">
        <v>927523</v>
      </c>
      <c r="F767">
        <v>24</v>
      </c>
      <c r="G767">
        <v>5132.28</v>
      </c>
      <c r="H767">
        <v>20.5</v>
      </c>
      <c r="I767">
        <v>11</v>
      </c>
      <c r="J767">
        <v>226537</v>
      </c>
      <c r="K767">
        <v>495858</v>
      </c>
      <c r="L767" t="s">
        <v>24</v>
      </c>
      <c r="M767" t="s">
        <v>808</v>
      </c>
      <c r="N767" t="s">
        <v>26</v>
      </c>
      <c r="O767" t="s">
        <v>34</v>
      </c>
      <c r="P767" t="s">
        <v>22</v>
      </c>
      <c r="Q767" t="s">
        <v>23</v>
      </c>
      <c r="R767" t="b">
        <f>OR(Таблица1[[#This Row],[Ежемесячный платеж]]&lt;$AC$5, Таблица1[[#This Row],[Ежемесячный платеж]]&gt;$AC$6)</f>
        <v>0</v>
      </c>
      <c r="S767" s="9">
        <f>(Таблица1[[#This Row],[Размер кредита]]-21824)/(789096-21824)</f>
        <v>0.40695607294414499</v>
      </c>
      <c r="T767" s="9">
        <f>(Таблица1[[#This Row],[Кредитный рейтинг]]-586)/(751-586)</f>
        <v>0.7151515151515152</v>
      </c>
      <c r="U767" s="9">
        <f>Таблица1[[#This Row],[Ежемесячный платеж]]/(Таблица1[[#This Row],[Годовой доход]]/12)</f>
        <v>6.6399819734928409E-2</v>
      </c>
    </row>
    <row r="768" spans="1:21" x14ac:dyDescent="0.3">
      <c r="A768">
        <v>767</v>
      </c>
      <c r="B768">
        <v>0</v>
      </c>
      <c r="C768" s="9">
        <v>54824</v>
      </c>
      <c r="D768">
        <v>747</v>
      </c>
      <c r="E768" s="1">
        <v>830813</v>
      </c>
      <c r="F768">
        <v>0</v>
      </c>
      <c r="G768">
        <v>5130.38</v>
      </c>
      <c r="H768">
        <v>24.2</v>
      </c>
      <c r="I768">
        <v>13</v>
      </c>
      <c r="J768">
        <v>76665</v>
      </c>
      <c r="K768">
        <v>1431650</v>
      </c>
      <c r="L768" t="s">
        <v>24</v>
      </c>
      <c r="M768" s="2" t="s">
        <v>809</v>
      </c>
      <c r="N768" t="s">
        <v>76</v>
      </c>
      <c r="O768" t="s">
        <v>21</v>
      </c>
      <c r="P768" t="s">
        <v>31</v>
      </c>
      <c r="Q768" t="s">
        <v>23</v>
      </c>
      <c r="R768" t="b">
        <f>OR(Таблица1[[#This Row],[Ежемесячный платеж]]&lt;$AC$5, Таблица1[[#This Row],[Ежемесячный платеж]]&gt;$AC$6)</f>
        <v>0</v>
      </c>
      <c r="S768" s="9">
        <f>(Таблица1[[#This Row],[Размер кредита]]-21824)/(789096-21824)</f>
        <v>4.300951944030279E-2</v>
      </c>
      <c r="T768" s="9">
        <f>(Таблица1[[#This Row],[Кредитный рейтинг]]-586)/(751-586)</f>
        <v>0.97575757575757571</v>
      </c>
      <c r="U768" s="9">
        <f>Таблица1[[#This Row],[Ежемесячный платеж]]/(Таблица1[[#This Row],[Годовой доход]]/12)</f>
        <v>7.4101584833169434E-2</v>
      </c>
    </row>
    <row r="769" spans="1:21" x14ac:dyDescent="0.3">
      <c r="A769">
        <v>768</v>
      </c>
      <c r="B769">
        <v>0</v>
      </c>
      <c r="D769">
        <v>704</v>
      </c>
      <c r="E769" s="1">
        <v>1139658</v>
      </c>
      <c r="F769">
        <v>25</v>
      </c>
      <c r="G769">
        <v>14815.63</v>
      </c>
      <c r="H769">
        <v>21.9</v>
      </c>
      <c r="I769">
        <v>17</v>
      </c>
      <c r="J769">
        <v>489782</v>
      </c>
      <c r="K769">
        <v>624580</v>
      </c>
      <c r="L769" t="s">
        <v>52</v>
      </c>
      <c r="M769" t="s">
        <v>810</v>
      </c>
      <c r="N769" t="s">
        <v>26</v>
      </c>
      <c r="O769" t="s">
        <v>21</v>
      </c>
      <c r="P769" t="s">
        <v>31</v>
      </c>
      <c r="Q769" t="s">
        <v>23</v>
      </c>
      <c r="R769" t="b">
        <f>OR(Таблица1[[#This Row],[Ежемесячный платеж]]&lt;$AC$5, Таблица1[[#This Row],[Ежемесячный платеж]]&gt;$AC$6)</f>
        <v>0</v>
      </c>
      <c r="T769" s="9">
        <f>(Таблица1[[#This Row],[Кредитный рейтинг]]-586)/(751-586)</f>
        <v>0.7151515151515152</v>
      </c>
      <c r="U769" s="9">
        <f>Таблица1[[#This Row],[Ежемесячный платеж]]/(Таблица1[[#This Row],[Годовой доход]]/12)</f>
        <v>0.15600080024007201</v>
      </c>
    </row>
    <row r="770" spans="1:21" x14ac:dyDescent="0.3">
      <c r="A770">
        <v>769</v>
      </c>
      <c r="B770">
        <v>0</v>
      </c>
      <c r="C770" s="9">
        <v>403480</v>
      </c>
      <c r="D770">
        <v>713</v>
      </c>
      <c r="E770" s="1">
        <v>2710274</v>
      </c>
      <c r="F770">
        <v>0</v>
      </c>
      <c r="G770">
        <v>49236.6</v>
      </c>
      <c r="H770">
        <v>16.5</v>
      </c>
      <c r="I770">
        <v>14</v>
      </c>
      <c r="J770">
        <v>673873</v>
      </c>
      <c r="K770">
        <v>865040</v>
      </c>
      <c r="L770" t="s">
        <v>24</v>
      </c>
      <c r="M770" t="s">
        <v>811</v>
      </c>
      <c r="N770" t="s">
        <v>26</v>
      </c>
      <c r="O770" t="s">
        <v>28</v>
      </c>
      <c r="P770" t="s">
        <v>22</v>
      </c>
      <c r="Q770" t="s">
        <v>23</v>
      </c>
      <c r="R770" t="b">
        <f>OR(Таблица1[[#This Row],[Ежемесячный платеж]]&lt;$AC$5, Таблица1[[#This Row],[Ежемесячный платеж]]&gt;$AC$6)</f>
        <v>1</v>
      </c>
      <c r="S770" s="9">
        <f>(Таблица1[[#This Row],[Размер кредита]]-21824)/(789096-21824)</f>
        <v>0.49741942883358181</v>
      </c>
      <c r="T770" s="9">
        <f>(Таблица1[[#This Row],[Кредитный рейтинг]]-586)/(751-586)</f>
        <v>0.76969696969696966</v>
      </c>
      <c r="U770" s="9">
        <f>Таблица1[[#This Row],[Ежемесячный платеж]]/(Таблица1[[#This Row],[Годовой доход]]/12)</f>
        <v>0.2179998037098832</v>
      </c>
    </row>
    <row r="771" spans="1:21" x14ac:dyDescent="0.3">
      <c r="A771">
        <v>770</v>
      </c>
      <c r="B771">
        <v>0</v>
      </c>
      <c r="C771" s="9">
        <v>105468</v>
      </c>
      <c r="D771">
        <v>738</v>
      </c>
      <c r="E771" s="1">
        <v>702088</v>
      </c>
      <c r="F771">
        <v>42</v>
      </c>
      <c r="G771">
        <v>1006.24</v>
      </c>
      <c r="H771">
        <v>9.4</v>
      </c>
      <c r="I771">
        <v>13</v>
      </c>
      <c r="J771">
        <v>28139</v>
      </c>
      <c r="K771">
        <v>221650</v>
      </c>
      <c r="L771" t="s">
        <v>47</v>
      </c>
      <c r="M771" t="s">
        <v>812</v>
      </c>
      <c r="N771" t="s">
        <v>68</v>
      </c>
      <c r="O771" t="s">
        <v>34</v>
      </c>
      <c r="P771" t="s">
        <v>22</v>
      </c>
      <c r="Q771" t="s">
        <v>36</v>
      </c>
      <c r="R771" t="b">
        <f>OR(Таблица1[[#This Row],[Ежемесячный платеж]]&lt;$AC$5, Таблица1[[#This Row],[Ежемесячный платеж]]&gt;$AC$6)</f>
        <v>0</v>
      </c>
      <c r="S771" s="9">
        <f>(Таблица1[[#This Row],[Размер кредита]]-21824)/(789096-21824)</f>
        <v>0.10901479527468746</v>
      </c>
      <c r="T771" s="9">
        <f>(Таблица1[[#This Row],[Кредитный рейтинг]]-586)/(751-586)</f>
        <v>0.92121212121212126</v>
      </c>
      <c r="U771" s="9">
        <f>Таблица1[[#This Row],[Ежемесячный платеж]]/(Таблица1[[#This Row],[Годовой доход]]/12)</f>
        <v>1.719852781987443E-2</v>
      </c>
    </row>
    <row r="772" spans="1:21" x14ac:dyDescent="0.3">
      <c r="A772">
        <v>771</v>
      </c>
      <c r="B772">
        <v>0</v>
      </c>
      <c r="D772">
        <v>612</v>
      </c>
      <c r="E772" s="1">
        <v>2279544</v>
      </c>
      <c r="F772">
        <v>54</v>
      </c>
      <c r="G772">
        <v>50339.93</v>
      </c>
      <c r="H772">
        <v>26.3</v>
      </c>
      <c r="I772">
        <v>18</v>
      </c>
      <c r="J772">
        <v>533672</v>
      </c>
      <c r="K772">
        <v>698258</v>
      </c>
      <c r="L772" t="s">
        <v>29</v>
      </c>
      <c r="M772" t="s">
        <v>813</v>
      </c>
      <c r="N772" t="s">
        <v>26</v>
      </c>
      <c r="O772" t="s">
        <v>21</v>
      </c>
      <c r="P772" t="s">
        <v>31</v>
      </c>
      <c r="Q772" t="s">
        <v>23</v>
      </c>
      <c r="R772" t="b">
        <f>OR(Таблица1[[#This Row],[Ежемесячный платеж]]&lt;$AC$5, Таблица1[[#This Row],[Ежемесячный платеж]]&gt;$AC$6)</f>
        <v>1</v>
      </c>
      <c r="T772" s="9">
        <f>(Таблица1[[#This Row],[Кредитный рейтинг]]-586)/(751-586)</f>
        <v>0.15757575757575756</v>
      </c>
      <c r="U772" s="9">
        <f>Таблица1[[#This Row],[Ежемесячный платеж]]/(Таблица1[[#This Row],[Годовой доход]]/12)</f>
        <v>0.26500000000000001</v>
      </c>
    </row>
    <row r="773" spans="1:21" x14ac:dyDescent="0.3">
      <c r="A773">
        <v>772</v>
      </c>
      <c r="B773">
        <v>0</v>
      </c>
      <c r="C773" s="9">
        <v>137852</v>
      </c>
      <c r="D773">
        <v>732</v>
      </c>
      <c r="E773" s="1">
        <v>1395227</v>
      </c>
      <c r="F773">
        <v>52</v>
      </c>
      <c r="G773">
        <v>2813.71</v>
      </c>
      <c r="H773">
        <v>21.2</v>
      </c>
      <c r="I773">
        <v>10</v>
      </c>
      <c r="J773">
        <v>76627</v>
      </c>
      <c r="K773">
        <v>243078</v>
      </c>
      <c r="L773" t="s">
        <v>24</v>
      </c>
      <c r="M773" t="s">
        <v>814</v>
      </c>
      <c r="N773" t="s">
        <v>26</v>
      </c>
      <c r="O773" t="s">
        <v>21</v>
      </c>
      <c r="P773" t="s">
        <v>22</v>
      </c>
      <c r="Q773" t="s">
        <v>23</v>
      </c>
      <c r="R773" t="b">
        <f>OR(Таблица1[[#This Row],[Ежемесячный платеж]]&lt;$AC$5, Таблица1[[#This Row],[Ежемесячный платеж]]&gt;$AC$6)</f>
        <v>0</v>
      </c>
      <c r="S773" s="9">
        <f>(Таблица1[[#This Row],[Размер кредита]]-21824)/(789096-21824)</f>
        <v>0.15122147035210459</v>
      </c>
      <c r="T773" s="9">
        <f>(Таблица1[[#This Row],[Кредитный рейтинг]]-586)/(751-586)</f>
        <v>0.88484848484848488</v>
      </c>
      <c r="U773" s="9">
        <f>Таблица1[[#This Row],[Ежемесячный платеж]]/(Таблица1[[#This Row],[Годовой доход]]/12)</f>
        <v>2.4200019064998024E-2</v>
      </c>
    </row>
    <row r="774" spans="1:21" x14ac:dyDescent="0.3">
      <c r="A774">
        <v>773</v>
      </c>
      <c r="B774">
        <v>0</v>
      </c>
      <c r="C774" s="9">
        <v>131274</v>
      </c>
      <c r="D774">
        <v>723</v>
      </c>
      <c r="E774" s="1">
        <v>543837</v>
      </c>
      <c r="F774">
        <v>0</v>
      </c>
      <c r="G774">
        <v>10378.18</v>
      </c>
      <c r="H774">
        <v>14.3</v>
      </c>
      <c r="I774">
        <v>4</v>
      </c>
      <c r="J774">
        <v>83942</v>
      </c>
      <c r="K774">
        <v>126390</v>
      </c>
      <c r="L774" t="s">
        <v>47</v>
      </c>
      <c r="M774" t="s">
        <v>815</v>
      </c>
      <c r="N774" t="s">
        <v>26</v>
      </c>
      <c r="O774" t="s">
        <v>34</v>
      </c>
      <c r="P774" t="s">
        <v>22</v>
      </c>
      <c r="Q774" t="s">
        <v>23</v>
      </c>
      <c r="R774" t="b">
        <f>OR(Таблица1[[#This Row],[Ежемесячный платеж]]&lt;$AC$5, Таблица1[[#This Row],[Ежемесячный платеж]]&gt;$AC$6)</f>
        <v>0</v>
      </c>
      <c r="S774" s="9">
        <f>(Таблица1[[#This Row],[Размер кредита]]-21824)/(789096-21824)</f>
        <v>0.14264823947700425</v>
      </c>
      <c r="T774" s="9">
        <f>(Таблица1[[#This Row],[Кредитный рейтинг]]-586)/(751-586)</f>
        <v>0.83030303030303032</v>
      </c>
      <c r="U774" s="9">
        <f>Таблица1[[#This Row],[Ежемесячный платеж]]/(Таблица1[[#This Row],[Годовой доход]]/12)</f>
        <v>0.22899905670265172</v>
      </c>
    </row>
    <row r="775" spans="1:21" x14ac:dyDescent="0.3">
      <c r="A775">
        <v>774</v>
      </c>
      <c r="B775">
        <v>0</v>
      </c>
      <c r="C775" s="9">
        <v>182116</v>
      </c>
      <c r="D775">
        <f>$Y$13</f>
        <v>723</v>
      </c>
      <c r="E775">
        <f>$AB$13</f>
        <v>1168044</v>
      </c>
      <c r="F775">
        <v>69</v>
      </c>
      <c r="G775">
        <v>3389.22</v>
      </c>
      <c r="H775">
        <v>21.9</v>
      </c>
      <c r="I775">
        <v>6</v>
      </c>
      <c r="J775">
        <v>92663</v>
      </c>
      <c r="K775">
        <v>264286</v>
      </c>
      <c r="L775" t="s">
        <v>24</v>
      </c>
      <c r="M775" t="s">
        <v>816</v>
      </c>
      <c r="N775" t="s">
        <v>26</v>
      </c>
      <c r="O775" t="s">
        <v>34</v>
      </c>
      <c r="P775" t="s">
        <v>22</v>
      </c>
      <c r="Q775" t="s">
        <v>23</v>
      </c>
      <c r="R775" t="b">
        <f>OR(Таблица1[[#This Row],[Ежемесячный платеж]]&lt;$AC$5, Таблица1[[#This Row],[Ежемесячный платеж]]&gt;$AC$6)</f>
        <v>0</v>
      </c>
      <c r="S775" s="9">
        <f>(Таблица1[[#This Row],[Размер кредита]]-21824)/(789096-21824)</f>
        <v>0.20891157242803074</v>
      </c>
      <c r="T775" s="9">
        <f>(Таблица1[[#This Row],[Кредитный рейтинг]]-586)/(751-586)</f>
        <v>0.83030303030303032</v>
      </c>
      <c r="U775" s="9">
        <f>Таблица1[[#This Row],[Ежемесячный платеж]]/(Таблица1[[#This Row],[Годовой доход]]/12)</f>
        <v>3.4819441733359359E-2</v>
      </c>
    </row>
    <row r="776" spans="1:21" x14ac:dyDescent="0.3">
      <c r="A776">
        <v>775</v>
      </c>
      <c r="B776">
        <v>0</v>
      </c>
      <c r="C776" s="9">
        <v>46156</v>
      </c>
      <c r="D776">
        <v>654</v>
      </c>
      <c r="E776" s="1">
        <v>1640745</v>
      </c>
      <c r="F776">
        <v>63</v>
      </c>
      <c r="G776">
        <v>31721.26</v>
      </c>
      <c r="H776">
        <v>16.7</v>
      </c>
      <c r="I776">
        <v>8</v>
      </c>
      <c r="J776">
        <v>164008</v>
      </c>
      <c r="K776">
        <v>199914</v>
      </c>
      <c r="L776" t="s">
        <v>69</v>
      </c>
      <c r="M776" t="s">
        <v>817</v>
      </c>
      <c r="N776" t="s">
        <v>71</v>
      </c>
      <c r="O776" t="s">
        <v>21</v>
      </c>
      <c r="P776" t="s">
        <v>22</v>
      </c>
      <c r="Q776" t="s">
        <v>36</v>
      </c>
      <c r="R776" t="b">
        <f>OR(Таблица1[[#This Row],[Ежемесячный платеж]]&lt;$AC$5, Таблица1[[#This Row],[Ежемесячный платеж]]&gt;$AC$6)</f>
        <v>0</v>
      </c>
      <c r="S776" s="9">
        <f>(Таблица1[[#This Row],[Размер кредита]]-21824)/(789096-21824)</f>
        <v>3.1712352333983257E-2</v>
      </c>
      <c r="T776" s="9">
        <f>(Таблица1[[#This Row],[Кредитный рейтинг]]-586)/(751-586)</f>
        <v>0.41212121212121211</v>
      </c>
      <c r="U776" s="9">
        <f>Таблица1[[#This Row],[Ежемесячный платеж]]/(Таблица1[[#This Row],[Годовой доход]]/12)</f>
        <v>0.23200138961264546</v>
      </c>
    </row>
    <row r="777" spans="1:21" x14ac:dyDescent="0.3">
      <c r="A777">
        <v>776</v>
      </c>
      <c r="B777">
        <v>0</v>
      </c>
      <c r="C777" s="9">
        <v>67496</v>
      </c>
      <c r="D777">
        <v>725</v>
      </c>
      <c r="E777" s="1">
        <v>582825</v>
      </c>
      <c r="F777">
        <v>0</v>
      </c>
      <c r="G777">
        <v>5925.34</v>
      </c>
      <c r="H777">
        <v>5.5</v>
      </c>
      <c r="I777">
        <v>5</v>
      </c>
      <c r="J777">
        <v>33706</v>
      </c>
      <c r="K777">
        <v>112486</v>
      </c>
      <c r="L777" t="s">
        <v>24</v>
      </c>
      <c r="M777" t="s">
        <v>818</v>
      </c>
      <c r="N777" t="s">
        <v>26</v>
      </c>
      <c r="O777" t="s">
        <v>34</v>
      </c>
      <c r="P777" t="s">
        <v>22</v>
      </c>
      <c r="Q777" t="s">
        <v>23</v>
      </c>
      <c r="R777" t="b">
        <f>OR(Таблица1[[#This Row],[Ежемесячный платеж]]&lt;$AC$5, Таблица1[[#This Row],[Ежемесячный платеж]]&gt;$AC$6)</f>
        <v>0</v>
      </c>
      <c r="S777" s="9">
        <f>(Таблица1[[#This Row],[Размер кредита]]-21824)/(789096-21824)</f>
        <v>5.9525174905379057E-2</v>
      </c>
      <c r="T777" s="9">
        <f>(Таблица1[[#This Row],[Кредитный рейтинг]]-586)/(751-586)</f>
        <v>0.84242424242424241</v>
      </c>
      <c r="U777" s="9">
        <f>Таблица1[[#This Row],[Ежемесячный платеж]]/(Таблица1[[#This Row],[Годовой доход]]/12)</f>
        <v>0.12199902200488998</v>
      </c>
    </row>
    <row r="778" spans="1:21" x14ac:dyDescent="0.3">
      <c r="A778">
        <v>777</v>
      </c>
      <c r="B778">
        <v>0</v>
      </c>
      <c r="C778" s="9">
        <v>138380</v>
      </c>
      <c r="D778">
        <v>735</v>
      </c>
      <c r="E778" s="1">
        <v>485792</v>
      </c>
      <c r="F778">
        <v>0</v>
      </c>
      <c r="G778">
        <v>8055.81</v>
      </c>
      <c r="H778">
        <v>17.100000000000001</v>
      </c>
      <c r="I778">
        <v>8</v>
      </c>
      <c r="J778">
        <v>117838</v>
      </c>
      <c r="K778">
        <v>339394</v>
      </c>
      <c r="L778" t="s">
        <v>63</v>
      </c>
      <c r="M778" t="s">
        <v>819</v>
      </c>
      <c r="N778" t="s">
        <v>26</v>
      </c>
      <c r="O778" t="s">
        <v>34</v>
      </c>
      <c r="P778" t="s">
        <v>22</v>
      </c>
      <c r="Q778" t="s">
        <v>36</v>
      </c>
      <c r="R778" t="b">
        <f>OR(Таблица1[[#This Row],[Ежемесячный платеж]]&lt;$AC$5, Таблица1[[#This Row],[Ежемесячный платеж]]&gt;$AC$6)</f>
        <v>0</v>
      </c>
      <c r="S778" s="9">
        <f>(Таблица1[[#This Row],[Размер кредита]]-21824)/(789096-21824)</f>
        <v>0.15190962266314945</v>
      </c>
      <c r="T778" s="9">
        <f>(Таблица1[[#This Row],[Кредитный рейтинг]]-586)/(751-586)</f>
        <v>0.90303030303030307</v>
      </c>
      <c r="U778" s="9">
        <f>Таблица1[[#This Row],[Ежемесячный платеж]]/(Таблица1[[#This Row],[Годовой доход]]/12)</f>
        <v>0.19899405506883608</v>
      </c>
    </row>
    <row r="779" spans="1:21" x14ac:dyDescent="0.3">
      <c r="A779">
        <v>778</v>
      </c>
      <c r="B779">
        <v>7</v>
      </c>
      <c r="C779" s="9">
        <v>172436</v>
      </c>
      <c r="D779">
        <v>740</v>
      </c>
      <c r="E779" s="1">
        <v>1340222</v>
      </c>
      <c r="F779">
        <v>0</v>
      </c>
      <c r="G779">
        <v>14965.92</v>
      </c>
      <c r="H779">
        <v>19.8</v>
      </c>
      <c r="I779">
        <v>6</v>
      </c>
      <c r="J779">
        <v>178410</v>
      </c>
      <c r="K779">
        <v>398816</v>
      </c>
      <c r="L779" t="s">
        <v>52</v>
      </c>
      <c r="M779" t="s">
        <v>820</v>
      </c>
      <c r="N779" t="s">
        <v>26</v>
      </c>
      <c r="O779" t="s">
        <v>28</v>
      </c>
      <c r="P779" t="s">
        <v>22</v>
      </c>
      <c r="Q779" t="s">
        <v>23</v>
      </c>
      <c r="R779" t="b">
        <f>OR(Таблица1[[#This Row],[Ежемесячный платеж]]&lt;$AC$5, Таблица1[[#This Row],[Ежемесячный платеж]]&gt;$AC$6)</f>
        <v>0</v>
      </c>
      <c r="S779" s="9">
        <f>(Таблица1[[#This Row],[Размер кредита]]-21824)/(789096-21824)</f>
        <v>0.19629544672554192</v>
      </c>
      <c r="T779" s="9">
        <f>(Таблица1[[#This Row],[Кредитный рейтинг]]-586)/(751-586)</f>
        <v>0.93333333333333335</v>
      </c>
      <c r="U779" s="9">
        <f>Таблица1[[#This Row],[Ежемесячный платеж]]/(Таблица1[[#This Row],[Годовой доход]]/12)</f>
        <v>0.13400096401939379</v>
      </c>
    </row>
    <row r="780" spans="1:21" x14ac:dyDescent="0.3">
      <c r="A780">
        <v>779</v>
      </c>
      <c r="B780">
        <v>0</v>
      </c>
      <c r="C780" s="9">
        <v>788326</v>
      </c>
      <c r="D780">
        <f>$Y$13</f>
        <v>723</v>
      </c>
      <c r="E780">
        <f>$AB$13</f>
        <v>1168044</v>
      </c>
      <c r="F780">
        <v>42</v>
      </c>
      <c r="G780">
        <v>36388.61</v>
      </c>
      <c r="H780">
        <v>22</v>
      </c>
      <c r="I780">
        <v>28</v>
      </c>
      <c r="J780">
        <v>565820</v>
      </c>
      <c r="K780">
        <v>1353638</v>
      </c>
      <c r="L780" t="s">
        <v>24</v>
      </c>
      <c r="M780" t="s">
        <v>821</v>
      </c>
      <c r="N780" t="s">
        <v>26</v>
      </c>
      <c r="O780" t="s">
        <v>21</v>
      </c>
      <c r="P780" t="s">
        <v>22</v>
      </c>
      <c r="Q780" t="s">
        <v>36</v>
      </c>
      <c r="R780" t="b">
        <f>OR(Таблица1[[#This Row],[Ежемесячный платеж]]&lt;$AC$5, Таблица1[[#This Row],[Ежемесячный платеж]]&gt;$AC$6)</f>
        <v>0</v>
      </c>
      <c r="S780" s="9">
        <f>(Таблица1[[#This Row],[Размер кредита]]-21824)/(789096-21824)</f>
        <v>0.99899644454639291</v>
      </c>
      <c r="T780" s="9">
        <f>(Таблица1[[#This Row],[Кредитный рейтинг]]-586)/(751-586)</f>
        <v>0.83030303030303032</v>
      </c>
      <c r="U780" s="9">
        <f>Таблица1[[#This Row],[Ежемесячный платеж]]/(Таблица1[[#This Row],[Годовой доход]]/12)</f>
        <v>0.37384149912160841</v>
      </c>
    </row>
    <row r="781" spans="1:21" x14ac:dyDescent="0.3">
      <c r="A781">
        <v>780</v>
      </c>
      <c r="B781">
        <v>0</v>
      </c>
      <c r="C781" s="9">
        <v>336732</v>
      </c>
      <c r="D781">
        <v>738</v>
      </c>
      <c r="E781" s="1">
        <v>1970072</v>
      </c>
      <c r="F781">
        <v>0</v>
      </c>
      <c r="G781">
        <v>35789.54</v>
      </c>
      <c r="H781">
        <v>14.6</v>
      </c>
      <c r="I781">
        <v>14</v>
      </c>
      <c r="J781">
        <v>464987</v>
      </c>
      <c r="K781">
        <v>749892</v>
      </c>
      <c r="L781" t="s">
        <v>24</v>
      </c>
      <c r="M781" t="s">
        <v>822</v>
      </c>
      <c r="N781" t="s">
        <v>26</v>
      </c>
      <c r="O781" t="s">
        <v>21</v>
      </c>
      <c r="P781" t="s">
        <v>22</v>
      </c>
      <c r="Q781" t="s">
        <v>23</v>
      </c>
      <c r="R781" t="b">
        <f>OR(Таблица1[[#This Row],[Ежемесячный платеж]]&lt;$AC$5, Таблица1[[#This Row],[Ежемесячный платеж]]&gt;$AC$6)</f>
        <v>0</v>
      </c>
      <c r="S781" s="9">
        <f>(Таблица1[[#This Row],[Размер кредита]]-21824)/(789096-21824)</f>
        <v>0.41042550751232937</v>
      </c>
      <c r="T781" s="9">
        <f>(Таблица1[[#This Row],[Кредитный рейтинг]]-586)/(751-586)</f>
        <v>0.92121212121212126</v>
      </c>
      <c r="U781" s="9">
        <f>Таблица1[[#This Row],[Ежемесячный платеж]]/(Таблица1[[#This Row],[Годовой доход]]/12)</f>
        <v>0.21799938276367567</v>
      </c>
    </row>
    <row r="782" spans="1:21" x14ac:dyDescent="0.3">
      <c r="A782">
        <v>781</v>
      </c>
      <c r="B782">
        <v>0</v>
      </c>
      <c r="C782" s="9">
        <v>107932</v>
      </c>
      <c r="D782">
        <v>735</v>
      </c>
      <c r="E782" s="1">
        <v>1211782</v>
      </c>
      <c r="F782">
        <v>0</v>
      </c>
      <c r="G782">
        <v>28173.96</v>
      </c>
      <c r="H782">
        <v>28.5</v>
      </c>
      <c r="I782">
        <v>9</v>
      </c>
      <c r="J782">
        <v>521322</v>
      </c>
      <c r="K782">
        <v>658988</v>
      </c>
      <c r="L782" t="s">
        <v>69</v>
      </c>
      <c r="M782" t="s">
        <v>823</v>
      </c>
      <c r="N782" t="s">
        <v>20</v>
      </c>
      <c r="O782" t="s">
        <v>21</v>
      </c>
      <c r="P782" t="s">
        <v>22</v>
      </c>
      <c r="Q782" t="s">
        <v>23</v>
      </c>
      <c r="R782" t="b">
        <f>OR(Таблица1[[#This Row],[Ежемесячный платеж]]&lt;$AC$5, Таблица1[[#This Row],[Ежемесячный платеж]]&gt;$AC$6)</f>
        <v>0</v>
      </c>
      <c r="S782" s="9">
        <f>(Таблица1[[#This Row],[Размер кредита]]-21824)/(789096-21824)</f>
        <v>0.11222617272623008</v>
      </c>
      <c r="T782" s="9">
        <f>(Таблица1[[#This Row],[Кредитный рейтинг]]-586)/(751-586)</f>
        <v>0.90303030303030307</v>
      </c>
      <c r="U782" s="9">
        <f>Таблица1[[#This Row],[Ежемесячный платеж]]/(Таблица1[[#This Row],[Годовой доход]]/12)</f>
        <v>0.27900028222898177</v>
      </c>
    </row>
    <row r="783" spans="1:21" x14ac:dyDescent="0.3">
      <c r="A783">
        <v>782</v>
      </c>
      <c r="B783">
        <v>1</v>
      </c>
      <c r="C783" s="9">
        <v>346060</v>
      </c>
      <c r="D783">
        <v>711</v>
      </c>
      <c r="E783" s="1">
        <v>765833</v>
      </c>
      <c r="F783">
        <v>16</v>
      </c>
      <c r="G783">
        <v>13402.03</v>
      </c>
      <c r="H783">
        <v>21.1</v>
      </c>
      <c r="I783">
        <v>9</v>
      </c>
      <c r="J783">
        <v>61788</v>
      </c>
      <c r="K783">
        <v>123354</v>
      </c>
      <c r="L783" t="s">
        <v>24</v>
      </c>
      <c r="M783" t="s">
        <v>824</v>
      </c>
      <c r="N783" t="s">
        <v>26</v>
      </c>
      <c r="O783" t="s">
        <v>21</v>
      </c>
      <c r="P783" t="s">
        <v>31</v>
      </c>
      <c r="Q783" t="s">
        <v>23</v>
      </c>
      <c r="R783" t="b">
        <f>OR(Таблица1[[#This Row],[Ежемесячный платеж]]&lt;$AC$5, Таблица1[[#This Row],[Ежемесячный платеж]]&gt;$AC$6)</f>
        <v>0</v>
      </c>
      <c r="S783" s="9">
        <f>(Таблица1[[#This Row],[Размер кредита]]-21824)/(789096-21824)</f>
        <v>0.42258286500745501</v>
      </c>
      <c r="T783" s="9">
        <f>(Таблица1[[#This Row],[Кредитный рейтинг]]-586)/(751-586)</f>
        <v>0.75757575757575757</v>
      </c>
      <c r="U783" s="9">
        <f>Таблица1[[#This Row],[Ежемесячный платеж]]/(Таблица1[[#This Row],[Годовой доход]]/12)</f>
        <v>0.2099992557124073</v>
      </c>
    </row>
    <row r="784" spans="1:21" x14ac:dyDescent="0.3">
      <c r="A784">
        <v>783</v>
      </c>
      <c r="B784">
        <v>0</v>
      </c>
      <c r="C784" s="9">
        <v>217888</v>
      </c>
      <c r="D784">
        <v>735</v>
      </c>
      <c r="E784" s="1">
        <v>1223144</v>
      </c>
      <c r="F784">
        <v>0</v>
      </c>
      <c r="G784">
        <v>9163.51</v>
      </c>
      <c r="H784">
        <v>10.8</v>
      </c>
      <c r="I784">
        <v>8</v>
      </c>
      <c r="J784">
        <v>117952</v>
      </c>
      <c r="K784">
        <v>207570</v>
      </c>
      <c r="L784" t="s">
        <v>18</v>
      </c>
      <c r="M784" t="s">
        <v>825</v>
      </c>
      <c r="N784" t="s">
        <v>26</v>
      </c>
      <c r="O784" t="s">
        <v>34</v>
      </c>
      <c r="P784" t="s">
        <v>22</v>
      </c>
      <c r="Q784" t="s">
        <v>23</v>
      </c>
      <c r="R784" t="b">
        <f>OR(Таблица1[[#This Row],[Ежемесячный платеж]]&lt;$AC$5, Таблица1[[#This Row],[Ежемесячный платеж]]&gt;$AC$6)</f>
        <v>0</v>
      </c>
      <c r="S784" s="9">
        <f>(Таблица1[[#This Row],[Размер кредита]]-21824)/(789096-21824)</f>
        <v>0.25553389150131894</v>
      </c>
      <c r="T784" s="9">
        <f>(Таблица1[[#This Row],[Кредитный рейтинг]]-586)/(751-586)</f>
        <v>0.90303030303030307</v>
      </c>
      <c r="U784" s="9">
        <f>Таблица1[[#This Row],[Ежемесячный платеж]]/(Таблица1[[#This Row],[Годовой доход]]/12)</f>
        <v>8.9901205418168262E-2</v>
      </c>
    </row>
    <row r="785" spans="1:21" x14ac:dyDescent="0.3">
      <c r="A785">
        <v>784</v>
      </c>
      <c r="B785">
        <v>0</v>
      </c>
      <c r="D785">
        <v>738</v>
      </c>
      <c r="E785" s="1">
        <v>934800</v>
      </c>
      <c r="F785">
        <v>20</v>
      </c>
      <c r="G785">
        <v>4806.43</v>
      </c>
      <c r="H785">
        <v>27.8</v>
      </c>
      <c r="I785">
        <v>13</v>
      </c>
      <c r="J785">
        <v>25536</v>
      </c>
      <c r="K785">
        <v>151646</v>
      </c>
      <c r="L785" t="s">
        <v>24</v>
      </c>
      <c r="M785" t="s">
        <v>826</v>
      </c>
      <c r="N785" t="s">
        <v>26</v>
      </c>
      <c r="O785" t="s">
        <v>34</v>
      </c>
      <c r="P785" t="s">
        <v>22</v>
      </c>
      <c r="Q785" t="s">
        <v>23</v>
      </c>
      <c r="R785" t="b">
        <f>OR(Таблица1[[#This Row],[Ежемесячный платеж]]&lt;$AC$5, Таблица1[[#This Row],[Ежемесячный платеж]]&gt;$AC$6)</f>
        <v>0</v>
      </c>
      <c r="T785" s="9">
        <f>(Таблица1[[#This Row],[Кредитный рейтинг]]-586)/(751-586)</f>
        <v>0.92121212121212126</v>
      </c>
      <c r="U785" s="9">
        <f>Таблица1[[#This Row],[Ежемесячный платеж]]/(Таблица1[[#This Row],[Годовой доход]]/12)</f>
        <v>6.1700000000000005E-2</v>
      </c>
    </row>
    <row r="786" spans="1:21" x14ac:dyDescent="0.3">
      <c r="A786">
        <v>785</v>
      </c>
      <c r="B786">
        <v>0</v>
      </c>
      <c r="D786">
        <v>745</v>
      </c>
      <c r="E786" s="1">
        <v>681226</v>
      </c>
      <c r="F786">
        <v>0</v>
      </c>
      <c r="G786">
        <v>8095.33</v>
      </c>
      <c r="H786">
        <v>12.7</v>
      </c>
      <c r="I786">
        <v>9</v>
      </c>
      <c r="J786">
        <v>173812</v>
      </c>
      <c r="K786">
        <v>322520</v>
      </c>
      <c r="L786" t="s">
        <v>41</v>
      </c>
      <c r="M786" t="s">
        <v>827</v>
      </c>
      <c r="N786" t="s">
        <v>26</v>
      </c>
      <c r="O786" t="s">
        <v>34</v>
      </c>
      <c r="P786" t="s">
        <v>22</v>
      </c>
      <c r="Q786" t="s">
        <v>23</v>
      </c>
      <c r="R786" t="b">
        <f>OR(Таблица1[[#This Row],[Ежемесячный платеж]]&lt;$AC$5, Таблица1[[#This Row],[Ежемесячный платеж]]&gt;$AC$6)</f>
        <v>0</v>
      </c>
      <c r="T786" s="9">
        <f>(Таблица1[[#This Row],[Кредитный рейтинг]]-586)/(751-586)</f>
        <v>0.96363636363636362</v>
      </c>
      <c r="U786" s="9">
        <f>Таблица1[[#This Row],[Ежемесячный платеж]]/(Таблица1[[#This Row],[Годовой доход]]/12)</f>
        <v>0.14260166229709376</v>
      </c>
    </row>
    <row r="787" spans="1:21" x14ac:dyDescent="0.3">
      <c r="A787">
        <v>786</v>
      </c>
      <c r="B787">
        <v>0</v>
      </c>
      <c r="C787" s="9">
        <v>216524</v>
      </c>
      <c r="D787">
        <v>688</v>
      </c>
      <c r="E787" s="1">
        <v>934990</v>
      </c>
      <c r="F787">
        <v>13</v>
      </c>
      <c r="G787">
        <v>16050.63</v>
      </c>
      <c r="H787">
        <v>11</v>
      </c>
      <c r="I787">
        <v>10</v>
      </c>
      <c r="J787">
        <v>113373</v>
      </c>
      <c r="K787">
        <v>314072</v>
      </c>
      <c r="L787" t="s">
        <v>47</v>
      </c>
      <c r="M787" t="s">
        <v>828</v>
      </c>
      <c r="N787" t="s">
        <v>26</v>
      </c>
      <c r="O787" t="s">
        <v>34</v>
      </c>
      <c r="P787" t="s">
        <v>31</v>
      </c>
      <c r="Q787" t="s">
        <v>36</v>
      </c>
      <c r="R787" t="b">
        <f>OR(Таблица1[[#This Row],[Ежемесячный платеж]]&lt;$AC$5, Таблица1[[#This Row],[Ежемесячный платеж]]&gt;$AC$6)</f>
        <v>0</v>
      </c>
      <c r="S787" s="9">
        <f>(Таблица1[[#This Row],[Размер кредита]]-21824)/(789096-21824)</f>
        <v>0.25375616469778645</v>
      </c>
      <c r="T787" s="9">
        <f>(Таблица1[[#This Row],[Кредитный рейтинг]]-586)/(751-586)</f>
        <v>0.61818181818181817</v>
      </c>
      <c r="U787" s="9">
        <f>Таблица1[[#This Row],[Ежемесячный платеж]]/(Таблица1[[#This Row],[Годовой доход]]/12)</f>
        <v>0.20599959357854095</v>
      </c>
    </row>
    <row r="788" spans="1:21" x14ac:dyDescent="0.3">
      <c r="A788">
        <v>787</v>
      </c>
      <c r="B788">
        <v>0</v>
      </c>
      <c r="C788" s="9">
        <v>261448</v>
      </c>
      <c r="D788">
        <v>719</v>
      </c>
      <c r="E788" s="1">
        <v>940785</v>
      </c>
      <c r="F788">
        <v>20</v>
      </c>
      <c r="G788">
        <v>11681.39</v>
      </c>
      <c r="H788">
        <v>13.3</v>
      </c>
      <c r="I788">
        <v>15</v>
      </c>
      <c r="J788">
        <v>237937</v>
      </c>
      <c r="K788">
        <v>683672</v>
      </c>
      <c r="L788" t="s">
        <v>63</v>
      </c>
      <c r="M788" t="s">
        <v>829</v>
      </c>
      <c r="N788" t="s">
        <v>26</v>
      </c>
      <c r="O788" t="s">
        <v>34</v>
      </c>
      <c r="P788" t="s">
        <v>31</v>
      </c>
      <c r="Q788" t="s">
        <v>36</v>
      </c>
      <c r="R788" t="b">
        <f>OR(Таблица1[[#This Row],[Ежемесячный платеж]]&lt;$AC$5, Таблица1[[#This Row],[Ежемесячный платеж]]&gt;$AC$6)</f>
        <v>0</v>
      </c>
      <c r="S788" s="9">
        <f>(Таблица1[[#This Row],[Размер кредита]]-21824)/(789096-21824)</f>
        <v>0.31230645716251865</v>
      </c>
      <c r="T788" s="9">
        <f>(Таблица1[[#This Row],[Кредитный рейтинг]]-586)/(751-586)</f>
        <v>0.80606060606060603</v>
      </c>
      <c r="U788" s="9">
        <f>Таблица1[[#This Row],[Ежемесячный платеж]]/(Таблица1[[#This Row],[Годовой доход]]/12)</f>
        <v>0.14899969706149652</v>
      </c>
    </row>
    <row r="789" spans="1:21" x14ac:dyDescent="0.3">
      <c r="A789">
        <v>788</v>
      </c>
      <c r="B789">
        <v>0</v>
      </c>
      <c r="C789" s="9">
        <v>430804</v>
      </c>
      <c r="D789">
        <v>738</v>
      </c>
      <c r="E789" s="1">
        <v>1130120</v>
      </c>
      <c r="F789">
        <v>0</v>
      </c>
      <c r="G789">
        <v>8711.31</v>
      </c>
      <c r="H789">
        <v>18.5</v>
      </c>
      <c r="I789">
        <v>9</v>
      </c>
      <c r="J789">
        <v>383667</v>
      </c>
      <c r="K789">
        <v>789052</v>
      </c>
      <c r="L789" t="s">
        <v>24</v>
      </c>
      <c r="M789" t="s">
        <v>830</v>
      </c>
      <c r="N789" t="s">
        <v>26</v>
      </c>
      <c r="O789" t="s">
        <v>21</v>
      </c>
      <c r="P789" t="s">
        <v>31</v>
      </c>
      <c r="Q789" t="s">
        <v>36</v>
      </c>
      <c r="R789" t="b">
        <f>OR(Таблица1[[#This Row],[Ежемесячный платеж]]&lt;$AC$5, Таблица1[[#This Row],[Ежемесячный платеж]]&gt;$AC$6)</f>
        <v>0</v>
      </c>
      <c r="S789" s="9">
        <f>(Таблица1[[#This Row],[Размер кредита]]-21824)/(789096-21824)</f>
        <v>0.53303131093015255</v>
      </c>
      <c r="T789" s="9">
        <f>(Таблица1[[#This Row],[Кредитный рейтинг]]-586)/(751-586)</f>
        <v>0.92121212121212126</v>
      </c>
      <c r="U789" s="9">
        <f>Таблица1[[#This Row],[Ежемесячный платеж]]/(Таблица1[[#This Row],[Годовой доход]]/12)</f>
        <v>9.2499663752521846E-2</v>
      </c>
    </row>
    <row r="790" spans="1:21" x14ac:dyDescent="0.3">
      <c r="A790">
        <v>789</v>
      </c>
      <c r="B790">
        <v>0</v>
      </c>
      <c r="C790" s="9">
        <v>163878</v>
      </c>
      <c r="D790">
        <v>741</v>
      </c>
      <c r="E790" s="1">
        <v>1439402</v>
      </c>
      <c r="F790">
        <v>18</v>
      </c>
      <c r="G790">
        <v>14034.16</v>
      </c>
      <c r="H790">
        <v>11</v>
      </c>
      <c r="I790">
        <v>7</v>
      </c>
      <c r="J790">
        <v>110865</v>
      </c>
      <c r="K790">
        <v>186604</v>
      </c>
      <c r="L790" t="s">
        <v>52</v>
      </c>
      <c r="M790" s="2" t="s">
        <v>831</v>
      </c>
      <c r="N790" t="s">
        <v>26</v>
      </c>
      <c r="O790" t="s">
        <v>21</v>
      </c>
      <c r="P790" t="s">
        <v>22</v>
      </c>
      <c r="Q790" t="s">
        <v>36</v>
      </c>
      <c r="R790" t="b">
        <f>OR(Таблица1[[#This Row],[Ежемесячный платеж]]&lt;$AC$5, Таблица1[[#This Row],[Ежемесячный платеж]]&gt;$AC$6)</f>
        <v>0</v>
      </c>
      <c r="S790" s="9">
        <f>(Таблица1[[#This Row],[Размер кредита]]-21824)/(789096-21824)</f>
        <v>0.18514164468402339</v>
      </c>
      <c r="T790" s="9">
        <f>(Таблица1[[#This Row],[Кредитный рейтинг]]-586)/(751-586)</f>
        <v>0.93939393939393945</v>
      </c>
      <c r="U790" s="9">
        <f>Таблица1[[#This Row],[Ежемесячный платеж]]/(Таблица1[[#This Row],[Годовой доход]]/12)</f>
        <v>0.11699992080044351</v>
      </c>
    </row>
    <row r="791" spans="1:21" x14ac:dyDescent="0.3">
      <c r="A791">
        <v>790</v>
      </c>
      <c r="B791">
        <v>4</v>
      </c>
      <c r="C791" s="9">
        <v>227546</v>
      </c>
      <c r="D791">
        <v>709</v>
      </c>
      <c r="E791" s="1">
        <v>561450</v>
      </c>
      <c r="F791">
        <v>54</v>
      </c>
      <c r="G791">
        <v>16141.64</v>
      </c>
      <c r="H791">
        <v>17.3</v>
      </c>
      <c r="I791">
        <v>10</v>
      </c>
      <c r="J791">
        <v>269667</v>
      </c>
      <c r="K791">
        <v>374858</v>
      </c>
      <c r="L791" t="s">
        <v>69</v>
      </c>
      <c r="M791" t="s">
        <v>832</v>
      </c>
      <c r="N791" t="s">
        <v>26</v>
      </c>
      <c r="O791" t="s">
        <v>34</v>
      </c>
      <c r="P791" t="s">
        <v>22</v>
      </c>
      <c r="Q791" t="s">
        <v>23</v>
      </c>
      <c r="R791" t="b">
        <f>OR(Таблица1[[#This Row],[Ежемесячный платеж]]&lt;$AC$5, Таблица1[[#This Row],[Ежемесячный платеж]]&gt;$AC$6)</f>
        <v>0</v>
      </c>
      <c r="S791" s="9">
        <f>(Таблица1[[#This Row],[Размер кредита]]-21824)/(789096-21824)</f>
        <v>0.2681213441908476</v>
      </c>
      <c r="T791" s="9">
        <f>(Таблица1[[#This Row],[Кредитный рейтинг]]-586)/(751-586)</f>
        <v>0.74545454545454548</v>
      </c>
      <c r="U791" s="9">
        <f>Таблица1[[#This Row],[Ежемесячный платеж]]/(Таблица1[[#This Row],[Годовой доход]]/12)</f>
        <v>0.34499898477157359</v>
      </c>
    </row>
    <row r="792" spans="1:21" x14ac:dyDescent="0.3">
      <c r="A792">
        <v>791</v>
      </c>
      <c r="B792">
        <v>0</v>
      </c>
      <c r="C792" s="9">
        <v>560516</v>
      </c>
      <c r="D792">
        <v>652</v>
      </c>
      <c r="E792" s="1">
        <v>1374897</v>
      </c>
      <c r="F792">
        <v>0</v>
      </c>
      <c r="G792">
        <v>25160.75</v>
      </c>
      <c r="H792">
        <v>22.2</v>
      </c>
      <c r="I792">
        <v>15</v>
      </c>
      <c r="J792">
        <v>354483</v>
      </c>
      <c r="K792">
        <v>862290</v>
      </c>
      <c r="L792" t="s">
        <v>47</v>
      </c>
      <c r="M792" t="s">
        <v>833</v>
      </c>
      <c r="N792" t="s">
        <v>26</v>
      </c>
      <c r="O792" t="s">
        <v>21</v>
      </c>
      <c r="P792" t="s">
        <v>22</v>
      </c>
      <c r="Q792" t="s">
        <v>23</v>
      </c>
      <c r="R792" t="b">
        <f>OR(Таблица1[[#This Row],[Ежемесячный платеж]]&lt;$AC$5, Таблица1[[#This Row],[Ежемесячный платеж]]&gt;$AC$6)</f>
        <v>0</v>
      </c>
      <c r="S792" s="9">
        <f>(Таблица1[[#This Row],[Размер кредита]]-21824)/(789096-21824)</f>
        <v>0.70208739534350273</v>
      </c>
      <c r="T792" s="9">
        <f>(Таблица1[[#This Row],[Кредитный рейтинг]]-586)/(751-586)</f>
        <v>0.4</v>
      </c>
      <c r="U792" s="9">
        <f>Таблица1[[#This Row],[Ежемесячный платеж]]/(Таблица1[[#This Row],[Годовой доход]]/12)</f>
        <v>0.21960117739728868</v>
      </c>
    </row>
    <row r="793" spans="1:21" x14ac:dyDescent="0.3">
      <c r="A793">
        <v>792</v>
      </c>
      <c r="B793">
        <v>0</v>
      </c>
      <c r="C793" s="9">
        <v>470316</v>
      </c>
      <c r="D793">
        <v>719</v>
      </c>
      <c r="E793" s="1">
        <v>2393487</v>
      </c>
      <c r="F793">
        <v>0</v>
      </c>
      <c r="G793">
        <v>27126.11</v>
      </c>
      <c r="H793">
        <v>34.1</v>
      </c>
      <c r="I793">
        <v>7</v>
      </c>
      <c r="J793">
        <v>726484</v>
      </c>
      <c r="K793">
        <v>1055450</v>
      </c>
      <c r="L793" t="s">
        <v>41</v>
      </c>
      <c r="M793" t="s">
        <v>834</v>
      </c>
      <c r="N793" t="s">
        <v>26</v>
      </c>
      <c r="O793" t="s">
        <v>28</v>
      </c>
      <c r="P793" t="s">
        <v>31</v>
      </c>
      <c r="Q793" t="s">
        <v>23</v>
      </c>
      <c r="R793" t="b">
        <f>OR(Таблица1[[#This Row],[Ежемесячный платеж]]&lt;$AC$5, Таблица1[[#This Row],[Ежемесячный платеж]]&gt;$AC$6)</f>
        <v>0</v>
      </c>
      <c r="S793" s="9">
        <f>(Таблица1[[#This Row],[Размер кредита]]-21824)/(789096-21824)</f>
        <v>0.58452804220667509</v>
      </c>
      <c r="T793" s="9">
        <f>(Таблица1[[#This Row],[Кредитный рейтинг]]-586)/(751-586)</f>
        <v>0.80606060606060603</v>
      </c>
      <c r="U793" s="9">
        <f>Таблица1[[#This Row],[Ежемесячный платеж]]/(Таблица1[[#This Row],[Годовой доход]]/12)</f>
        <v>0.1359996189659689</v>
      </c>
    </row>
    <row r="794" spans="1:21" x14ac:dyDescent="0.3">
      <c r="A794">
        <v>793</v>
      </c>
      <c r="B794">
        <v>0</v>
      </c>
      <c r="C794" s="9">
        <v>190784</v>
      </c>
      <c r="D794">
        <v>704</v>
      </c>
      <c r="E794" s="1">
        <v>711455</v>
      </c>
      <c r="F794">
        <v>0</v>
      </c>
      <c r="G794">
        <v>5015.8100000000004</v>
      </c>
      <c r="H794">
        <v>16.100000000000001</v>
      </c>
      <c r="I794">
        <v>6</v>
      </c>
      <c r="J794">
        <v>145825</v>
      </c>
      <c r="K794">
        <v>182138</v>
      </c>
      <c r="L794" t="s">
        <v>69</v>
      </c>
      <c r="M794" t="s">
        <v>835</v>
      </c>
      <c r="N794" t="s">
        <v>26</v>
      </c>
      <c r="O794" t="s">
        <v>34</v>
      </c>
      <c r="P794" t="s">
        <v>22</v>
      </c>
      <c r="Q794" t="s">
        <v>36</v>
      </c>
      <c r="R794" t="b">
        <f>OR(Таблица1[[#This Row],[Ежемесячный платеж]]&lt;$AC$5, Таблица1[[#This Row],[Ежемесячный платеж]]&gt;$AC$6)</f>
        <v>0</v>
      </c>
      <c r="S794" s="9">
        <f>(Таблица1[[#This Row],[Размер кредита]]-21824)/(789096-21824)</f>
        <v>0.22020873953435027</v>
      </c>
      <c r="T794" s="9">
        <f>(Таблица1[[#This Row],[Кредитный рейтинг]]-586)/(751-586)</f>
        <v>0.7151515151515152</v>
      </c>
      <c r="U794" s="9">
        <f>Таблица1[[#This Row],[Ежемесячный платеж]]/(Таблица1[[#This Row],[Годовой доход]]/12)</f>
        <v>8.4600881292562435E-2</v>
      </c>
    </row>
    <row r="795" spans="1:21" x14ac:dyDescent="0.3">
      <c r="A795">
        <v>794</v>
      </c>
      <c r="B795">
        <v>1</v>
      </c>
      <c r="C795" s="9">
        <v>395846</v>
      </c>
      <c r="D795">
        <v>725</v>
      </c>
      <c r="E795" s="1">
        <v>829597</v>
      </c>
      <c r="F795">
        <v>0</v>
      </c>
      <c r="G795">
        <v>18251.02</v>
      </c>
      <c r="H795">
        <v>27.7</v>
      </c>
      <c r="I795">
        <v>10</v>
      </c>
      <c r="J795">
        <v>273847</v>
      </c>
      <c r="K795">
        <v>461560</v>
      </c>
      <c r="L795" t="s">
        <v>63</v>
      </c>
      <c r="M795" t="s">
        <v>836</v>
      </c>
      <c r="N795" t="s">
        <v>26</v>
      </c>
      <c r="O795" t="s">
        <v>34</v>
      </c>
      <c r="P795" t="s">
        <v>31</v>
      </c>
      <c r="Q795" t="s">
        <v>36</v>
      </c>
      <c r="R795" t="b">
        <f>OR(Таблица1[[#This Row],[Ежемесячный платеж]]&lt;$AC$5, Таблица1[[#This Row],[Ежемесячный платеж]]&gt;$AC$6)</f>
        <v>0</v>
      </c>
      <c r="S795" s="9">
        <f>(Таблица1[[#This Row],[Размер кредита]]-21824)/(789096-21824)</f>
        <v>0.48746989333639179</v>
      </c>
      <c r="T795" s="9">
        <f>(Таблица1[[#This Row],[Кредитный рейтинг]]-586)/(751-586)</f>
        <v>0.84242424242424241</v>
      </c>
      <c r="U795" s="9">
        <f>Таблица1[[#This Row],[Ежемесячный платеж]]/(Таблица1[[#This Row],[Годовой доход]]/12)</f>
        <v>0.2639983510065731</v>
      </c>
    </row>
    <row r="796" spans="1:21" x14ac:dyDescent="0.3">
      <c r="A796">
        <v>795</v>
      </c>
      <c r="B796">
        <v>0</v>
      </c>
      <c r="C796" s="9">
        <v>450120</v>
      </c>
      <c r="D796">
        <v>673</v>
      </c>
      <c r="E796" s="1">
        <v>981578</v>
      </c>
      <c r="F796">
        <v>0</v>
      </c>
      <c r="G796">
        <v>19467.78</v>
      </c>
      <c r="H796">
        <v>16.5</v>
      </c>
      <c r="I796">
        <v>15</v>
      </c>
      <c r="J796">
        <v>515394</v>
      </c>
      <c r="K796">
        <v>1143230</v>
      </c>
      <c r="L796" t="s">
        <v>24</v>
      </c>
      <c r="M796" t="s">
        <v>837</v>
      </c>
      <c r="N796" t="s">
        <v>26</v>
      </c>
      <c r="O796" t="s">
        <v>34</v>
      </c>
      <c r="P796" t="s">
        <v>31</v>
      </c>
      <c r="Q796" t="s">
        <v>36</v>
      </c>
      <c r="R796" t="b">
        <f>OR(Таблица1[[#This Row],[Ежемесячный платеж]]&lt;$AC$5, Таблица1[[#This Row],[Ежемесячный платеж]]&gt;$AC$6)</f>
        <v>0</v>
      </c>
      <c r="S796" s="9">
        <f>(Таблица1[[#This Row],[Размер кредита]]-21824)/(789096-21824)</f>
        <v>0.55820621630920975</v>
      </c>
      <c r="T796" s="9">
        <f>(Таблица1[[#This Row],[Кредитный рейтинг]]-586)/(751-586)</f>
        <v>0.52727272727272723</v>
      </c>
      <c r="U796" s="9">
        <f>Таблица1[[#This Row],[Ежемесячный платеж]]/(Таблица1[[#This Row],[Годовой доход]]/12)</f>
        <v>0.23799775463590256</v>
      </c>
    </row>
    <row r="797" spans="1:21" x14ac:dyDescent="0.3">
      <c r="A797">
        <v>796</v>
      </c>
      <c r="B797">
        <v>0</v>
      </c>
      <c r="D797">
        <v>725</v>
      </c>
      <c r="E797" s="1">
        <v>1698885</v>
      </c>
      <c r="F797">
        <v>0</v>
      </c>
      <c r="G797">
        <v>29164.240000000002</v>
      </c>
      <c r="H797">
        <v>13.1</v>
      </c>
      <c r="I797">
        <v>10</v>
      </c>
      <c r="J797">
        <v>589988</v>
      </c>
      <c r="K797">
        <v>898876</v>
      </c>
      <c r="L797" t="s">
        <v>52</v>
      </c>
      <c r="M797" t="s">
        <v>838</v>
      </c>
      <c r="N797" t="s">
        <v>26</v>
      </c>
      <c r="O797" t="s">
        <v>21</v>
      </c>
      <c r="P797" t="s">
        <v>31</v>
      </c>
      <c r="Q797" t="s">
        <v>23</v>
      </c>
      <c r="R797" t="b">
        <f>OR(Таблица1[[#This Row],[Ежемесячный платеж]]&lt;$AC$5, Таблица1[[#This Row],[Ежемесячный платеж]]&gt;$AC$6)</f>
        <v>0</v>
      </c>
      <c r="T797" s="9">
        <f>(Таблица1[[#This Row],[Кредитный рейтинг]]-586)/(751-586)</f>
        <v>0.84242424242424241</v>
      </c>
      <c r="U797" s="9">
        <f>Таблица1[[#This Row],[Ежемесячный платеж]]/(Таблица1[[#This Row],[Годовой доход]]/12)</f>
        <v>0.20600033551417549</v>
      </c>
    </row>
    <row r="798" spans="1:21" x14ac:dyDescent="0.3">
      <c r="A798">
        <v>797</v>
      </c>
      <c r="B798">
        <v>0</v>
      </c>
      <c r="C798" s="9">
        <v>399014</v>
      </c>
      <c r="D798">
        <v>722</v>
      </c>
      <c r="E798" s="1">
        <v>2909945</v>
      </c>
      <c r="F798">
        <v>42</v>
      </c>
      <c r="G798">
        <v>51409.06</v>
      </c>
      <c r="H798">
        <v>12.8</v>
      </c>
      <c r="I798">
        <v>12</v>
      </c>
      <c r="J798">
        <v>938923</v>
      </c>
      <c r="K798">
        <v>1248192</v>
      </c>
      <c r="L798" t="s">
        <v>41</v>
      </c>
      <c r="M798" t="s">
        <v>839</v>
      </c>
      <c r="N798" t="s">
        <v>20</v>
      </c>
      <c r="O798" t="s">
        <v>21</v>
      </c>
      <c r="P798" t="s">
        <v>22</v>
      </c>
      <c r="Q798" t="s">
        <v>36</v>
      </c>
      <c r="R798" t="b">
        <f>OR(Таблица1[[#This Row],[Ежемесячный платеж]]&lt;$AC$5, Таблица1[[#This Row],[Ежемесячный платеж]]&gt;$AC$6)</f>
        <v>1</v>
      </c>
      <c r="S798" s="9">
        <f>(Таблица1[[#This Row],[Размер кредита]]-21824)/(789096-21824)</f>
        <v>0.49159880720266086</v>
      </c>
      <c r="T798" s="9">
        <f>(Таблица1[[#This Row],[Кредитный рейтинг]]-586)/(751-586)</f>
        <v>0.82424242424242422</v>
      </c>
      <c r="U798" s="9">
        <f>Таблица1[[#This Row],[Ежемесячный платеж]]/(Таблица1[[#This Row],[Годовой доход]]/12)</f>
        <v>0.21200013058666056</v>
      </c>
    </row>
    <row r="799" spans="1:21" x14ac:dyDescent="0.3">
      <c r="A799">
        <v>798</v>
      </c>
      <c r="B799">
        <v>0</v>
      </c>
      <c r="C799" s="9">
        <v>116710</v>
      </c>
      <c r="D799">
        <f>$Y$13</f>
        <v>723</v>
      </c>
      <c r="E799">
        <f>$AB$13</f>
        <v>1168044</v>
      </c>
      <c r="F799">
        <v>68</v>
      </c>
      <c r="G799">
        <v>10125.67</v>
      </c>
      <c r="H799">
        <v>13.1</v>
      </c>
      <c r="I799">
        <v>12</v>
      </c>
      <c r="J799">
        <v>914812</v>
      </c>
      <c r="K799">
        <v>2021470</v>
      </c>
      <c r="L799" t="s">
        <v>50</v>
      </c>
      <c r="M799" t="s">
        <v>840</v>
      </c>
      <c r="N799" t="s">
        <v>26</v>
      </c>
      <c r="O799" t="s">
        <v>28</v>
      </c>
      <c r="P799" t="s">
        <v>22</v>
      </c>
      <c r="Q799" t="s">
        <v>36</v>
      </c>
      <c r="R799" t="b">
        <f>OR(Таблица1[[#This Row],[Ежемесячный платеж]]&lt;$AC$5, Таблица1[[#This Row],[Ежемесячный платеж]]&gt;$AC$6)</f>
        <v>0</v>
      </c>
      <c r="S799" s="9">
        <f>(Таблица1[[#This Row],[Размер кредита]]-21824)/(789096-21824)</f>
        <v>0.12366670489735061</v>
      </c>
      <c r="T799" s="9">
        <f>(Таблица1[[#This Row],[Кредитный рейтинг]]-586)/(751-586)</f>
        <v>0.83030303030303032</v>
      </c>
      <c r="U799" s="9">
        <f>Таблица1[[#This Row],[Ежемесячный платеж]]/(Таблица1[[#This Row],[Годовой доход]]/12)</f>
        <v>0.10402693734140152</v>
      </c>
    </row>
    <row r="800" spans="1:21" x14ac:dyDescent="0.3">
      <c r="A800">
        <v>799</v>
      </c>
      <c r="B800">
        <v>0</v>
      </c>
      <c r="C800" s="9">
        <v>270402</v>
      </c>
      <c r="D800">
        <v>690</v>
      </c>
      <c r="E800" s="1">
        <v>1044373</v>
      </c>
      <c r="F800">
        <v>0</v>
      </c>
      <c r="G800">
        <v>17928.21</v>
      </c>
      <c r="H800">
        <v>21</v>
      </c>
      <c r="I800">
        <v>12</v>
      </c>
      <c r="J800">
        <v>258305</v>
      </c>
      <c r="K800">
        <v>441144</v>
      </c>
      <c r="L800" t="s">
        <v>24</v>
      </c>
      <c r="M800" t="s">
        <v>841</v>
      </c>
      <c r="N800" t="s">
        <v>26</v>
      </c>
      <c r="O800" t="s">
        <v>28</v>
      </c>
      <c r="P800" t="s">
        <v>31</v>
      </c>
      <c r="Q800" t="s">
        <v>23</v>
      </c>
      <c r="R800" t="b">
        <f>OR(Таблица1[[#This Row],[Ежемесячный платеж]]&lt;$AC$5, Таблица1[[#This Row],[Ежемесячный платеж]]&gt;$AC$6)</f>
        <v>0</v>
      </c>
      <c r="S800" s="9">
        <f>(Таблица1[[#This Row],[Размер кредита]]-21824)/(789096-21824)</f>
        <v>0.32397637343732077</v>
      </c>
      <c r="T800" s="9">
        <f>(Таблица1[[#This Row],[Кредитный рейтинг]]-586)/(751-586)</f>
        <v>0.63030303030303025</v>
      </c>
      <c r="U800" s="9">
        <f>Таблица1[[#This Row],[Ежемесячный платеж]]/(Таблица1[[#This Row],[Годовой доход]]/12)</f>
        <v>0.20599778048647371</v>
      </c>
    </row>
    <row r="801" spans="1:21" x14ac:dyDescent="0.3">
      <c r="A801">
        <v>800</v>
      </c>
      <c r="B801">
        <v>0</v>
      </c>
      <c r="C801" s="9">
        <v>129184</v>
      </c>
      <c r="D801">
        <v>735</v>
      </c>
      <c r="E801" s="1">
        <v>948366</v>
      </c>
      <c r="F801">
        <v>50</v>
      </c>
      <c r="G801">
        <v>9088.4599999999991</v>
      </c>
      <c r="H801">
        <v>17</v>
      </c>
      <c r="I801">
        <v>9</v>
      </c>
      <c r="J801">
        <v>332139</v>
      </c>
      <c r="K801">
        <v>467280</v>
      </c>
      <c r="L801" t="s">
        <v>63</v>
      </c>
      <c r="M801" t="s">
        <v>842</v>
      </c>
      <c r="N801" t="s">
        <v>76</v>
      </c>
      <c r="O801" t="s">
        <v>28</v>
      </c>
      <c r="P801" t="s">
        <v>22</v>
      </c>
      <c r="Q801" t="s">
        <v>23</v>
      </c>
      <c r="R801" t="b">
        <f>OR(Таблица1[[#This Row],[Ежемесячный платеж]]&lt;$AC$5, Таблица1[[#This Row],[Ежемесячный платеж]]&gt;$AC$6)</f>
        <v>0</v>
      </c>
      <c r="S801" s="9">
        <f>(Таблица1[[#This Row],[Размер кредита]]-21824)/(789096-21824)</f>
        <v>0.13992430324578506</v>
      </c>
      <c r="T801" s="9">
        <f>(Таблица1[[#This Row],[Кредитный рейтинг]]-586)/(751-586)</f>
        <v>0.90303030303030307</v>
      </c>
      <c r="U801" s="9">
        <f>Таблица1[[#This Row],[Ежемесячный платеж]]/(Таблица1[[#This Row],[Годовой доход]]/12)</f>
        <v>0.1149993989662219</v>
      </c>
    </row>
    <row r="802" spans="1:21" x14ac:dyDescent="0.3">
      <c r="A802">
        <v>801</v>
      </c>
      <c r="B802">
        <v>0</v>
      </c>
      <c r="C802" s="9">
        <v>247500</v>
      </c>
      <c r="D802">
        <v>664</v>
      </c>
      <c r="E802" s="1">
        <v>1347955</v>
      </c>
      <c r="F802">
        <v>0</v>
      </c>
      <c r="G802">
        <v>2976.73</v>
      </c>
      <c r="H802">
        <v>10.6</v>
      </c>
      <c r="I802">
        <v>4</v>
      </c>
      <c r="J802">
        <v>98534</v>
      </c>
      <c r="K802">
        <v>131604</v>
      </c>
      <c r="L802" t="s">
        <v>52</v>
      </c>
      <c r="M802" t="s">
        <v>843</v>
      </c>
      <c r="N802" t="s">
        <v>26</v>
      </c>
      <c r="O802" t="s">
        <v>34</v>
      </c>
      <c r="P802" t="s">
        <v>31</v>
      </c>
      <c r="Q802" t="s">
        <v>36</v>
      </c>
      <c r="R802" t="b">
        <f>OR(Таблица1[[#This Row],[Ежемесячный платеж]]&lt;$AC$5, Таблица1[[#This Row],[Ежемесячный платеж]]&gt;$AC$6)</f>
        <v>0</v>
      </c>
      <c r="S802" s="9">
        <f>(Таблица1[[#This Row],[Размер кредита]]-21824)/(789096-21824)</f>
        <v>0.29412776694575066</v>
      </c>
      <c r="T802" s="9">
        <f>(Таблица1[[#This Row],[Кредитный рейтинг]]-586)/(751-586)</f>
        <v>0.47272727272727272</v>
      </c>
      <c r="U802" s="9">
        <f>Таблица1[[#This Row],[Ежемесячный платеж]]/(Таблица1[[#This Row],[Годовой доход]]/12)</f>
        <v>2.6499964761434916E-2</v>
      </c>
    </row>
    <row r="803" spans="1:21" x14ac:dyDescent="0.3">
      <c r="A803">
        <v>802</v>
      </c>
      <c r="B803">
        <v>0</v>
      </c>
      <c r="D803">
        <v>702</v>
      </c>
      <c r="E803" s="1">
        <v>1385480</v>
      </c>
      <c r="F803">
        <v>47</v>
      </c>
      <c r="G803">
        <v>14893.91</v>
      </c>
      <c r="H803">
        <v>24.6</v>
      </c>
      <c r="I803">
        <v>8</v>
      </c>
      <c r="J803">
        <v>234973</v>
      </c>
      <c r="K803">
        <v>305382</v>
      </c>
      <c r="L803" t="s">
        <v>41</v>
      </c>
      <c r="M803" t="s">
        <v>844</v>
      </c>
      <c r="N803" t="s">
        <v>71</v>
      </c>
      <c r="O803" t="s">
        <v>21</v>
      </c>
      <c r="P803" t="s">
        <v>22</v>
      </c>
      <c r="Q803" t="s">
        <v>23</v>
      </c>
      <c r="R803" t="b">
        <f>OR(Таблица1[[#This Row],[Ежемесячный платеж]]&lt;$AC$5, Таблица1[[#This Row],[Ежемесячный платеж]]&gt;$AC$6)</f>
        <v>0</v>
      </c>
      <c r="T803" s="9">
        <f>(Таблица1[[#This Row],[Кредитный рейтинг]]-586)/(751-586)</f>
        <v>0.70303030303030301</v>
      </c>
      <c r="U803" s="9">
        <f>Таблица1[[#This Row],[Ежемесячный платеж]]/(Таблица1[[#This Row],[Годовой доход]]/12)</f>
        <v>0.129</v>
      </c>
    </row>
    <row r="804" spans="1:21" x14ac:dyDescent="0.3">
      <c r="A804">
        <v>803</v>
      </c>
      <c r="B804">
        <v>0</v>
      </c>
      <c r="C804" s="9">
        <v>396792</v>
      </c>
      <c r="D804">
        <v>669</v>
      </c>
      <c r="E804" s="1">
        <v>875748</v>
      </c>
      <c r="F804">
        <v>7</v>
      </c>
      <c r="G804">
        <v>22404.42</v>
      </c>
      <c r="H804">
        <v>9.6999999999999993</v>
      </c>
      <c r="I804">
        <v>10</v>
      </c>
      <c r="J804">
        <v>311372</v>
      </c>
      <c r="K804">
        <v>785466</v>
      </c>
      <c r="L804" t="s">
        <v>69</v>
      </c>
      <c r="M804" t="s">
        <v>845</v>
      </c>
      <c r="N804" t="s">
        <v>26</v>
      </c>
      <c r="O804" t="s">
        <v>21</v>
      </c>
      <c r="P804" t="s">
        <v>31</v>
      </c>
      <c r="Q804" t="s">
        <v>36</v>
      </c>
      <c r="R804" t="b">
        <f>OR(Таблица1[[#This Row],[Ежемесячный платеж]]&lt;$AC$5, Таблица1[[#This Row],[Ежемесячный платеж]]&gt;$AC$6)</f>
        <v>0</v>
      </c>
      <c r="S804" s="9">
        <f>(Таблица1[[#This Row],[Размер кредита]]-21824)/(789096-21824)</f>
        <v>0.48870283289368049</v>
      </c>
      <c r="T804" s="9">
        <f>(Таблица1[[#This Row],[Кредитный рейтинг]]-586)/(751-586)</f>
        <v>0.50303030303030305</v>
      </c>
      <c r="U804" s="9">
        <f>Таблица1[[#This Row],[Ежемесячный платеж]]/(Таблица1[[#This Row],[Годовой доход]]/12)</f>
        <v>0.30699817755792758</v>
      </c>
    </row>
    <row r="805" spans="1:21" x14ac:dyDescent="0.3">
      <c r="A805">
        <v>804</v>
      </c>
      <c r="B805">
        <v>0</v>
      </c>
      <c r="C805" s="9">
        <v>109582</v>
      </c>
      <c r="D805">
        <v>744</v>
      </c>
      <c r="E805" s="1">
        <v>813903</v>
      </c>
      <c r="F805">
        <v>0</v>
      </c>
      <c r="G805">
        <v>11665.81</v>
      </c>
      <c r="H805">
        <v>8.6999999999999993</v>
      </c>
      <c r="I805">
        <v>6</v>
      </c>
      <c r="J805">
        <v>16910</v>
      </c>
      <c r="K805">
        <v>89760</v>
      </c>
      <c r="L805" t="s">
        <v>41</v>
      </c>
      <c r="M805" t="s">
        <v>846</v>
      </c>
      <c r="N805" t="s">
        <v>26</v>
      </c>
      <c r="O805" t="s">
        <v>34</v>
      </c>
      <c r="P805" t="s">
        <v>22</v>
      </c>
      <c r="Q805" t="s">
        <v>23</v>
      </c>
      <c r="R805" t="b">
        <f>OR(Таблица1[[#This Row],[Ежемесячный платеж]]&lt;$AC$5, Таблица1[[#This Row],[Ежемесячный платеж]]&gt;$AC$6)</f>
        <v>0</v>
      </c>
      <c r="S805" s="9">
        <f>(Таблица1[[#This Row],[Размер кредита]]-21824)/(789096-21824)</f>
        <v>0.11437664869824521</v>
      </c>
      <c r="T805" s="9">
        <f>(Таблица1[[#This Row],[Кредитный рейтинг]]-586)/(751-586)</f>
        <v>0.95757575757575752</v>
      </c>
      <c r="U805" s="9">
        <f>Таблица1[[#This Row],[Ежемесячный платеж]]/(Таблица1[[#This Row],[Годовой доход]]/12)</f>
        <v>0.17199803907836683</v>
      </c>
    </row>
    <row r="806" spans="1:21" x14ac:dyDescent="0.3">
      <c r="A806">
        <v>805</v>
      </c>
      <c r="B806">
        <v>0</v>
      </c>
      <c r="D806">
        <v>739</v>
      </c>
      <c r="E806" s="1">
        <v>1461689</v>
      </c>
      <c r="F806">
        <v>0</v>
      </c>
      <c r="G806">
        <v>21072.71</v>
      </c>
      <c r="H806">
        <v>34</v>
      </c>
      <c r="I806">
        <v>11</v>
      </c>
      <c r="J806">
        <v>612731</v>
      </c>
      <c r="K806">
        <v>1204544</v>
      </c>
      <c r="L806" t="s">
        <v>24</v>
      </c>
      <c r="M806" t="s">
        <v>847</v>
      </c>
      <c r="N806" t="s">
        <v>26</v>
      </c>
      <c r="O806" t="s">
        <v>21</v>
      </c>
      <c r="P806" t="s">
        <v>31</v>
      </c>
      <c r="Q806" t="s">
        <v>23</v>
      </c>
      <c r="R806" t="b">
        <f>OR(Таблица1[[#This Row],[Ежемесячный платеж]]&lt;$AC$5, Таблица1[[#This Row],[Ежемесячный платеж]]&gt;$AC$6)</f>
        <v>0</v>
      </c>
      <c r="T806" s="9">
        <f>(Таблица1[[#This Row],[Кредитный рейтинг]]-586)/(751-586)</f>
        <v>0.92727272727272725</v>
      </c>
      <c r="U806" s="9">
        <f>Таблица1[[#This Row],[Ежемесячный платеж]]/(Таблица1[[#This Row],[Годовой доход]]/12)</f>
        <v>0.17300022097723933</v>
      </c>
    </row>
    <row r="807" spans="1:21" x14ac:dyDescent="0.3">
      <c r="A807">
        <v>806</v>
      </c>
      <c r="B807">
        <v>0</v>
      </c>
      <c r="C807" s="9">
        <v>264924</v>
      </c>
      <c r="D807">
        <f>$Y$13</f>
        <v>723</v>
      </c>
      <c r="E807">
        <f>$AB$13</f>
        <v>1168044</v>
      </c>
      <c r="F807">
        <v>36</v>
      </c>
      <c r="G807">
        <v>12297.94</v>
      </c>
      <c r="H807">
        <v>20</v>
      </c>
      <c r="I807">
        <v>6</v>
      </c>
      <c r="J807">
        <v>132924</v>
      </c>
      <c r="K807">
        <v>249480</v>
      </c>
      <c r="L807" t="s">
        <v>41</v>
      </c>
      <c r="M807" t="s">
        <v>848</v>
      </c>
      <c r="N807" t="s">
        <v>26</v>
      </c>
      <c r="O807" t="s">
        <v>34</v>
      </c>
      <c r="P807" t="s">
        <v>22</v>
      </c>
      <c r="Q807" t="s">
        <v>23</v>
      </c>
      <c r="R807" t="b">
        <f>OR(Таблица1[[#This Row],[Ежемесячный платеж]]&lt;$AC$5, Таблица1[[#This Row],[Ежемесячный платеж]]&gt;$AC$6)</f>
        <v>0</v>
      </c>
      <c r="S807" s="9">
        <f>(Таблица1[[#This Row],[Размер кредита]]-21824)/(789096-21824)</f>
        <v>0.31683679321023051</v>
      </c>
      <c r="T807" s="9">
        <f>(Таблица1[[#This Row],[Кредитный рейтинг]]-586)/(751-586)</f>
        <v>0.83030303030303032</v>
      </c>
      <c r="U807" s="9">
        <f>Таблица1[[#This Row],[Ежемесячный платеж]]/(Таблица1[[#This Row],[Годовой доход]]/12)</f>
        <v>0.12634393909818467</v>
      </c>
    </row>
    <row r="808" spans="1:21" x14ac:dyDescent="0.3">
      <c r="A808">
        <v>807</v>
      </c>
      <c r="B808">
        <v>0</v>
      </c>
      <c r="C808" s="9">
        <v>391314</v>
      </c>
      <c r="D808">
        <v>735</v>
      </c>
      <c r="E808" s="1">
        <v>762660</v>
      </c>
      <c r="F808">
        <v>0</v>
      </c>
      <c r="G808">
        <v>15062.63</v>
      </c>
      <c r="H808">
        <v>13</v>
      </c>
      <c r="I808">
        <v>18</v>
      </c>
      <c r="J808">
        <v>351633</v>
      </c>
      <c r="K808">
        <v>962522</v>
      </c>
      <c r="L808" t="s">
        <v>63</v>
      </c>
      <c r="M808" t="s">
        <v>849</v>
      </c>
      <c r="N808" t="s">
        <v>26</v>
      </c>
      <c r="O808" t="s">
        <v>34</v>
      </c>
      <c r="P808" t="s">
        <v>22</v>
      </c>
      <c r="Q808" t="s">
        <v>23</v>
      </c>
      <c r="R808" t="b">
        <f>OR(Таблица1[[#This Row],[Ежемесячный платеж]]&lt;$AC$5, Таблица1[[#This Row],[Ежемесячный платеж]]&gt;$AC$6)</f>
        <v>0</v>
      </c>
      <c r="S808" s="9">
        <f>(Таблица1[[#This Row],[Размер кредита]]-21824)/(789096-21824)</f>
        <v>0.48156325266659022</v>
      </c>
      <c r="T808" s="9">
        <f>(Таблица1[[#This Row],[Кредитный рейтинг]]-586)/(751-586)</f>
        <v>0.90303030303030307</v>
      </c>
      <c r="U808" s="9">
        <f>Таблица1[[#This Row],[Ежемесячный платеж]]/(Таблица1[[#This Row],[Годовой доход]]/12)</f>
        <v>0.23700149476831089</v>
      </c>
    </row>
    <row r="809" spans="1:21" x14ac:dyDescent="0.3">
      <c r="A809">
        <v>808</v>
      </c>
      <c r="B809">
        <v>0</v>
      </c>
      <c r="C809" s="9">
        <v>520454</v>
      </c>
      <c r="D809">
        <v>716</v>
      </c>
      <c r="E809" s="1">
        <v>1323825</v>
      </c>
      <c r="F809">
        <v>0</v>
      </c>
      <c r="G809">
        <v>24049.63</v>
      </c>
      <c r="H809">
        <v>12.8</v>
      </c>
      <c r="I809">
        <v>9</v>
      </c>
      <c r="J809">
        <v>441009</v>
      </c>
      <c r="K809">
        <v>622732</v>
      </c>
      <c r="L809" t="s">
        <v>32</v>
      </c>
      <c r="M809" t="s">
        <v>850</v>
      </c>
      <c r="N809" t="s">
        <v>26</v>
      </c>
      <c r="O809" t="s">
        <v>21</v>
      </c>
      <c r="P809" t="s">
        <v>31</v>
      </c>
      <c r="Q809" t="s">
        <v>23</v>
      </c>
      <c r="R809" t="b">
        <f>OR(Таблица1[[#This Row],[Ежемесячный платеж]]&lt;$AC$5, Таблица1[[#This Row],[Ежемесячный платеж]]&gt;$AC$6)</f>
        <v>0</v>
      </c>
      <c r="S809" s="9">
        <f>(Таблица1[[#This Row],[Размер кредита]]-21824)/(789096-21824)</f>
        <v>0.64987383874297511</v>
      </c>
      <c r="T809" s="9">
        <f>(Таблица1[[#This Row],[Кредитный рейтинг]]-586)/(751-586)</f>
        <v>0.78787878787878785</v>
      </c>
      <c r="U809" s="9">
        <f>Таблица1[[#This Row],[Ежемесячный платеж]]/(Таблица1[[#This Row],[Годовой доход]]/12)</f>
        <v>0.21800129171151778</v>
      </c>
    </row>
    <row r="810" spans="1:21" x14ac:dyDescent="0.3">
      <c r="A810">
        <v>809</v>
      </c>
      <c r="B810">
        <v>1</v>
      </c>
      <c r="C810" s="9">
        <v>330792</v>
      </c>
      <c r="D810">
        <v>733</v>
      </c>
      <c r="E810" s="1">
        <v>1885522</v>
      </c>
      <c r="F810">
        <v>0</v>
      </c>
      <c r="G810">
        <v>20897.72</v>
      </c>
      <c r="H810">
        <v>31.4</v>
      </c>
      <c r="I810">
        <v>13</v>
      </c>
      <c r="J810">
        <v>138130</v>
      </c>
      <c r="K810">
        <v>443058</v>
      </c>
      <c r="L810" t="s">
        <v>24</v>
      </c>
      <c r="M810" t="s">
        <v>851</v>
      </c>
      <c r="N810" t="s">
        <v>26</v>
      </c>
      <c r="O810" t="s">
        <v>21</v>
      </c>
      <c r="P810" t="s">
        <v>31</v>
      </c>
      <c r="Q810" t="s">
        <v>23</v>
      </c>
      <c r="R810" t="b">
        <f>OR(Таблица1[[#This Row],[Ежемесячный платеж]]&lt;$AC$5, Таблица1[[#This Row],[Ежемесячный платеж]]&gt;$AC$6)</f>
        <v>0</v>
      </c>
      <c r="S810" s="9">
        <f>(Таблица1[[#This Row],[Размер кредита]]-21824)/(789096-21824)</f>
        <v>0.40268379401307491</v>
      </c>
      <c r="T810" s="9">
        <f>(Таблица1[[#This Row],[Кредитный рейтинг]]-586)/(751-586)</f>
        <v>0.89090909090909087</v>
      </c>
      <c r="U810" s="9">
        <f>Таблица1[[#This Row],[Ежемесячный платеж]]/(Таблица1[[#This Row],[Годовой доход]]/12)</f>
        <v>0.13299905278220037</v>
      </c>
    </row>
    <row r="811" spans="1:21" x14ac:dyDescent="0.3">
      <c r="A811">
        <v>810</v>
      </c>
      <c r="B811">
        <v>0</v>
      </c>
      <c r="D811">
        <v>748</v>
      </c>
      <c r="E811" s="1">
        <v>1576411</v>
      </c>
      <c r="F811">
        <v>0</v>
      </c>
      <c r="G811">
        <v>26404.68</v>
      </c>
      <c r="H811">
        <v>15</v>
      </c>
      <c r="I811">
        <v>15</v>
      </c>
      <c r="J811">
        <v>310118</v>
      </c>
      <c r="K811">
        <v>712492</v>
      </c>
      <c r="L811" t="s">
        <v>32</v>
      </c>
      <c r="M811" t="s">
        <v>852</v>
      </c>
      <c r="N811" t="s">
        <v>26</v>
      </c>
      <c r="O811" t="s">
        <v>34</v>
      </c>
      <c r="P811" t="s">
        <v>22</v>
      </c>
      <c r="Q811" t="s">
        <v>23</v>
      </c>
      <c r="R811" t="b">
        <f>OR(Таблица1[[#This Row],[Ежемесячный платеж]]&lt;$AC$5, Таблица1[[#This Row],[Ежемесячный платеж]]&gt;$AC$6)</f>
        <v>0</v>
      </c>
      <c r="T811" s="9">
        <f>(Таблица1[[#This Row],[Кредитный рейтинг]]-586)/(751-586)</f>
        <v>0.98181818181818181</v>
      </c>
      <c r="U811" s="9">
        <f>Таблица1[[#This Row],[Ежемесячный платеж]]/(Таблица1[[#This Row],[Годовой доход]]/12)</f>
        <v>0.20099844520242499</v>
      </c>
    </row>
    <row r="812" spans="1:21" x14ac:dyDescent="0.3">
      <c r="A812">
        <v>811</v>
      </c>
      <c r="B812">
        <v>1</v>
      </c>
      <c r="D812">
        <v>746</v>
      </c>
      <c r="E812" s="1">
        <v>1580116</v>
      </c>
      <c r="F812">
        <v>0</v>
      </c>
      <c r="G812">
        <v>25150.3</v>
      </c>
      <c r="H812">
        <v>18.899999999999999</v>
      </c>
      <c r="I812">
        <v>6</v>
      </c>
      <c r="J812">
        <v>465785</v>
      </c>
      <c r="K812">
        <v>887062</v>
      </c>
      <c r="L812" t="s">
        <v>69</v>
      </c>
      <c r="M812" t="s">
        <v>853</v>
      </c>
      <c r="N812" t="s">
        <v>26</v>
      </c>
      <c r="O812" t="s">
        <v>34</v>
      </c>
      <c r="P812" t="s">
        <v>22</v>
      </c>
      <c r="Q812" t="s">
        <v>23</v>
      </c>
      <c r="R812" t="b">
        <f>OR(Таблица1[[#This Row],[Ежемесячный платеж]]&lt;$AC$5, Таблица1[[#This Row],[Ежемесячный платеж]]&gt;$AC$6)</f>
        <v>0</v>
      </c>
      <c r="T812" s="9">
        <f>(Таблица1[[#This Row],[Кредитный рейтинг]]-586)/(751-586)</f>
        <v>0.96969696969696972</v>
      </c>
      <c r="U812" s="9">
        <f>Таблица1[[#This Row],[Ежемесячный платеж]]/(Таблица1[[#This Row],[Годовой доход]]/12)</f>
        <v>0.19100091385695731</v>
      </c>
    </row>
    <row r="813" spans="1:21" x14ac:dyDescent="0.3">
      <c r="A813">
        <v>812</v>
      </c>
      <c r="B813">
        <v>0</v>
      </c>
      <c r="C813" s="9">
        <v>222530</v>
      </c>
      <c r="D813">
        <v>690</v>
      </c>
      <c r="E813" s="1">
        <v>595783</v>
      </c>
      <c r="F813">
        <v>0</v>
      </c>
      <c r="G813">
        <v>17327.05</v>
      </c>
      <c r="H813">
        <v>19.5</v>
      </c>
      <c r="I813">
        <v>9</v>
      </c>
      <c r="J813">
        <v>385757</v>
      </c>
      <c r="K813">
        <v>685058</v>
      </c>
      <c r="L813" t="s">
        <v>24</v>
      </c>
      <c r="M813" t="s">
        <v>854</v>
      </c>
      <c r="N813" t="s">
        <v>26</v>
      </c>
      <c r="O813" t="s">
        <v>28</v>
      </c>
      <c r="P813" t="s">
        <v>22</v>
      </c>
      <c r="Q813" t="s">
        <v>23</v>
      </c>
      <c r="R813" t="b">
        <f>OR(Таблица1[[#This Row],[Ежемесячный платеж]]&lt;$AC$5, Таблица1[[#This Row],[Ежемесячный платеж]]&gt;$AC$6)</f>
        <v>0</v>
      </c>
      <c r="S813" s="9">
        <f>(Таблица1[[#This Row],[Размер кредита]]-21824)/(789096-21824)</f>
        <v>0.26158389723592157</v>
      </c>
      <c r="T813" s="9">
        <f>(Таблица1[[#This Row],[Кредитный рейтинг]]-586)/(751-586)</f>
        <v>0.63030303030303025</v>
      </c>
      <c r="U813" s="9">
        <f>Таблица1[[#This Row],[Ежемесячный платеж]]/(Таблица1[[#This Row],[Годовой доход]]/12)</f>
        <v>0.34899384507446501</v>
      </c>
    </row>
    <row r="814" spans="1:21" x14ac:dyDescent="0.3">
      <c r="A814">
        <v>813</v>
      </c>
      <c r="B814">
        <v>0</v>
      </c>
      <c r="C814" s="9">
        <v>446820</v>
      </c>
      <c r="D814">
        <v>715</v>
      </c>
      <c r="E814" s="1">
        <v>1254228</v>
      </c>
      <c r="F814">
        <v>0</v>
      </c>
      <c r="G814">
        <v>6427.89</v>
      </c>
      <c r="H814">
        <v>16.5</v>
      </c>
      <c r="I814">
        <v>3</v>
      </c>
      <c r="J814">
        <v>110903</v>
      </c>
      <c r="K814">
        <v>214390</v>
      </c>
      <c r="L814" t="s">
        <v>63</v>
      </c>
      <c r="M814" t="s">
        <v>855</v>
      </c>
      <c r="N814" t="s">
        <v>26</v>
      </c>
      <c r="O814" t="s">
        <v>34</v>
      </c>
      <c r="P814" t="s">
        <v>22</v>
      </c>
      <c r="Q814" t="s">
        <v>36</v>
      </c>
      <c r="R814" t="b">
        <f>OR(Таблица1[[#This Row],[Ежемесячный платеж]]&lt;$AC$5, Таблица1[[#This Row],[Ежемесячный платеж]]&gt;$AC$6)</f>
        <v>0</v>
      </c>
      <c r="S814" s="9">
        <f>(Таблица1[[#This Row],[Размер кредита]]-21824)/(789096-21824)</f>
        <v>0.55390526436517951</v>
      </c>
      <c r="T814" s="9">
        <f>(Таблица1[[#This Row],[Кредитный рейтинг]]-586)/(751-586)</f>
        <v>0.78181818181818186</v>
      </c>
      <c r="U814" s="9">
        <f>Таблица1[[#This Row],[Ежемесячный платеж]]/(Таблица1[[#This Row],[Годовой доход]]/12)</f>
        <v>6.1499727322305041E-2</v>
      </c>
    </row>
    <row r="815" spans="1:21" x14ac:dyDescent="0.3">
      <c r="A815">
        <v>814</v>
      </c>
      <c r="B815">
        <v>0</v>
      </c>
      <c r="C815" s="9">
        <v>79530</v>
      </c>
      <c r="D815">
        <v>691</v>
      </c>
      <c r="E815" s="1">
        <v>953990</v>
      </c>
      <c r="F815">
        <v>42</v>
      </c>
      <c r="G815">
        <v>27029.78</v>
      </c>
      <c r="H815">
        <v>19</v>
      </c>
      <c r="I815">
        <v>10</v>
      </c>
      <c r="J815">
        <v>371906</v>
      </c>
      <c r="K815">
        <v>563640</v>
      </c>
      <c r="L815" t="s">
        <v>52</v>
      </c>
      <c r="M815" t="s">
        <v>856</v>
      </c>
      <c r="N815" t="s">
        <v>26</v>
      </c>
      <c r="O815" t="s">
        <v>34</v>
      </c>
      <c r="P815" t="s">
        <v>22</v>
      </c>
      <c r="Q815" t="s">
        <v>23</v>
      </c>
      <c r="R815" t="b">
        <f>OR(Таблица1[[#This Row],[Ежемесячный платеж]]&lt;$AC$5, Таблица1[[#This Row],[Ежемесячный платеж]]&gt;$AC$6)</f>
        <v>0</v>
      </c>
      <c r="S815" s="9">
        <f>(Таблица1[[#This Row],[Размер кредита]]-21824)/(789096-21824)</f>
        <v>7.5209312994609478E-2</v>
      </c>
      <c r="T815" s="9">
        <f>(Таблица1[[#This Row],[Кредитный рейтинг]]-586)/(751-586)</f>
        <v>0.63636363636363635</v>
      </c>
      <c r="U815" s="9">
        <f>Таблица1[[#This Row],[Ежемесячный платеж]]/(Таблица1[[#This Row],[Годовой доход]]/12)</f>
        <v>0.34000079665405292</v>
      </c>
    </row>
    <row r="816" spans="1:21" x14ac:dyDescent="0.3">
      <c r="A816">
        <v>815</v>
      </c>
      <c r="B816">
        <v>0</v>
      </c>
      <c r="C816" s="9">
        <v>262988</v>
      </c>
      <c r="D816">
        <v>721</v>
      </c>
      <c r="E816" s="1">
        <v>794960</v>
      </c>
      <c r="F816">
        <v>81</v>
      </c>
      <c r="G816">
        <v>18880.490000000002</v>
      </c>
      <c r="H816">
        <v>15.4</v>
      </c>
      <c r="I816">
        <v>6</v>
      </c>
      <c r="J816">
        <v>30267</v>
      </c>
      <c r="K816">
        <v>87626</v>
      </c>
      <c r="L816" t="s">
        <v>29</v>
      </c>
      <c r="M816" t="s">
        <v>857</v>
      </c>
      <c r="N816" t="s">
        <v>26</v>
      </c>
      <c r="O816" t="s">
        <v>34</v>
      </c>
      <c r="P816" t="s">
        <v>22</v>
      </c>
      <c r="Q816" t="s">
        <v>36</v>
      </c>
      <c r="R816" t="b">
        <f>OR(Таблица1[[#This Row],[Ежемесячный платеж]]&lt;$AC$5, Таблица1[[#This Row],[Ежемесячный платеж]]&gt;$AC$6)</f>
        <v>0</v>
      </c>
      <c r="S816" s="9">
        <f>(Таблица1[[#This Row],[Размер кредита]]-21824)/(789096-21824)</f>
        <v>0.31431356806973276</v>
      </c>
      <c r="T816" s="9">
        <f>(Таблица1[[#This Row],[Кредитный рейтинг]]-586)/(751-586)</f>
        <v>0.81818181818181823</v>
      </c>
      <c r="U816" s="9">
        <f>Таблица1[[#This Row],[Ежемесячный платеж]]/(Таблица1[[#This Row],[Годовой доход]]/12)</f>
        <v>0.28500286806883368</v>
      </c>
    </row>
    <row r="817" spans="1:21" x14ac:dyDescent="0.3">
      <c r="A817">
        <v>816</v>
      </c>
      <c r="B817">
        <v>0</v>
      </c>
      <c r="C817" s="9">
        <v>110814</v>
      </c>
      <c r="D817">
        <v>742</v>
      </c>
      <c r="E817" s="1">
        <v>459325</v>
      </c>
      <c r="F817">
        <v>43</v>
      </c>
      <c r="G817">
        <v>8306.23</v>
      </c>
      <c r="H817">
        <v>7.9</v>
      </c>
      <c r="I817">
        <v>15</v>
      </c>
      <c r="J817">
        <v>125153</v>
      </c>
      <c r="K817">
        <v>296956</v>
      </c>
      <c r="L817" t="s">
        <v>47</v>
      </c>
      <c r="M817" t="s">
        <v>858</v>
      </c>
      <c r="N817" t="s">
        <v>26</v>
      </c>
      <c r="O817" t="s">
        <v>28</v>
      </c>
      <c r="P817" t="s">
        <v>22</v>
      </c>
      <c r="Q817" t="s">
        <v>36</v>
      </c>
      <c r="R817" t="b">
        <f>OR(Таблица1[[#This Row],[Ежемесячный платеж]]&lt;$AC$5, Таблица1[[#This Row],[Ежемесячный платеж]]&gt;$AC$6)</f>
        <v>0</v>
      </c>
      <c r="S817" s="9">
        <f>(Таблица1[[#This Row],[Размер кредита]]-21824)/(789096-21824)</f>
        <v>0.11598233742401652</v>
      </c>
      <c r="T817" s="9">
        <f>(Таблица1[[#This Row],[Кредитный рейтинг]]-586)/(751-586)</f>
        <v>0.94545454545454544</v>
      </c>
      <c r="U817" s="9">
        <f>Таблица1[[#This Row],[Ежемесячный платеж]]/(Таблица1[[#This Row],[Годовой доход]]/12)</f>
        <v>0.21700268872802481</v>
      </c>
    </row>
    <row r="818" spans="1:21" x14ac:dyDescent="0.3">
      <c r="A818">
        <v>817</v>
      </c>
      <c r="B818">
        <v>0</v>
      </c>
      <c r="C818" s="9">
        <v>385308</v>
      </c>
      <c r="D818">
        <v>678</v>
      </c>
      <c r="E818" s="1">
        <v>1823715</v>
      </c>
      <c r="F818">
        <v>18</v>
      </c>
      <c r="G818">
        <v>6914.86</v>
      </c>
      <c r="H818">
        <v>13</v>
      </c>
      <c r="I818">
        <v>21</v>
      </c>
      <c r="J818">
        <v>48944</v>
      </c>
      <c r="K818">
        <v>57244</v>
      </c>
      <c r="L818" t="s">
        <v>69</v>
      </c>
      <c r="M818" t="s">
        <v>859</v>
      </c>
      <c r="N818" t="s">
        <v>68</v>
      </c>
      <c r="O818" t="s">
        <v>34</v>
      </c>
      <c r="P818" t="s">
        <v>31</v>
      </c>
      <c r="Q818" t="s">
        <v>23</v>
      </c>
      <c r="R818" t="b">
        <f>OR(Таблица1[[#This Row],[Ежемесячный платеж]]&lt;$AC$5, Таблица1[[#This Row],[Ежемесячный платеж]]&gt;$AC$6)</f>
        <v>0</v>
      </c>
      <c r="S818" s="9">
        <f>(Таблица1[[#This Row],[Размер кредита]]-21824)/(789096-21824)</f>
        <v>0.4737355201284551</v>
      </c>
      <c r="T818" s="9">
        <f>(Таблица1[[#This Row],[Кредитный рейтинг]]-586)/(751-586)</f>
        <v>0.55757575757575761</v>
      </c>
      <c r="U818" s="9">
        <f>Таблица1[[#This Row],[Ежемесячный платеж]]/(Таблица1[[#This Row],[Годовой доход]]/12)</f>
        <v>4.5499609313955303E-2</v>
      </c>
    </row>
    <row r="819" spans="1:21" x14ac:dyDescent="0.3">
      <c r="A819">
        <v>818</v>
      </c>
      <c r="B819">
        <v>0</v>
      </c>
      <c r="C819" s="9">
        <v>158620</v>
      </c>
      <c r="D819">
        <v>694</v>
      </c>
      <c r="E819" s="1">
        <v>475665</v>
      </c>
      <c r="F819">
        <v>31</v>
      </c>
      <c r="G819">
        <v>3900.51</v>
      </c>
      <c r="H819">
        <v>9.8000000000000007</v>
      </c>
      <c r="I819">
        <v>11</v>
      </c>
      <c r="J819">
        <v>84835</v>
      </c>
      <c r="K819">
        <v>383724</v>
      </c>
      <c r="L819" t="s">
        <v>32</v>
      </c>
      <c r="M819" t="s">
        <v>860</v>
      </c>
      <c r="N819" t="s">
        <v>20</v>
      </c>
      <c r="O819" t="s">
        <v>28</v>
      </c>
      <c r="P819" t="s">
        <v>22</v>
      </c>
      <c r="Q819" t="s">
        <v>23</v>
      </c>
      <c r="R819" t="b">
        <f>OR(Таблица1[[#This Row],[Ежемесячный платеж]]&lt;$AC$5, Таблица1[[#This Row],[Ежемесячный платеж]]&gt;$AC$6)</f>
        <v>0</v>
      </c>
      <c r="S819" s="9">
        <f>(Таблица1[[#This Row],[Размер кредита]]-21824)/(789096-21824)</f>
        <v>0.17828879458653515</v>
      </c>
      <c r="T819" s="9">
        <f>(Таблица1[[#This Row],[Кредитный рейтинг]]-586)/(751-586)</f>
        <v>0.65454545454545454</v>
      </c>
      <c r="U819" s="9">
        <f>Таблица1[[#This Row],[Ежемесячный платеж]]/(Таблица1[[#This Row],[Годовой доход]]/12)</f>
        <v>9.8401437986818455E-2</v>
      </c>
    </row>
    <row r="820" spans="1:21" x14ac:dyDescent="0.3">
      <c r="A820">
        <v>819</v>
      </c>
      <c r="B820">
        <v>0</v>
      </c>
      <c r="C820" s="9">
        <v>768856</v>
      </c>
      <c r="D820">
        <f>$Y$13</f>
        <v>723</v>
      </c>
      <c r="E820">
        <f>$AB$13</f>
        <v>1168044</v>
      </c>
      <c r="F820">
        <v>0</v>
      </c>
      <c r="G820">
        <v>59285.89</v>
      </c>
      <c r="H820">
        <v>11.4</v>
      </c>
      <c r="I820">
        <v>20</v>
      </c>
      <c r="J820">
        <v>408082</v>
      </c>
      <c r="K820">
        <v>806322</v>
      </c>
      <c r="L820" t="s">
        <v>37</v>
      </c>
      <c r="M820" t="s">
        <v>861</v>
      </c>
      <c r="N820" t="s">
        <v>26</v>
      </c>
      <c r="O820" t="s">
        <v>34</v>
      </c>
      <c r="P820" t="s">
        <v>31</v>
      </c>
      <c r="Q820" t="s">
        <v>23</v>
      </c>
      <c r="R820" t="b">
        <f>OR(Таблица1[[#This Row],[Ежемесячный платеж]]&lt;$AC$5, Таблица1[[#This Row],[Ежемесячный платеж]]&gt;$AC$6)</f>
        <v>1</v>
      </c>
      <c r="S820" s="9">
        <f>(Таблица1[[#This Row],[Размер кредита]]-21824)/(789096-21824)</f>
        <v>0.97362082807661432</v>
      </c>
      <c r="T820" s="9">
        <f>(Таблица1[[#This Row],[Кредитный рейтинг]]-586)/(751-586)</f>
        <v>0.83030303030303032</v>
      </c>
      <c r="U820" s="9">
        <f>Таблица1[[#This Row],[Ежемесячный платеж]]/(Таблица1[[#This Row],[Годовой доход]]/12)</f>
        <v>0.60907866484481743</v>
      </c>
    </row>
    <row r="821" spans="1:21" x14ac:dyDescent="0.3">
      <c r="A821">
        <v>820</v>
      </c>
      <c r="B821">
        <v>0</v>
      </c>
      <c r="C821" s="9">
        <v>146366</v>
      </c>
      <c r="D821">
        <v>724</v>
      </c>
      <c r="E821" s="1">
        <v>816753</v>
      </c>
      <c r="F821">
        <v>0</v>
      </c>
      <c r="G821">
        <v>13864.3</v>
      </c>
      <c r="H821">
        <v>12.8</v>
      </c>
      <c r="I821">
        <v>12</v>
      </c>
      <c r="J821">
        <v>168454</v>
      </c>
      <c r="K821">
        <v>263560</v>
      </c>
      <c r="L821" t="s">
        <v>47</v>
      </c>
      <c r="M821" t="s">
        <v>862</v>
      </c>
      <c r="N821" t="s">
        <v>68</v>
      </c>
      <c r="O821" t="s">
        <v>34</v>
      </c>
      <c r="P821" t="s">
        <v>22</v>
      </c>
      <c r="Q821" t="s">
        <v>23</v>
      </c>
      <c r="R821" t="b">
        <f>OR(Таблица1[[#This Row],[Ежемесячный платеж]]&lt;$AC$5, Таблица1[[#This Row],[Ежемесячный платеж]]&gt;$AC$6)</f>
        <v>0</v>
      </c>
      <c r="S821" s="9">
        <f>(Таблица1[[#This Row],[Размер кредита]]-21824)/(789096-21824)</f>
        <v>0.16231792636770273</v>
      </c>
      <c r="T821" s="9">
        <f>(Таблица1[[#This Row],[Кредитный рейтинг]]-586)/(751-586)</f>
        <v>0.83636363636363631</v>
      </c>
      <c r="U821" s="9">
        <f>Таблица1[[#This Row],[Ежемесячный платеж]]/(Таблица1[[#This Row],[Годовой доход]]/12)</f>
        <v>0.2036987926582455</v>
      </c>
    </row>
    <row r="822" spans="1:21" x14ac:dyDescent="0.3">
      <c r="A822">
        <v>821</v>
      </c>
      <c r="B822">
        <v>0</v>
      </c>
      <c r="C822" s="9">
        <v>435512</v>
      </c>
      <c r="D822">
        <v>745</v>
      </c>
      <c r="E822" s="1">
        <v>1128372</v>
      </c>
      <c r="F822">
        <v>0</v>
      </c>
      <c r="G822">
        <v>16925.580000000002</v>
      </c>
      <c r="H822">
        <v>27</v>
      </c>
      <c r="I822">
        <v>9</v>
      </c>
      <c r="J822">
        <v>242801</v>
      </c>
      <c r="K822">
        <v>594396</v>
      </c>
      <c r="L822" t="s">
        <v>24</v>
      </c>
      <c r="M822" t="s">
        <v>863</v>
      </c>
      <c r="N822" t="s">
        <v>26</v>
      </c>
      <c r="O822" t="s">
        <v>21</v>
      </c>
      <c r="P822" t="s">
        <v>22</v>
      </c>
      <c r="Q822" t="s">
        <v>23</v>
      </c>
      <c r="R822" t="b">
        <f>OR(Таблица1[[#This Row],[Ежемесячный платеж]]&lt;$AC$5, Таблица1[[#This Row],[Ежемесячный платеж]]&gt;$AC$6)</f>
        <v>0</v>
      </c>
      <c r="S822" s="9">
        <f>(Таблица1[[#This Row],[Размер кредита]]-21824)/(789096-21824)</f>
        <v>0.53916733570363573</v>
      </c>
      <c r="T822" s="9">
        <f>(Таблица1[[#This Row],[Кредитный рейтинг]]-586)/(751-586)</f>
        <v>0.96363636363636362</v>
      </c>
      <c r="U822" s="9">
        <f>Таблица1[[#This Row],[Ежемесячный платеж]]/(Таблица1[[#This Row],[Годовой доход]]/12)</f>
        <v>0.18000000000000002</v>
      </c>
    </row>
    <row r="823" spans="1:21" x14ac:dyDescent="0.3">
      <c r="A823">
        <v>822</v>
      </c>
      <c r="B823">
        <v>0</v>
      </c>
      <c r="C823" s="9">
        <v>130944</v>
      </c>
      <c r="D823">
        <v>720</v>
      </c>
      <c r="E823" s="1">
        <v>584288</v>
      </c>
      <c r="F823">
        <v>0</v>
      </c>
      <c r="G823">
        <v>9835.5400000000009</v>
      </c>
      <c r="H823">
        <v>10.4</v>
      </c>
      <c r="I823">
        <v>4</v>
      </c>
      <c r="J823">
        <v>43605</v>
      </c>
      <c r="K823">
        <v>157322</v>
      </c>
      <c r="L823" t="s">
        <v>63</v>
      </c>
      <c r="M823" t="s">
        <v>864</v>
      </c>
      <c r="N823" t="s">
        <v>2039</v>
      </c>
      <c r="O823" t="s">
        <v>34</v>
      </c>
      <c r="P823" t="s">
        <v>22</v>
      </c>
      <c r="Q823" t="s">
        <v>23</v>
      </c>
      <c r="R823" t="b">
        <f>OR(Таблица1[[#This Row],[Ежемесячный платеж]]&lt;$AC$5, Таблица1[[#This Row],[Ежемесячный платеж]]&gt;$AC$6)</f>
        <v>0</v>
      </c>
      <c r="S823" s="9">
        <f>(Таблица1[[#This Row],[Размер кредита]]-21824)/(789096-21824)</f>
        <v>0.14221814428260121</v>
      </c>
      <c r="T823" s="9">
        <f>(Таблица1[[#This Row],[Кредитный рейтинг]]-586)/(751-586)</f>
        <v>0.81212121212121213</v>
      </c>
      <c r="U823" s="9">
        <f>Таблица1[[#This Row],[Ежемесячный платеж]]/(Таблица1[[#This Row],[Годовой доход]]/12)</f>
        <v>0.2020005202913632</v>
      </c>
    </row>
    <row r="824" spans="1:21" x14ac:dyDescent="0.3">
      <c r="A824">
        <v>823</v>
      </c>
      <c r="B824">
        <v>0</v>
      </c>
      <c r="C824" s="9">
        <v>134684</v>
      </c>
      <c r="D824">
        <v>735</v>
      </c>
      <c r="E824" s="1">
        <v>579899</v>
      </c>
      <c r="F824">
        <v>38</v>
      </c>
      <c r="G824">
        <v>7345.4</v>
      </c>
      <c r="H824">
        <v>10.6</v>
      </c>
      <c r="I824">
        <v>5</v>
      </c>
      <c r="J824">
        <v>30115</v>
      </c>
      <c r="K824">
        <v>65032</v>
      </c>
      <c r="L824" t="s">
        <v>47</v>
      </c>
      <c r="M824" t="s">
        <v>865</v>
      </c>
      <c r="N824" t="s">
        <v>26</v>
      </c>
      <c r="O824" t="s">
        <v>34</v>
      </c>
      <c r="P824" t="s">
        <v>22</v>
      </c>
      <c r="Q824" t="s">
        <v>23</v>
      </c>
      <c r="R824" t="b">
        <f>OR(Таблица1[[#This Row],[Ежемесячный платеж]]&lt;$AC$5, Таблица1[[#This Row],[Ежемесячный платеж]]&gt;$AC$6)</f>
        <v>0</v>
      </c>
      <c r="S824" s="9">
        <f>(Таблица1[[#This Row],[Размер кредита]]-21824)/(789096-21824)</f>
        <v>0.14709255648583552</v>
      </c>
      <c r="T824" s="9">
        <f>(Таблица1[[#This Row],[Кредитный рейтинг]]-586)/(751-586)</f>
        <v>0.90303030303030307</v>
      </c>
      <c r="U824" s="9">
        <f>Таблица1[[#This Row],[Ежемесячный платеж]]/(Таблица1[[#This Row],[Годовой доход]]/12)</f>
        <v>0.15200026211460962</v>
      </c>
    </row>
    <row r="825" spans="1:21" x14ac:dyDescent="0.3">
      <c r="A825">
        <v>824</v>
      </c>
      <c r="B825">
        <v>0</v>
      </c>
      <c r="C825" s="9">
        <v>352220</v>
      </c>
      <c r="D825">
        <v>750</v>
      </c>
      <c r="E825" s="1">
        <v>2129273</v>
      </c>
      <c r="F825">
        <v>68</v>
      </c>
      <c r="G825">
        <v>10859.26</v>
      </c>
      <c r="H825">
        <v>20.7</v>
      </c>
      <c r="I825">
        <v>12</v>
      </c>
      <c r="J825">
        <v>289180</v>
      </c>
      <c r="K825">
        <v>667018</v>
      </c>
      <c r="L825" t="s">
        <v>18</v>
      </c>
      <c r="M825" t="s">
        <v>866</v>
      </c>
      <c r="N825" t="s">
        <v>20</v>
      </c>
      <c r="O825" t="s">
        <v>21</v>
      </c>
      <c r="P825" t="s">
        <v>22</v>
      </c>
      <c r="Q825" t="s">
        <v>23</v>
      </c>
      <c r="R825" t="b">
        <f>OR(Таблица1[[#This Row],[Ежемесячный платеж]]&lt;$AC$5, Таблица1[[#This Row],[Ежемесячный платеж]]&gt;$AC$6)</f>
        <v>0</v>
      </c>
      <c r="S825" s="9">
        <f>(Таблица1[[#This Row],[Размер кредита]]-21824)/(789096-21824)</f>
        <v>0.43061130863631153</v>
      </c>
      <c r="T825" s="9">
        <f>(Таблица1[[#This Row],[Кредитный рейтинг]]-586)/(751-586)</f>
        <v>0.9939393939393939</v>
      </c>
      <c r="U825" s="9">
        <f>Таблица1[[#This Row],[Ежемесячный платеж]]/(Таблица1[[#This Row],[Годовой доход]]/12)</f>
        <v>6.1199817966038177E-2</v>
      </c>
    </row>
    <row r="826" spans="1:21" x14ac:dyDescent="0.3">
      <c r="A826">
        <v>825</v>
      </c>
      <c r="B826">
        <v>0</v>
      </c>
      <c r="C826" s="9">
        <v>133012</v>
      </c>
      <c r="D826">
        <v>717</v>
      </c>
      <c r="E826" s="1">
        <v>1194606</v>
      </c>
      <c r="F826">
        <v>56</v>
      </c>
      <c r="G826">
        <v>12712.71</v>
      </c>
      <c r="H826">
        <v>16.399999999999999</v>
      </c>
      <c r="I826">
        <v>9</v>
      </c>
      <c r="J826">
        <v>119586</v>
      </c>
      <c r="K826">
        <v>387904</v>
      </c>
      <c r="L826" t="s">
        <v>52</v>
      </c>
      <c r="M826" t="s">
        <v>867</v>
      </c>
      <c r="N826" t="s">
        <v>76</v>
      </c>
      <c r="O826" t="s">
        <v>34</v>
      </c>
      <c r="P826" t="s">
        <v>31</v>
      </c>
      <c r="Q826" t="s">
        <v>36</v>
      </c>
      <c r="R826" t="b">
        <f>OR(Таблица1[[#This Row],[Ежемесячный платеж]]&lt;$AC$5, Таблица1[[#This Row],[Ежемесячный платеж]]&gt;$AC$6)</f>
        <v>0</v>
      </c>
      <c r="S826" s="9">
        <f>(Таблица1[[#This Row],[Размер кредита]]-21824)/(789096-21824)</f>
        <v>0.14491340750086018</v>
      </c>
      <c r="T826" s="9">
        <f>(Таблица1[[#This Row],[Кредитный рейтинг]]-586)/(751-586)</f>
        <v>0.79393939393939394</v>
      </c>
      <c r="U826" s="9">
        <f>Таблица1[[#This Row],[Ежемесячный платеж]]/(Таблица1[[#This Row],[Годовой доход]]/12)</f>
        <v>0.12770111651875177</v>
      </c>
    </row>
    <row r="827" spans="1:21" x14ac:dyDescent="0.3">
      <c r="A827">
        <v>826</v>
      </c>
      <c r="B827">
        <v>0</v>
      </c>
      <c r="C827" s="9">
        <v>260260</v>
      </c>
      <c r="D827">
        <v>730</v>
      </c>
      <c r="E827" s="1">
        <v>1236197</v>
      </c>
      <c r="F827">
        <v>30</v>
      </c>
      <c r="G827">
        <v>21015.33</v>
      </c>
      <c r="H827">
        <v>12.8</v>
      </c>
      <c r="I827">
        <v>10</v>
      </c>
      <c r="J827">
        <v>121106</v>
      </c>
      <c r="K827">
        <v>308198</v>
      </c>
      <c r="L827" t="s">
        <v>52</v>
      </c>
      <c r="M827" t="s">
        <v>868</v>
      </c>
      <c r="N827" t="s">
        <v>26</v>
      </c>
      <c r="O827" t="s">
        <v>21</v>
      </c>
      <c r="P827" t="s">
        <v>31</v>
      </c>
      <c r="Q827" t="s">
        <v>36</v>
      </c>
      <c r="R827" t="b">
        <f>OR(Таблица1[[#This Row],[Ежемесячный платеж]]&lt;$AC$5, Таблица1[[#This Row],[Ежемесячный платеж]]&gt;$AC$6)</f>
        <v>0</v>
      </c>
      <c r="S827" s="9">
        <f>(Таблица1[[#This Row],[Размер кредита]]-21824)/(789096-21824)</f>
        <v>0.31075811446266771</v>
      </c>
      <c r="T827" s="9">
        <f>(Таблица1[[#This Row],[Кредитный рейтинг]]-586)/(751-586)</f>
        <v>0.87272727272727268</v>
      </c>
      <c r="U827" s="9">
        <f>Таблица1[[#This Row],[Ежемесячный платеж]]/(Таблица1[[#This Row],[Годовой доход]]/12)</f>
        <v>0.20399981556337704</v>
      </c>
    </row>
    <row r="828" spans="1:21" x14ac:dyDescent="0.3">
      <c r="A828">
        <v>827</v>
      </c>
      <c r="B828">
        <v>0</v>
      </c>
      <c r="C828" s="9">
        <v>769230</v>
      </c>
      <c r="D828">
        <v>691</v>
      </c>
      <c r="E828" s="1">
        <v>2799707</v>
      </c>
      <c r="F828">
        <v>0</v>
      </c>
      <c r="G828">
        <v>63459.81</v>
      </c>
      <c r="H828">
        <v>17</v>
      </c>
      <c r="I828">
        <v>18</v>
      </c>
      <c r="J828">
        <v>633536</v>
      </c>
      <c r="K828">
        <v>1047926</v>
      </c>
      <c r="L828" t="s">
        <v>37</v>
      </c>
      <c r="M828" t="s">
        <v>869</v>
      </c>
      <c r="N828" t="s">
        <v>26</v>
      </c>
      <c r="O828" t="s">
        <v>21</v>
      </c>
      <c r="P828" t="s">
        <v>31</v>
      </c>
      <c r="Q828" t="s">
        <v>23</v>
      </c>
      <c r="R828" t="b">
        <f>OR(Таблица1[[#This Row],[Ежемесячный платеж]]&lt;$AC$5, Таблица1[[#This Row],[Ежемесячный платеж]]&gt;$AC$6)</f>
        <v>1</v>
      </c>
      <c r="S828" s="9">
        <f>(Таблица1[[#This Row],[Размер кредита]]-21824)/(789096-21824)</f>
        <v>0.97410826929693772</v>
      </c>
      <c r="T828" s="9">
        <f>(Таблица1[[#This Row],[Кредитный рейтинг]]-586)/(751-586)</f>
        <v>0.63636363636363635</v>
      </c>
      <c r="U828" s="9">
        <f>Таблица1[[#This Row],[Ежемесячный платеж]]/(Таблица1[[#This Row],[Годовой доход]]/12)</f>
        <v>0.27199907704627663</v>
      </c>
    </row>
    <row r="829" spans="1:21" x14ac:dyDescent="0.3">
      <c r="A829">
        <v>828</v>
      </c>
      <c r="B829">
        <v>0</v>
      </c>
      <c r="C829" s="9">
        <v>360052</v>
      </c>
      <c r="D829">
        <v>719</v>
      </c>
      <c r="E829" s="1">
        <v>721582</v>
      </c>
      <c r="F829">
        <v>0</v>
      </c>
      <c r="G829">
        <v>13529.71</v>
      </c>
      <c r="H829">
        <v>17</v>
      </c>
      <c r="I829">
        <v>6</v>
      </c>
      <c r="J829">
        <v>354730</v>
      </c>
      <c r="K829">
        <v>416130</v>
      </c>
      <c r="L829" t="s">
        <v>24</v>
      </c>
      <c r="M829" t="s">
        <v>870</v>
      </c>
      <c r="N829" t="s">
        <v>26</v>
      </c>
      <c r="O829" t="s">
        <v>21</v>
      </c>
      <c r="P829" t="s">
        <v>22</v>
      </c>
      <c r="Q829" t="s">
        <v>23</v>
      </c>
      <c r="R829" t="b">
        <f>OR(Таблица1[[#This Row],[Ежемесячный платеж]]&lt;$AC$5, Таблица1[[#This Row],[Ежемесячный платеж]]&gt;$AC$6)</f>
        <v>0</v>
      </c>
      <c r="S829" s="9">
        <f>(Таблица1[[#This Row],[Размер кредита]]-21824)/(789096-21824)</f>
        <v>0.44081890125014339</v>
      </c>
      <c r="T829" s="9">
        <f>(Таблица1[[#This Row],[Кредитный рейтинг]]-586)/(751-586)</f>
        <v>0.80606060606060603</v>
      </c>
      <c r="U829" s="9">
        <f>Таблица1[[#This Row],[Ежемесячный платеж]]/(Таблица1[[#This Row],[Годовой доход]]/12)</f>
        <v>0.22500078993101266</v>
      </c>
    </row>
    <row r="830" spans="1:21" x14ac:dyDescent="0.3">
      <c r="A830">
        <v>829</v>
      </c>
      <c r="B830">
        <v>0</v>
      </c>
      <c r="C830" s="9">
        <v>524524</v>
      </c>
      <c r="D830">
        <f>$Y$13</f>
        <v>723</v>
      </c>
      <c r="E830">
        <f>$AB$13</f>
        <v>1168044</v>
      </c>
      <c r="F830">
        <v>0</v>
      </c>
      <c r="G830">
        <v>15892.36</v>
      </c>
      <c r="H830">
        <v>15.4</v>
      </c>
      <c r="I830">
        <v>12</v>
      </c>
      <c r="J830">
        <v>449236</v>
      </c>
      <c r="K830">
        <v>959706</v>
      </c>
      <c r="L830" t="s">
        <v>32</v>
      </c>
      <c r="M830" t="s">
        <v>871</v>
      </c>
      <c r="N830" t="s">
        <v>26</v>
      </c>
      <c r="O830" t="s">
        <v>21</v>
      </c>
      <c r="P830" t="s">
        <v>22</v>
      </c>
      <c r="Q830" t="s">
        <v>23</v>
      </c>
      <c r="R830" t="b">
        <f>OR(Таблица1[[#This Row],[Ежемесячный платеж]]&lt;$AC$5, Таблица1[[#This Row],[Ежемесячный платеж]]&gt;$AC$6)</f>
        <v>0</v>
      </c>
      <c r="S830" s="9">
        <f>(Таблица1[[#This Row],[Размер кредита]]-21824)/(789096-21824)</f>
        <v>0.65517834614061243</v>
      </c>
      <c r="T830" s="9">
        <f>(Таблица1[[#This Row],[Кредитный рейтинг]]-586)/(751-586)</f>
        <v>0.83030303030303032</v>
      </c>
      <c r="U830" s="9">
        <f>Таблица1[[#This Row],[Ежемесячный платеж]]/(Таблица1[[#This Row],[Годовой доход]]/12)</f>
        <v>0.1632715205934023</v>
      </c>
    </row>
    <row r="831" spans="1:21" x14ac:dyDescent="0.3">
      <c r="A831">
        <v>830</v>
      </c>
      <c r="B831">
        <v>0</v>
      </c>
      <c r="C831" s="9">
        <v>259028</v>
      </c>
      <c r="D831">
        <v>698</v>
      </c>
      <c r="E831" s="1">
        <v>2469753</v>
      </c>
      <c r="F831">
        <v>68</v>
      </c>
      <c r="G831">
        <v>22227.72</v>
      </c>
      <c r="H831">
        <v>8.4</v>
      </c>
      <c r="I831">
        <v>10</v>
      </c>
      <c r="J831">
        <v>250705</v>
      </c>
      <c r="K831">
        <v>468204</v>
      </c>
      <c r="L831" t="s">
        <v>63</v>
      </c>
      <c r="M831" t="s">
        <v>872</v>
      </c>
      <c r="N831" t="s">
        <v>26</v>
      </c>
      <c r="O831" t="s">
        <v>21</v>
      </c>
      <c r="P831" t="s">
        <v>31</v>
      </c>
      <c r="Q831" t="s">
        <v>23</v>
      </c>
      <c r="R831" t="b">
        <f>OR(Таблица1[[#This Row],[Ежемесячный платеж]]&lt;$AC$5, Таблица1[[#This Row],[Ежемесячный платеж]]&gt;$AC$6)</f>
        <v>0</v>
      </c>
      <c r="S831" s="9">
        <f>(Таблица1[[#This Row],[Размер кредита]]-21824)/(789096-21824)</f>
        <v>0.30915242573689644</v>
      </c>
      <c r="T831" s="9">
        <f>(Таблица1[[#This Row],[Кредитный рейтинг]]-586)/(751-586)</f>
        <v>0.67878787878787883</v>
      </c>
      <c r="U831" s="9">
        <f>Таблица1[[#This Row],[Ежемесячный платеж]]/(Таблица1[[#This Row],[Годовой доход]]/12)</f>
        <v>0.107999723049228</v>
      </c>
    </row>
    <row r="832" spans="1:21" x14ac:dyDescent="0.3">
      <c r="A832">
        <v>831</v>
      </c>
      <c r="B832">
        <v>0</v>
      </c>
      <c r="C832" s="9">
        <v>267542</v>
      </c>
      <c r="D832">
        <v>746</v>
      </c>
      <c r="E832" s="1">
        <v>1578881</v>
      </c>
      <c r="F832">
        <v>71</v>
      </c>
      <c r="G832">
        <v>15657.33</v>
      </c>
      <c r="H832">
        <v>10</v>
      </c>
      <c r="I832">
        <v>11</v>
      </c>
      <c r="J832">
        <v>195966</v>
      </c>
      <c r="K832">
        <v>387882</v>
      </c>
      <c r="L832" t="s">
        <v>63</v>
      </c>
      <c r="M832" t="s">
        <v>873</v>
      </c>
      <c r="N832" t="s">
        <v>26</v>
      </c>
      <c r="O832" t="s">
        <v>34</v>
      </c>
      <c r="P832" t="s">
        <v>22</v>
      </c>
      <c r="Q832" t="s">
        <v>23</v>
      </c>
      <c r="R832" t="b">
        <f>OR(Таблица1[[#This Row],[Ежемесячный платеж]]&lt;$AC$5, Таблица1[[#This Row],[Ежемесячный платеж]]&gt;$AC$6)</f>
        <v>0</v>
      </c>
      <c r="S832" s="9">
        <f>(Таблица1[[#This Row],[Размер кредита]]-21824)/(789096-21824)</f>
        <v>0.32024888175249455</v>
      </c>
      <c r="T832" s="9">
        <f>(Таблица1[[#This Row],[Кредитный рейтинг]]-586)/(751-586)</f>
        <v>0.96969696969696972</v>
      </c>
      <c r="U832" s="9">
        <f>Таблица1[[#This Row],[Ежемесячный платеж]]/(Таблица1[[#This Row],[Годовой доход]]/12)</f>
        <v>0.11900070999651019</v>
      </c>
    </row>
    <row r="833" spans="1:21" x14ac:dyDescent="0.3">
      <c r="A833">
        <v>832</v>
      </c>
      <c r="B833">
        <v>0</v>
      </c>
      <c r="C833" s="9">
        <v>174438</v>
      </c>
      <c r="D833">
        <f>$Y$13</f>
        <v>723</v>
      </c>
      <c r="E833">
        <f>$AB$13</f>
        <v>1168044</v>
      </c>
      <c r="F833">
        <v>0</v>
      </c>
      <c r="G833">
        <v>9476.6299999999992</v>
      </c>
      <c r="H833">
        <v>17</v>
      </c>
      <c r="I833">
        <v>5</v>
      </c>
      <c r="J833">
        <v>84265</v>
      </c>
      <c r="K833">
        <v>109032</v>
      </c>
      <c r="L833" t="s">
        <v>24</v>
      </c>
      <c r="M833" t="s">
        <v>874</v>
      </c>
      <c r="N833" t="s">
        <v>68</v>
      </c>
      <c r="O833" t="s">
        <v>21</v>
      </c>
      <c r="P833" t="s">
        <v>22</v>
      </c>
      <c r="Q833" t="s">
        <v>36</v>
      </c>
      <c r="R833" t="b">
        <f>OR(Таблица1[[#This Row],[Ежемесячный платеж]]&lt;$AC$5, Таблица1[[#This Row],[Ежемесячный платеж]]&gt;$AC$6)</f>
        <v>0</v>
      </c>
      <c r="S833" s="9">
        <f>(Таблица1[[#This Row],[Размер кредита]]-21824)/(789096-21824)</f>
        <v>0.1989046909049203</v>
      </c>
      <c r="T833" s="9">
        <f>(Таблица1[[#This Row],[Кредитный рейтинг]]-586)/(751-586)</f>
        <v>0.83030303030303032</v>
      </c>
      <c r="U833" s="9">
        <f>Таблица1[[#This Row],[Ежемесячный платеж]]/(Таблица1[[#This Row],[Годовой доход]]/12)</f>
        <v>9.7358969353894195E-2</v>
      </c>
    </row>
    <row r="834" spans="1:21" x14ac:dyDescent="0.3">
      <c r="A834">
        <v>833</v>
      </c>
      <c r="B834">
        <v>0</v>
      </c>
      <c r="C834" s="9">
        <v>249326</v>
      </c>
      <c r="D834">
        <f>$Y$13</f>
        <v>723</v>
      </c>
      <c r="E834">
        <f>$AB$13</f>
        <v>1168044</v>
      </c>
      <c r="F834">
        <v>0</v>
      </c>
      <c r="G834">
        <v>11548.58</v>
      </c>
      <c r="H834">
        <v>10.199999999999999</v>
      </c>
      <c r="I834">
        <v>8</v>
      </c>
      <c r="J834">
        <v>250382</v>
      </c>
      <c r="K834">
        <v>365134</v>
      </c>
      <c r="L834" t="s">
        <v>32</v>
      </c>
      <c r="M834" t="s">
        <v>875</v>
      </c>
      <c r="N834" t="s">
        <v>26</v>
      </c>
      <c r="O834" t="s">
        <v>34</v>
      </c>
      <c r="P834" t="s">
        <v>22</v>
      </c>
      <c r="Q834" t="s">
        <v>23</v>
      </c>
      <c r="R834" t="b">
        <f>OR(Таблица1[[#This Row],[Ежемесячный платеж]]&lt;$AC$5, Таблица1[[#This Row],[Ежемесячный платеж]]&gt;$AC$6)</f>
        <v>0</v>
      </c>
      <c r="S834" s="9">
        <f>(Таблица1[[#This Row],[Размер кредита]]-21824)/(789096-21824)</f>
        <v>0.2965076270214474</v>
      </c>
      <c r="T834" s="9">
        <f>(Таблица1[[#This Row],[Кредитный рейтинг]]-586)/(751-586)</f>
        <v>0.83030303030303032</v>
      </c>
      <c r="U834" s="9">
        <f>Таблица1[[#This Row],[Ежемесячный платеж]]/(Таблица1[[#This Row],[Годовой доход]]/12)</f>
        <v>0.11864532500487995</v>
      </c>
    </row>
    <row r="835" spans="1:21" x14ac:dyDescent="0.3">
      <c r="A835">
        <v>834</v>
      </c>
      <c r="B835">
        <v>1</v>
      </c>
      <c r="C835" s="9">
        <v>221276</v>
      </c>
      <c r="D835">
        <v>743</v>
      </c>
      <c r="E835" s="1">
        <v>1299486</v>
      </c>
      <c r="F835">
        <v>37</v>
      </c>
      <c r="G835">
        <v>12345.25</v>
      </c>
      <c r="H835">
        <v>20.8</v>
      </c>
      <c r="I835">
        <v>12</v>
      </c>
      <c r="J835">
        <v>74385</v>
      </c>
      <c r="K835">
        <v>206030</v>
      </c>
      <c r="L835" t="s">
        <v>32</v>
      </c>
      <c r="M835" s="2" t="s">
        <v>876</v>
      </c>
      <c r="N835" t="s">
        <v>26</v>
      </c>
      <c r="O835" t="s">
        <v>21</v>
      </c>
      <c r="P835" t="s">
        <v>22</v>
      </c>
      <c r="Q835" t="s">
        <v>23</v>
      </c>
      <c r="R835" t="b">
        <f>OR(Таблица1[[#This Row],[Ежемесячный платеж]]&lt;$AC$5, Таблица1[[#This Row],[Ежемесячный платеж]]&gt;$AC$6)</f>
        <v>0</v>
      </c>
      <c r="S835" s="9">
        <f>(Таблица1[[#This Row],[Размер кредита]]-21824)/(789096-21824)</f>
        <v>0.25994953549719002</v>
      </c>
      <c r="T835" s="9">
        <f>(Таблица1[[#This Row],[Кредитный рейтинг]]-586)/(751-586)</f>
        <v>0.95151515151515154</v>
      </c>
      <c r="U835" s="9">
        <f>Таблица1[[#This Row],[Ежемесячный платеж]]/(Таблица1[[#This Row],[Годовой доход]]/12)</f>
        <v>0.11400122817791035</v>
      </c>
    </row>
    <row r="836" spans="1:21" x14ac:dyDescent="0.3">
      <c r="A836">
        <v>835</v>
      </c>
      <c r="B836">
        <v>0</v>
      </c>
      <c r="C836" s="9">
        <v>222420</v>
      </c>
      <c r="D836">
        <v>712</v>
      </c>
      <c r="E836" s="1">
        <v>2723840</v>
      </c>
      <c r="F836">
        <v>68</v>
      </c>
      <c r="G836">
        <v>42446.57</v>
      </c>
      <c r="H836">
        <v>18.3</v>
      </c>
      <c r="I836">
        <v>17</v>
      </c>
      <c r="J836">
        <v>563920</v>
      </c>
      <c r="K836">
        <v>814176</v>
      </c>
      <c r="L836" t="s">
        <v>32</v>
      </c>
      <c r="M836" t="s">
        <v>877</v>
      </c>
      <c r="N836" t="s">
        <v>20</v>
      </c>
      <c r="O836" t="s">
        <v>21</v>
      </c>
      <c r="P836" t="s">
        <v>22</v>
      </c>
      <c r="Q836" t="s">
        <v>23</v>
      </c>
      <c r="R836" t="b">
        <f>OR(Таблица1[[#This Row],[Ежемесячный платеж]]&lt;$AC$5, Таблица1[[#This Row],[Ежемесячный платеж]]&gt;$AC$6)</f>
        <v>0</v>
      </c>
      <c r="S836" s="9">
        <f>(Таблица1[[#This Row],[Размер кредита]]-21824)/(789096-21824)</f>
        <v>0.26144053217112057</v>
      </c>
      <c r="T836" s="9">
        <f>(Таблица1[[#This Row],[Кредитный рейтинг]]-586)/(751-586)</f>
        <v>0.76363636363636367</v>
      </c>
      <c r="U836" s="9">
        <f>Таблица1[[#This Row],[Ежемесячный платеж]]/(Таблица1[[#This Row],[Годовой доход]]/12)</f>
        <v>0.18700027901785715</v>
      </c>
    </row>
    <row r="837" spans="1:21" x14ac:dyDescent="0.3">
      <c r="A837">
        <v>836</v>
      </c>
      <c r="B837">
        <v>0</v>
      </c>
      <c r="C837" s="9">
        <v>402578</v>
      </c>
      <c r="D837">
        <f>$Y$13</f>
        <v>723</v>
      </c>
      <c r="E837">
        <f>$AB$13</f>
        <v>1168044</v>
      </c>
      <c r="F837">
        <v>18</v>
      </c>
      <c r="G837">
        <v>5097.32</v>
      </c>
      <c r="H837">
        <v>16.3</v>
      </c>
      <c r="I837">
        <v>8</v>
      </c>
      <c r="J837">
        <v>211964</v>
      </c>
      <c r="K837">
        <v>322102</v>
      </c>
      <c r="L837" t="s">
        <v>24</v>
      </c>
      <c r="M837" t="s">
        <v>878</v>
      </c>
      <c r="N837" t="s">
        <v>26</v>
      </c>
      <c r="O837" t="s">
        <v>21</v>
      </c>
      <c r="P837" t="s">
        <v>22</v>
      </c>
      <c r="Q837" t="s">
        <v>23</v>
      </c>
      <c r="R837" t="b">
        <f>OR(Таблица1[[#This Row],[Ежемесячный платеж]]&lt;$AC$5, Таблица1[[#This Row],[Ежемесячный платеж]]&gt;$AC$6)</f>
        <v>0</v>
      </c>
      <c r="S837" s="9">
        <f>(Таблица1[[#This Row],[Размер кредита]]-21824)/(789096-21824)</f>
        <v>0.49624383530221355</v>
      </c>
      <c r="T837" s="9">
        <f>(Таблица1[[#This Row],[Кредитный рейтинг]]-586)/(751-586)</f>
        <v>0.83030303030303032</v>
      </c>
      <c r="U837" s="9">
        <f>Таблица1[[#This Row],[Ежемесячный платеж]]/(Таблица1[[#This Row],[Годовой доход]]/12)</f>
        <v>5.2367753269568607E-2</v>
      </c>
    </row>
    <row r="838" spans="1:21" x14ac:dyDescent="0.3">
      <c r="A838">
        <v>837</v>
      </c>
      <c r="B838">
        <v>0</v>
      </c>
      <c r="C838" s="9">
        <v>280852</v>
      </c>
      <c r="D838">
        <v>738</v>
      </c>
      <c r="E838" s="1">
        <v>1585930</v>
      </c>
      <c r="F838">
        <v>0</v>
      </c>
      <c r="G838">
        <v>28811.03</v>
      </c>
      <c r="H838">
        <v>22.6</v>
      </c>
      <c r="I838">
        <v>13</v>
      </c>
      <c r="J838">
        <v>276602</v>
      </c>
      <c r="K838">
        <v>423654</v>
      </c>
      <c r="L838" t="s">
        <v>24</v>
      </c>
      <c r="M838" t="s">
        <v>879</v>
      </c>
      <c r="N838" t="s">
        <v>26</v>
      </c>
      <c r="O838" t="s">
        <v>21</v>
      </c>
      <c r="P838" t="s">
        <v>22</v>
      </c>
      <c r="Q838" t="s">
        <v>23</v>
      </c>
      <c r="R838" t="b">
        <f>OR(Таблица1[[#This Row],[Ежемесячный платеж]]&lt;$AC$5, Таблица1[[#This Row],[Ежемесячный платеж]]&gt;$AC$6)</f>
        <v>0</v>
      </c>
      <c r="S838" s="9">
        <f>(Таблица1[[#This Row],[Размер кредита]]-21824)/(789096-21824)</f>
        <v>0.33759605459341668</v>
      </c>
      <c r="T838" s="9">
        <f>(Таблица1[[#This Row],[Кредитный рейтинг]]-586)/(751-586)</f>
        <v>0.92121212121212126</v>
      </c>
      <c r="U838" s="9">
        <f>Таблица1[[#This Row],[Ежемесячный платеж]]/(Таблица1[[#This Row],[Годовой доход]]/12)</f>
        <v>0.21799976039295552</v>
      </c>
    </row>
    <row r="839" spans="1:21" x14ac:dyDescent="0.3">
      <c r="A839">
        <v>838</v>
      </c>
      <c r="B839">
        <v>1</v>
      </c>
      <c r="D839">
        <v>723</v>
      </c>
      <c r="E839" s="1">
        <v>905521</v>
      </c>
      <c r="F839">
        <v>0</v>
      </c>
      <c r="G839">
        <v>6489.64</v>
      </c>
      <c r="H839">
        <v>24.5</v>
      </c>
      <c r="I839">
        <v>5</v>
      </c>
      <c r="J839">
        <v>134026</v>
      </c>
      <c r="K839">
        <v>170346</v>
      </c>
      <c r="L839" t="s">
        <v>69</v>
      </c>
      <c r="M839" t="s">
        <v>880</v>
      </c>
      <c r="N839" t="s">
        <v>26</v>
      </c>
      <c r="O839" t="s">
        <v>21</v>
      </c>
      <c r="P839" t="s">
        <v>22</v>
      </c>
      <c r="Q839" t="s">
        <v>23</v>
      </c>
      <c r="R839" t="b">
        <f>OR(Таблица1[[#This Row],[Ежемесячный платеж]]&lt;$AC$5, Таблица1[[#This Row],[Ежемесячный платеж]]&gt;$AC$6)</f>
        <v>0</v>
      </c>
      <c r="T839" s="9">
        <f>(Таблица1[[#This Row],[Кредитный рейтинг]]-586)/(751-586)</f>
        <v>0.83030303030303032</v>
      </c>
      <c r="U839" s="9">
        <f>Таблица1[[#This Row],[Ежемесячный платеж]]/(Таблица1[[#This Row],[Годовой доход]]/12)</f>
        <v>8.6000965190205433E-2</v>
      </c>
    </row>
    <row r="840" spans="1:21" x14ac:dyDescent="0.3">
      <c r="A840">
        <v>839</v>
      </c>
      <c r="B840">
        <v>0</v>
      </c>
      <c r="C840" s="9">
        <v>386694</v>
      </c>
      <c r="D840">
        <v>740</v>
      </c>
      <c r="E840" s="1">
        <v>1726910</v>
      </c>
      <c r="F840">
        <v>77</v>
      </c>
      <c r="G840">
        <v>17412.93</v>
      </c>
      <c r="H840">
        <v>11.8</v>
      </c>
      <c r="I840">
        <v>8</v>
      </c>
      <c r="J840">
        <v>298756</v>
      </c>
      <c r="K840">
        <v>353694</v>
      </c>
      <c r="L840" t="s">
        <v>24</v>
      </c>
      <c r="M840" t="s">
        <v>881</v>
      </c>
      <c r="N840" t="s">
        <v>26</v>
      </c>
      <c r="O840" t="s">
        <v>34</v>
      </c>
      <c r="P840" t="s">
        <v>22</v>
      </c>
      <c r="Q840" t="s">
        <v>23</v>
      </c>
      <c r="R840" t="b">
        <f>OR(Таблица1[[#This Row],[Ежемесячный платеж]]&lt;$AC$5, Таблица1[[#This Row],[Ежемесячный платеж]]&gt;$AC$6)</f>
        <v>0</v>
      </c>
      <c r="S840" s="9">
        <f>(Таблица1[[#This Row],[Размер кредита]]-21824)/(789096-21824)</f>
        <v>0.47554191994494782</v>
      </c>
      <c r="T840" s="9">
        <f>(Таблица1[[#This Row],[Кредитный рейтинг]]-586)/(751-586)</f>
        <v>0.93333333333333335</v>
      </c>
      <c r="U840" s="9">
        <f>Таблица1[[#This Row],[Ежемесячный платеж]]/(Таблица1[[#This Row],[Годовой доход]]/12)</f>
        <v>0.12099944988447575</v>
      </c>
    </row>
    <row r="841" spans="1:21" x14ac:dyDescent="0.3">
      <c r="A841">
        <v>840</v>
      </c>
      <c r="B841">
        <v>0</v>
      </c>
      <c r="C841" s="9">
        <v>351692</v>
      </c>
      <c r="D841">
        <f>$Y$13</f>
        <v>723</v>
      </c>
      <c r="E841">
        <f>$AB$13</f>
        <v>1168044</v>
      </c>
      <c r="F841">
        <v>0</v>
      </c>
      <c r="G841">
        <v>27715.11</v>
      </c>
      <c r="H841">
        <v>16.100000000000001</v>
      </c>
      <c r="I841">
        <v>8</v>
      </c>
      <c r="J841">
        <v>188708</v>
      </c>
      <c r="K841">
        <v>272448</v>
      </c>
      <c r="L841" t="s">
        <v>32</v>
      </c>
      <c r="M841" t="s">
        <v>882</v>
      </c>
      <c r="N841" t="s">
        <v>26</v>
      </c>
      <c r="O841" t="s">
        <v>34</v>
      </c>
      <c r="P841" t="s">
        <v>22</v>
      </c>
      <c r="Q841" t="s">
        <v>36</v>
      </c>
      <c r="R841" t="b">
        <f>OR(Таблица1[[#This Row],[Ежемесячный платеж]]&lt;$AC$5, Таблица1[[#This Row],[Ежемесячный платеж]]&gt;$AC$6)</f>
        <v>0</v>
      </c>
      <c r="S841" s="9">
        <f>(Таблица1[[#This Row],[Размер кредита]]-21824)/(789096-21824)</f>
        <v>0.42992315632526668</v>
      </c>
      <c r="T841" s="9">
        <f>(Таблица1[[#This Row],[Кредитный рейтинг]]-586)/(751-586)</f>
        <v>0.83030303030303032</v>
      </c>
      <c r="U841" s="9">
        <f>Таблица1[[#This Row],[Ежемесячный платеж]]/(Таблица1[[#This Row],[Годовой доход]]/12)</f>
        <v>0.28473355455787625</v>
      </c>
    </row>
    <row r="842" spans="1:21" x14ac:dyDescent="0.3">
      <c r="A842">
        <v>841</v>
      </c>
      <c r="B842">
        <v>0</v>
      </c>
      <c r="C842" s="9">
        <v>224092</v>
      </c>
      <c r="D842">
        <v>721</v>
      </c>
      <c r="E842" s="1">
        <v>696730</v>
      </c>
      <c r="F842">
        <v>0</v>
      </c>
      <c r="G842">
        <v>10683.13</v>
      </c>
      <c r="H842">
        <v>7.7</v>
      </c>
      <c r="I842">
        <v>7</v>
      </c>
      <c r="J842">
        <v>119377</v>
      </c>
      <c r="K842">
        <v>219736</v>
      </c>
      <c r="L842" t="s">
        <v>47</v>
      </c>
      <c r="M842" t="s">
        <v>883</v>
      </c>
      <c r="N842" t="s">
        <v>26</v>
      </c>
      <c r="O842" t="s">
        <v>34</v>
      </c>
      <c r="P842" t="s">
        <v>22</v>
      </c>
      <c r="Q842" t="s">
        <v>23</v>
      </c>
      <c r="R842" t="b">
        <f>OR(Таблица1[[#This Row],[Ежемесячный платеж]]&lt;$AC$5, Таблица1[[#This Row],[Ежемесячный платеж]]&gt;$AC$6)</f>
        <v>0</v>
      </c>
      <c r="S842" s="9">
        <f>(Таблица1[[#This Row],[Размер кредита]]-21824)/(789096-21824)</f>
        <v>0.26361968115609591</v>
      </c>
      <c r="T842" s="9">
        <f>(Таблица1[[#This Row],[Кредитный рейтинг]]-586)/(751-586)</f>
        <v>0.81818181818181823</v>
      </c>
      <c r="U842" s="9">
        <f>Таблица1[[#This Row],[Ежемесячный платеж]]/(Таблица1[[#This Row],[Годовой доход]]/12)</f>
        <v>0.18399890919007361</v>
      </c>
    </row>
    <row r="843" spans="1:21" x14ac:dyDescent="0.3">
      <c r="A843">
        <v>842</v>
      </c>
      <c r="B843">
        <v>0</v>
      </c>
      <c r="C843" s="9">
        <v>65912</v>
      </c>
      <c r="D843">
        <v>732</v>
      </c>
      <c r="E843" s="1">
        <v>948575</v>
      </c>
      <c r="F843">
        <v>15</v>
      </c>
      <c r="G843">
        <v>4956.34</v>
      </c>
      <c r="H843">
        <v>15.4</v>
      </c>
      <c r="I843">
        <v>8</v>
      </c>
      <c r="J843">
        <v>159486</v>
      </c>
      <c r="K843">
        <v>721402</v>
      </c>
      <c r="L843" t="s">
        <v>63</v>
      </c>
      <c r="M843" t="s">
        <v>884</v>
      </c>
      <c r="N843" t="s">
        <v>26</v>
      </c>
      <c r="O843" t="s">
        <v>28</v>
      </c>
      <c r="P843" t="s">
        <v>22</v>
      </c>
      <c r="Q843" t="s">
        <v>23</v>
      </c>
      <c r="R843" t="b">
        <f>OR(Таблица1[[#This Row],[Ежемесячный платеж]]&lt;$AC$5, Таблица1[[#This Row],[Ежемесячный платеж]]&gt;$AC$6)</f>
        <v>0</v>
      </c>
      <c r="S843" s="9">
        <f>(Таблица1[[#This Row],[Размер кредита]]-21824)/(789096-21824)</f>
        <v>5.7460717972244522E-2</v>
      </c>
      <c r="T843" s="9">
        <f>(Таблица1[[#This Row],[Кредитный рейтинг]]-586)/(751-586)</f>
        <v>0.88484848484848488</v>
      </c>
      <c r="U843" s="9">
        <f>Таблица1[[#This Row],[Ежемесячный платеж]]/(Таблица1[[#This Row],[Годовой доход]]/12)</f>
        <v>6.2700450676014013E-2</v>
      </c>
    </row>
    <row r="844" spans="1:21" x14ac:dyDescent="0.3">
      <c r="A844">
        <v>843</v>
      </c>
      <c r="B844">
        <v>0</v>
      </c>
      <c r="C844" s="9">
        <v>177144</v>
      </c>
      <c r="D844">
        <v>675</v>
      </c>
      <c r="E844" s="1">
        <v>705394</v>
      </c>
      <c r="F844">
        <v>17</v>
      </c>
      <c r="G844">
        <v>19221.919999999998</v>
      </c>
      <c r="H844">
        <v>6.4</v>
      </c>
      <c r="I844">
        <v>8</v>
      </c>
      <c r="J844">
        <v>72523</v>
      </c>
      <c r="K844">
        <v>174218</v>
      </c>
      <c r="L844" t="s">
        <v>63</v>
      </c>
      <c r="M844" s="2" t="s">
        <v>885</v>
      </c>
      <c r="N844" t="s">
        <v>26</v>
      </c>
      <c r="O844" t="s">
        <v>34</v>
      </c>
      <c r="P844" t="s">
        <v>22</v>
      </c>
      <c r="Q844" t="s">
        <v>36</v>
      </c>
      <c r="R844" t="b">
        <f>OR(Таблица1[[#This Row],[Ежемесячный платеж]]&lt;$AC$5, Таблица1[[#This Row],[Ежемесячный платеж]]&gt;$AC$6)</f>
        <v>0</v>
      </c>
      <c r="S844" s="9">
        <f>(Таблица1[[#This Row],[Размер кредита]]-21824)/(789096-21824)</f>
        <v>0.20243147149902513</v>
      </c>
      <c r="T844" s="9">
        <f>(Таблица1[[#This Row],[Кредитный рейтинг]]-586)/(751-586)</f>
        <v>0.53939393939393943</v>
      </c>
      <c r="U844" s="9">
        <f>Таблица1[[#This Row],[Ежемесячный платеж]]/(Таблица1[[#This Row],[Годовой доход]]/12)</f>
        <v>0.32699886871734091</v>
      </c>
    </row>
    <row r="845" spans="1:21" x14ac:dyDescent="0.3">
      <c r="A845">
        <v>844</v>
      </c>
      <c r="B845">
        <v>0</v>
      </c>
      <c r="C845" s="9">
        <v>94908</v>
      </c>
      <c r="D845">
        <v>738</v>
      </c>
      <c r="E845" s="1">
        <v>768170</v>
      </c>
      <c r="F845">
        <v>0</v>
      </c>
      <c r="G845">
        <v>5281.24</v>
      </c>
      <c r="H845">
        <v>15.4</v>
      </c>
      <c r="I845">
        <v>10</v>
      </c>
      <c r="J845">
        <v>213579</v>
      </c>
      <c r="K845">
        <v>353782</v>
      </c>
      <c r="L845" t="s">
        <v>52</v>
      </c>
      <c r="M845" t="s">
        <v>886</v>
      </c>
      <c r="N845" t="s">
        <v>26</v>
      </c>
      <c r="O845" t="s">
        <v>34</v>
      </c>
      <c r="P845" t="s">
        <v>22</v>
      </c>
      <c r="Q845" t="s">
        <v>36</v>
      </c>
      <c r="R845" t="b">
        <f>OR(Таблица1[[#This Row],[Ежемесячный платеж]]&lt;$AC$5, Таблица1[[#This Row],[Ежемесячный платеж]]&gt;$AC$6)</f>
        <v>0</v>
      </c>
      <c r="S845" s="9">
        <f>(Таблица1[[#This Row],[Размер кредита]]-21824)/(789096-21824)</f>
        <v>9.5251749053790566E-2</v>
      </c>
      <c r="T845" s="9">
        <f>(Таблица1[[#This Row],[Кредитный рейтинг]]-586)/(751-586)</f>
        <v>0.92121212121212126</v>
      </c>
      <c r="U845" s="9">
        <f>Таблица1[[#This Row],[Ежемесячный платеж]]/(Таблица1[[#This Row],[Годовой доход]]/12)</f>
        <v>8.250111303487509E-2</v>
      </c>
    </row>
    <row r="846" spans="1:21" x14ac:dyDescent="0.3">
      <c r="A846">
        <v>845</v>
      </c>
      <c r="B846">
        <v>0</v>
      </c>
      <c r="C846" s="9">
        <v>157234</v>
      </c>
      <c r="D846">
        <f>$Y$13</f>
        <v>723</v>
      </c>
      <c r="E846">
        <f>$AB$13</f>
        <v>1168044</v>
      </c>
      <c r="F846">
        <v>0</v>
      </c>
      <c r="G846">
        <v>13398.04</v>
      </c>
      <c r="H846">
        <v>15.7</v>
      </c>
      <c r="I846">
        <v>17</v>
      </c>
      <c r="J846">
        <v>169043</v>
      </c>
      <c r="K846">
        <v>194370</v>
      </c>
      <c r="L846" t="s">
        <v>69</v>
      </c>
      <c r="M846" t="s">
        <v>887</v>
      </c>
      <c r="N846" t="s">
        <v>26</v>
      </c>
      <c r="O846" t="s">
        <v>34</v>
      </c>
      <c r="P846" t="s">
        <v>22</v>
      </c>
      <c r="Q846" t="s">
        <v>23</v>
      </c>
      <c r="R846" t="b">
        <f>OR(Таблица1[[#This Row],[Ежемесячный платеж]]&lt;$AC$5, Таблица1[[#This Row],[Ежемесячный платеж]]&gt;$AC$6)</f>
        <v>0</v>
      </c>
      <c r="S846" s="9">
        <f>(Таблица1[[#This Row],[Размер кредита]]-21824)/(789096-21824)</f>
        <v>0.17648239477004243</v>
      </c>
      <c r="T846" s="9">
        <f>(Таблица1[[#This Row],[Кредитный рейтинг]]-586)/(751-586)</f>
        <v>0.83030303030303032</v>
      </c>
      <c r="U846" s="9">
        <f>Таблица1[[#This Row],[Ежемесячный платеж]]/(Таблица1[[#This Row],[Годовой доход]]/12)</f>
        <v>0.13764591059925826</v>
      </c>
    </row>
    <row r="847" spans="1:21" x14ac:dyDescent="0.3">
      <c r="A847">
        <v>846</v>
      </c>
      <c r="B847">
        <v>0</v>
      </c>
      <c r="C847" s="9">
        <v>294316</v>
      </c>
      <c r="D847">
        <f>$Y$13</f>
        <v>723</v>
      </c>
      <c r="E847">
        <f>$AB$13</f>
        <v>1168044</v>
      </c>
      <c r="F847">
        <v>42</v>
      </c>
      <c r="G847">
        <v>22443.94</v>
      </c>
      <c r="H847">
        <v>15.7</v>
      </c>
      <c r="I847">
        <v>8</v>
      </c>
      <c r="J847">
        <v>306888</v>
      </c>
      <c r="K847">
        <v>560494</v>
      </c>
      <c r="L847" t="s">
        <v>37</v>
      </c>
      <c r="M847" t="s">
        <v>888</v>
      </c>
      <c r="N847" t="s">
        <v>26</v>
      </c>
      <c r="O847" t="s">
        <v>34</v>
      </c>
      <c r="P847" t="s">
        <v>22</v>
      </c>
      <c r="Q847" t="s">
        <v>23</v>
      </c>
      <c r="R847" t="b">
        <f>OR(Таблица1[[#This Row],[Ежемесячный платеж]]&lt;$AC$5, Таблица1[[#This Row],[Ежемесячный платеж]]&gt;$AC$6)</f>
        <v>0</v>
      </c>
      <c r="S847" s="9">
        <f>(Таблица1[[#This Row],[Размер кредита]]-21824)/(789096-21824)</f>
        <v>0.35514393852506021</v>
      </c>
      <c r="T847" s="9">
        <f>(Таблица1[[#This Row],[Кредитный рейтинг]]-586)/(751-586)</f>
        <v>0.83030303030303032</v>
      </c>
      <c r="U847" s="9">
        <f>Таблица1[[#This Row],[Ежемесячный платеж]]/(Таблица1[[#This Row],[Годовой доход]]/12)</f>
        <v>0.23057973843451102</v>
      </c>
    </row>
    <row r="848" spans="1:21" x14ac:dyDescent="0.3">
      <c r="A848">
        <v>847</v>
      </c>
      <c r="B848">
        <v>0</v>
      </c>
      <c r="C848" s="9">
        <v>220770</v>
      </c>
      <c r="D848">
        <v>741</v>
      </c>
      <c r="E848" s="1">
        <v>591071</v>
      </c>
      <c r="F848">
        <v>0</v>
      </c>
      <c r="G848">
        <v>12067.66</v>
      </c>
      <c r="H848">
        <v>18.5</v>
      </c>
      <c r="I848">
        <v>7</v>
      </c>
      <c r="J848">
        <v>393585</v>
      </c>
      <c r="K848">
        <v>525646</v>
      </c>
      <c r="L848" t="s">
        <v>52</v>
      </c>
      <c r="M848" t="s">
        <v>889</v>
      </c>
      <c r="N848" t="s">
        <v>26</v>
      </c>
      <c r="O848" t="s">
        <v>34</v>
      </c>
      <c r="P848" t="s">
        <v>22</v>
      </c>
      <c r="Q848" t="s">
        <v>23</v>
      </c>
      <c r="R848" t="b">
        <f>OR(Таблица1[[#This Row],[Ежемесячный платеж]]&lt;$AC$5, Таблица1[[#This Row],[Ежемесячный платеж]]&gt;$AC$6)</f>
        <v>0</v>
      </c>
      <c r="S848" s="9">
        <f>(Таблица1[[#This Row],[Размер кредита]]-21824)/(789096-21824)</f>
        <v>0.25929005619910539</v>
      </c>
      <c r="T848" s="9">
        <f>(Таблица1[[#This Row],[Кредитный рейтинг]]-586)/(751-586)</f>
        <v>0.93939393939393945</v>
      </c>
      <c r="U848" s="9">
        <f>Таблица1[[#This Row],[Ежемесячный платеж]]/(Таблица1[[#This Row],[Годовой доход]]/12)</f>
        <v>0.24499919637403966</v>
      </c>
    </row>
    <row r="849" spans="1:21" x14ac:dyDescent="0.3">
      <c r="A849">
        <v>848</v>
      </c>
      <c r="B849">
        <v>0</v>
      </c>
      <c r="C849" s="9">
        <v>568414</v>
      </c>
      <c r="D849">
        <v>717</v>
      </c>
      <c r="E849" s="1">
        <v>1116744</v>
      </c>
      <c r="F849">
        <v>0</v>
      </c>
      <c r="G849">
        <v>12656.47</v>
      </c>
      <c r="H849">
        <v>21.4</v>
      </c>
      <c r="I849">
        <v>8</v>
      </c>
      <c r="J849">
        <v>598044</v>
      </c>
      <c r="K849">
        <v>969826</v>
      </c>
      <c r="L849" t="s">
        <v>29</v>
      </c>
      <c r="M849" t="s">
        <v>890</v>
      </c>
      <c r="N849" t="s">
        <v>26</v>
      </c>
      <c r="O849" t="s">
        <v>21</v>
      </c>
      <c r="P849" t="s">
        <v>31</v>
      </c>
      <c r="Q849" t="s">
        <v>23</v>
      </c>
      <c r="R849" t="b">
        <f>OR(Таблица1[[#This Row],[Ежемесячный платеж]]&lt;$AC$5, Таблица1[[#This Row],[Ежемесячный платеж]]&gt;$AC$6)</f>
        <v>0</v>
      </c>
      <c r="S849" s="9">
        <f>(Таблица1[[#This Row],[Размер кредита]]-21824)/(789096-21824)</f>
        <v>0.7123810069962152</v>
      </c>
      <c r="T849" s="9">
        <f>(Таблица1[[#This Row],[Кредитный рейтинг]]-586)/(751-586)</f>
        <v>0.79393939393939394</v>
      </c>
      <c r="U849" s="9">
        <f>Таблица1[[#This Row],[Ежемесячный платеж]]/(Таблица1[[#This Row],[Годовой доход]]/12)</f>
        <v>0.13600040832993057</v>
      </c>
    </row>
    <row r="850" spans="1:21" x14ac:dyDescent="0.3">
      <c r="A850">
        <v>849</v>
      </c>
      <c r="B850">
        <v>0</v>
      </c>
      <c r="C850" s="9">
        <v>380512</v>
      </c>
      <c r="D850">
        <v>728</v>
      </c>
      <c r="E850" s="1">
        <v>948594</v>
      </c>
      <c r="F850">
        <v>20</v>
      </c>
      <c r="G850">
        <v>22845.22</v>
      </c>
      <c r="H850">
        <v>15.9</v>
      </c>
      <c r="I850">
        <v>27</v>
      </c>
      <c r="J850">
        <v>348061</v>
      </c>
      <c r="K850">
        <v>907676</v>
      </c>
      <c r="L850" t="s">
        <v>18</v>
      </c>
      <c r="M850" s="2" t="s">
        <v>891</v>
      </c>
      <c r="N850" t="s">
        <v>26</v>
      </c>
      <c r="O850" t="s">
        <v>21</v>
      </c>
      <c r="P850" t="s">
        <v>22</v>
      </c>
      <c r="Q850" t="s">
        <v>23</v>
      </c>
      <c r="R850" t="b">
        <f>OR(Таблица1[[#This Row],[Ежемесячный платеж]]&lt;$AC$5, Таблица1[[#This Row],[Ежемесячный платеж]]&gt;$AC$6)</f>
        <v>0</v>
      </c>
      <c r="S850" s="9">
        <f>(Таблица1[[#This Row],[Размер кредита]]-21824)/(789096-21824)</f>
        <v>0.46748480330313108</v>
      </c>
      <c r="T850" s="9">
        <f>(Таблица1[[#This Row],[Кредитный рейтинг]]-586)/(751-586)</f>
        <v>0.8606060606060606</v>
      </c>
      <c r="U850" s="9">
        <f>Таблица1[[#This Row],[Ежемесячный платеж]]/(Таблица1[[#This Row],[Годовой доход]]/12)</f>
        <v>0.28899891839923086</v>
      </c>
    </row>
    <row r="851" spans="1:21" x14ac:dyDescent="0.3">
      <c r="A851">
        <v>850</v>
      </c>
      <c r="B851">
        <v>0</v>
      </c>
      <c r="C851" s="9">
        <v>177012</v>
      </c>
      <c r="D851">
        <f>$Y$13</f>
        <v>723</v>
      </c>
      <c r="E851">
        <f>$AB$13</f>
        <v>1168044</v>
      </c>
      <c r="F851">
        <v>0</v>
      </c>
      <c r="G851">
        <v>16275.59</v>
      </c>
      <c r="H851">
        <v>9.3000000000000007</v>
      </c>
      <c r="I851">
        <v>11</v>
      </c>
      <c r="J851">
        <v>155515</v>
      </c>
      <c r="K851">
        <v>424688</v>
      </c>
      <c r="L851" t="s">
        <v>47</v>
      </c>
      <c r="M851" t="s">
        <v>892</v>
      </c>
      <c r="N851" t="s">
        <v>26</v>
      </c>
      <c r="O851" t="s">
        <v>34</v>
      </c>
      <c r="P851" t="s">
        <v>22</v>
      </c>
      <c r="Q851" t="s">
        <v>23</v>
      </c>
      <c r="R851" t="b">
        <f>OR(Таблица1[[#This Row],[Ежемесячный платеж]]&lt;$AC$5, Таблица1[[#This Row],[Ежемесячный платеж]]&gt;$AC$6)</f>
        <v>0</v>
      </c>
      <c r="S851" s="9">
        <f>(Таблица1[[#This Row],[Размер кредита]]-21824)/(789096-21824)</f>
        <v>0.2022594334212639</v>
      </c>
      <c r="T851" s="9">
        <f>(Таблица1[[#This Row],[Кредитный рейтинг]]-586)/(751-586)</f>
        <v>0.83030303030303032</v>
      </c>
      <c r="U851" s="9">
        <f>Таблица1[[#This Row],[Ежемесячный платеж]]/(Таблица1[[#This Row],[Годовой доход]]/12)</f>
        <v>0.16720866679679874</v>
      </c>
    </row>
    <row r="852" spans="1:21" x14ac:dyDescent="0.3">
      <c r="A852">
        <v>851</v>
      </c>
      <c r="B852">
        <v>0</v>
      </c>
      <c r="C852" s="9">
        <v>227722</v>
      </c>
      <c r="D852">
        <v>673</v>
      </c>
      <c r="E852" s="1">
        <v>578892</v>
      </c>
      <c r="F852">
        <v>0</v>
      </c>
      <c r="G852">
        <v>13314.63</v>
      </c>
      <c r="H852">
        <v>22.3</v>
      </c>
      <c r="I852">
        <v>11</v>
      </c>
      <c r="J852">
        <v>167124</v>
      </c>
      <c r="K852">
        <v>435798</v>
      </c>
      <c r="L852" t="s">
        <v>24</v>
      </c>
      <c r="M852" t="s">
        <v>893</v>
      </c>
      <c r="N852" t="s">
        <v>68</v>
      </c>
      <c r="O852" t="s">
        <v>34</v>
      </c>
      <c r="P852" t="s">
        <v>22</v>
      </c>
      <c r="Q852" t="s">
        <v>23</v>
      </c>
      <c r="R852" t="b">
        <f>OR(Таблица1[[#This Row],[Ежемесячный платеж]]&lt;$AC$5, Таблица1[[#This Row],[Ежемесячный платеж]]&gt;$AC$6)</f>
        <v>0</v>
      </c>
      <c r="S852" s="9">
        <f>(Таблица1[[#This Row],[Размер кредита]]-21824)/(789096-21824)</f>
        <v>0.26835072829452916</v>
      </c>
      <c r="T852" s="9">
        <f>(Таблица1[[#This Row],[Кредитный рейтинг]]-586)/(751-586)</f>
        <v>0.52727272727272723</v>
      </c>
      <c r="U852" s="9">
        <f>Таблица1[[#This Row],[Ежемесячный платеж]]/(Таблица1[[#This Row],[Годовой доход]]/12)</f>
        <v>0.27600236313509252</v>
      </c>
    </row>
    <row r="853" spans="1:21" x14ac:dyDescent="0.3">
      <c r="A853">
        <v>852</v>
      </c>
      <c r="B853">
        <v>1</v>
      </c>
      <c r="C853" s="9">
        <v>180290</v>
      </c>
      <c r="D853">
        <v>741</v>
      </c>
      <c r="E853" s="1">
        <v>1297548</v>
      </c>
      <c r="F853">
        <v>0</v>
      </c>
      <c r="G853">
        <v>16976.12</v>
      </c>
      <c r="H853">
        <v>14</v>
      </c>
      <c r="I853">
        <v>13</v>
      </c>
      <c r="J853">
        <v>191159</v>
      </c>
      <c r="K853">
        <v>799106</v>
      </c>
      <c r="L853" t="s">
        <v>47</v>
      </c>
      <c r="M853" t="s">
        <v>894</v>
      </c>
      <c r="N853" t="s">
        <v>26</v>
      </c>
      <c r="O853" t="s">
        <v>21</v>
      </c>
      <c r="P853" t="s">
        <v>22</v>
      </c>
      <c r="Q853" t="s">
        <v>23</v>
      </c>
      <c r="R853" t="b">
        <f>OR(Таблица1[[#This Row],[Ежемесячный платеж]]&lt;$AC$5, Таблица1[[#This Row],[Ежемесячный платеж]]&gt;$AC$6)</f>
        <v>0</v>
      </c>
      <c r="S853" s="9">
        <f>(Таблица1[[#This Row],[Размер кредита]]-21824)/(789096-21824)</f>
        <v>0.20653171235233397</v>
      </c>
      <c r="T853" s="9">
        <f>(Таблица1[[#This Row],[Кредитный рейтинг]]-586)/(751-586)</f>
        <v>0.93939393939393945</v>
      </c>
      <c r="U853" s="9">
        <f>Таблица1[[#This Row],[Ежемесячный платеж]]/(Таблица1[[#This Row],[Годовой доход]]/12)</f>
        <v>0.15699876998769988</v>
      </c>
    </row>
    <row r="854" spans="1:21" x14ac:dyDescent="0.3">
      <c r="A854">
        <v>853</v>
      </c>
      <c r="B854">
        <v>0</v>
      </c>
      <c r="C854" s="9">
        <v>145552</v>
      </c>
      <c r="D854">
        <f>$Y$13</f>
        <v>723</v>
      </c>
      <c r="E854">
        <f>$AB$13</f>
        <v>1168044</v>
      </c>
      <c r="F854">
        <v>0</v>
      </c>
      <c r="G854">
        <v>10970.22</v>
      </c>
      <c r="H854">
        <v>23</v>
      </c>
      <c r="I854">
        <v>17</v>
      </c>
      <c r="J854">
        <v>194959</v>
      </c>
      <c r="K854">
        <v>832964</v>
      </c>
      <c r="L854" t="s">
        <v>32</v>
      </c>
      <c r="M854" t="s">
        <v>895</v>
      </c>
      <c r="N854" t="s">
        <v>26</v>
      </c>
      <c r="O854" t="s">
        <v>21</v>
      </c>
      <c r="P854" t="s">
        <v>22</v>
      </c>
      <c r="Q854" t="s">
        <v>23</v>
      </c>
      <c r="R854" t="b">
        <f>OR(Таблица1[[#This Row],[Ежемесячный платеж]]&lt;$AC$5, Таблица1[[#This Row],[Ежемесячный платеж]]&gt;$AC$6)</f>
        <v>0</v>
      </c>
      <c r="S854" s="9">
        <f>(Таблица1[[#This Row],[Размер кредита]]-21824)/(789096-21824)</f>
        <v>0.16125702488817525</v>
      </c>
      <c r="T854" s="9">
        <f>(Таблица1[[#This Row],[Кредитный рейтинг]]-586)/(751-586)</f>
        <v>0.83030303030303032</v>
      </c>
      <c r="U854" s="9">
        <f>Таблица1[[#This Row],[Ежемесячный платеж]]/(Таблица1[[#This Row],[Годовой доход]]/12)</f>
        <v>0.11270349404645714</v>
      </c>
    </row>
    <row r="855" spans="1:21" x14ac:dyDescent="0.3">
      <c r="A855">
        <v>854</v>
      </c>
      <c r="B855">
        <v>0</v>
      </c>
      <c r="D855">
        <v>716</v>
      </c>
      <c r="E855" s="1">
        <v>4379215</v>
      </c>
      <c r="F855">
        <v>5</v>
      </c>
      <c r="G855">
        <v>32114.18</v>
      </c>
      <c r="H855">
        <v>26.1</v>
      </c>
      <c r="I855">
        <v>19</v>
      </c>
      <c r="J855">
        <v>1959071</v>
      </c>
      <c r="K855">
        <v>6164114</v>
      </c>
      <c r="L855" t="s">
        <v>37</v>
      </c>
      <c r="M855" t="s">
        <v>896</v>
      </c>
      <c r="N855" t="s">
        <v>20</v>
      </c>
      <c r="O855" t="s">
        <v>21</v>
      </c>
      <c r="P855" t="s">
        <v>22</v>
      </c>
      <c r="Q855" t="s">
        <v>23</v>
      </c>
      <c r="R855" t="b">
        <f>OR(Таблица1[[#This Row],[Ежемесячный платеж]]&lt;$AC$5, Таблица1[[#This Row],[Ежемесячный платеж]]&gt;$AC$6)</f>
        <v>0</v>
      </c>
      <c r="T855" s="9">
        <f>(Таблица1[[#This Row],[Кредитный рейтинг]]-586)/(751-586)</f>
        <v>0.78787878787878785</v>
      </c>
      <c r="U855" s="9">
        <f>Таблица1[[#This Row],[Ежемесячный платеж]]/(Таблица1[[#This Row],[Годовой доход]]/12)</f>
        <v>8.7999826452914515E-2</v>
      </c>
    </row>
    <row r="856" spans="1:21" x14ac:dyDescent="0.3">
      <c r="A856">
        <v>855</v>
      </c>
      <c r="B856">
        <v>0</v>
      </c>
      <c r="C856" s="9">
        <v>218614</v>
      </c>
      <c r="D856">
        <f>$Y$13</f>
        <v>723</v>
      </c>
      <c r="E856">
        <f>$AB$13</f>
        <v>1168044</v>
      </c>
      <c r="F856">
        <v>0</v>
      </c>
      <c r="G856">
        <v>11894.57</v>
      </c>
      <c r="H856">
        <v>12.7</v>
      </c>
      <c r="I856">
        <v>9</v>
      </c>
      <c r="J856">
        <v>64619</v>
      </c>
      <c r="K856">
        <v>135564</v>
      </c>
      <c r="L856" t="s">
        <v>29</v>
      </c>
      <c r="M856" t="s">
        <v>897</v>
      </c>
      <c r="N856" t="s">
        <v>26</v>
      </c>
      <c r="O856" t="s">
        <v>21</v>
      </c>
      <c r="P856" t="s">
        <v>22</v>
      </c>
      <c r="Q856" t="s">
        <v>23</v>
      </c>
      <c r="R856" t="b">
        <f>OR(Таблица1[[#This Row],[Ежемесячный платеж]]&lt;$AC$5, Таблица1[[#This Row],[Ежемесячный платеж]]&gt;$AC$6)</f>
        <v>0</v>
      </c>
      <c r="S856" s="9">
        <f>(Таблица1[[#This Row],[Размер кредита]]-21824)/(789096-21824)</f>
        <v>0.25648010092900564</v>
      </c>
      <c r="T856" s="9">
        <f>(Таблица1[[#This Row],[Кредитный рейтинг]]-586)/(751-586)</f>
        <v>0.83030303030303032</v>
      </c>
      <c r="U856" s="9">
        <f>Таблица1[[#This Row],[Ежемесячный платеж]]/(Таблица1[[#This Row],[Годовой доход]]/12)</f>
        <v>0.12219988288112434</v>
      </c>
    </row>
    <row r="857" spans="1:21" x14ac:dyDescent="0.3">
      <c r="A857">
        <v>856</v>
      </c>
      <c r="B857">
        <v>0</v>
      </c>
      <c r="D857">
        <v>745</v>
      </c>
      <c r="E857" s="1">
        <v>1774676</v>
      </c>
      <c r="F857">
        <v>0</v>
      </c>
      <c r="G857">
        <v>22863.84</v>
      </c>
      <c r="H857">
        <v>16.7</v>
      </c>
      <c r="I857">
        <v>16</v>
      </c>
      <c r="J857">
        <v>483949</v>
      </c>
      <c r="K857">
        <v>1262074</v>
      </c>
      <c r="L857" t="s">
        <v>37</v>
      </c>
      <c r="M857" t="s">
        <v>898</v>
      </c>
      <c r="N857" t="s">
        <v>26</v>
      </c>
      <c r="O857" t="s">
        <v>34</v>
      </c>
      <c r="P857" t="s">
        <v>22</v>
      </c>
      <c r="Q857" t="s">
        <v>23</v>
      </c>
      <c r="R857" t="b">
        <f>OR(Таблица1[[#This Row],[Ежемесячный платеж]]&lt;$AC$5, Таблица1[[#This Row],[Ежемесячный платеж]]&gt;$AC$6)</f>
        <v>0</v>
      </c>
      <c r="T857" s="9">
        <f>(Таблица1[[#This Row],[Кредитный рейтинг]]-586)/(751-586)</f>
        <v>0.96363636363636362</v>
      </c>
      <c r="U857" s="9">
        <f>Таблица1[[#This Row],[Ежемесячный платеж]]/(Таблица1[[#This Row],[Годовой доход]]/12)</f>
        <v>0.15460065950066379</v>
      </c>
    </row>
    <row r="858" spans="1:21" x14ac:dyDescent="0.3">
      <c r="A858">
        <v>857</v>
      </c>
      <c r="B858">
        <v>0</v>
      </c>
      <c r="D858">
        <v>668</v>
      </c>
      <c r="E858" s="1">
        <v>624929</v>
      </c>
      <c r="F858">
        <v>11</v>
      </c>
      <c r="G858">
        <v>8009.45</v>
      </c>
      <c r="H858">
        <v>14.8</v>
      </c>
      <c r="I858">
        <v>7</v>
      </c>
      <c r="J858">
        <v>5928</v>
      </c>
      <c r="K858">
        <v>52800</v>
      </c>
      <c r="L858" t="s">
        <v>47</v>
      </c>
      <c r="M858" t="s">
        <v>899</v>
      </c>
      <c r="N858" t="s">
        <v>26</v>
      </c>
      <c r="O858" t="s">
        <v>34</v>
      </c>
      <c r="P858" t="s">
        <v>31</v>
      </c>
      <c r="Q858" t="s">
        <v>23</v>
      </c>
      <c r="R858" t="b">
        <f>OR(Таблица1[[#This Row],[Ежемесячный платеж]]&lt;$AC$5, Таблица1[[#This Row],[Ежемесячный платеж]]&gt;$AC$6)</f>
        <v>0</v>
      </c>
      <c r="T858" s="9">
        <f>(Таблица1[[#This Row],[Кредитный рейтинг]]-586)/(751-586)</f>
        <v>0.49696969696969695</v>
      </c>
      <c r="U858" s="9">
        <f>Таблица1[[#This Row],[Ежемесячный платеж]]/(Таблица1[[#This Row],[Годовой доход]]/12)</f>
        <v>0.15379891155635281</v>
      </c>
    </row>
    <row r="859" spans="1:21" x14ac:dyDescent="0.3">
      <c r="A859">
        <v>858</v>
      </c>
      <c r="B859">
        <v>0</v>
      </c>
      <c r="C859" s="9">
        <v>391314</v>
      </c>
      <c r="D859">
        <f>$Y$13</f>
        <v>723</v>
      </c>
      <c r="E859">
        <f>$AB$13</f>
        <v>1168044</v>
      </c>
      <c r="F859">
        <v>0</v>
      </c>
      <c r="G859">
        <v>19341.05</v>
      </c>
      <c r="H859">
        <v>12.4</v>
      </c>
      <c r="I859">
        <v>18</v>
      </c>
      <c r="J859">
        <v>349771</v>
      </c>
      <c r="K859">
        <v>433136</v>
      </c>
      <c r="L859" t="s">
        <v>32</v>
      </c>
      <c r="M859" t="s">
        <v>900</v>
      </c>
      <c r="N859" t="s">
        <v>26</v>
      </c>
      <c r="O859" t="s">
        <v>34</v>
      </c>
      <c r="P859" t="s">
        <v>22</v>
      </c>
      <c r="Q859" t="s">
        <v>36</v>
      </c>
      <c r="R859" t="b">
        <f>OR(Таблица1[[#This Row],[Ежемесячный платеж]]&lt;$AC$5, Таблица1[[#This Row],[Ежемесячный платеж]]&gt;$AC$6)</f>
        <v>0</v>
      </c>
      <c r="S859" s="9">
        <f>(Таблица1[[#This Row],[Размер кредита]]-21824)/(789096-21824)</f>
        <v>0.48156325266659022</v>
      </c>
      <c r="T859" s="9">
        <f>(Таблица1[[#This Row],[Кредитный рейтинг]]-586)/(751-586)</f>
        <v>0.83030303030303032</v>
      </c>
      <c r="U859" s="9">
        <f>Таблица1[[#This Row],[Ежемесячный платеж]]/(Таблица1[[#This Row],[Годовой доход]]/12)</f>
        <v>0.19870193246144835</v>
      </c>
    </row>
    <row r="860" spans="1:21" x14ac:dyDescent="0.3">
      <c r="A860">
        <v>859</v>
      </c>
      <c r="B860">
        <v>0</v>
      </c>
      <c r="C860" s="9">
        <v>134882</v>
      </c>
      <c r="D860">
        <v>738</v>
      </c>
      <c r="E860" s="1">
        <v>990223</v>
      </c>
      <c r="F860">
        <v>30</v>
      </c>
      <c r="G860">
        <v>13780.51</v>
      </c>
      <c r="H860">
        <v>22.6</v>
      </c>
      <c r="I860">
        <v>12</v>
      </c>
      <c r="J860">
        <v>33326</v>
      </c>
      <c r="K860">
        <v>85338</v>
      </c>
      <c r="L860" t="s">
        <v>32</v>
      </c>
      <c r="M860" t="s">
        <v>901</v>
      </c>
      <c r="N860" t="s">
        <v>26</v>
      </c>
      <c r="O860" t="s">
        <v>34</v>
      </c>
      <c r="P860" t="s">
        <v>22</v>
      </c>
      <c r="Q860" t="s">
        <v>23</v>
      </c>
      <c r="R860" t="b">
        <f>OR(Таблица1[[#This Row],[Ежемесячный платеж]]&lt;$AC$5, Таблица1[[#This Row],[Ежемесячный платеж]]&gt;$AC$6)</f>
        <v>0</v>
      </c>
      <c r="S860" s="9">
        <f>(Таблица1[[#This Row],[Размер кредита]]-21824)/(789096-21824)</f>
        <v>0.14735061360247734</v>
      </c>
      <c r="T860" s="9">
        <f>(Таблица1[[#This Row],[Кредитный рейтинг]]-586)/(751-586)</f>
        <v>0.92121212121212126</v>
      </c>
      <c r="U860" s="9">
        <f>Таблица1[[#This Row],[Ежемесячный платеж]]/(Таблица1[[#This Row],[Годовой доход]]/12)</f>
        <v>0.16699886793176891</v>
      </c>
    </row>
    <row r="861" spans="1:21" x14ac:dyDescent="0.3">
      <c r="A861">
        <v>860</v>
      </c>
      <c r="B861">
        <v>1</v>
      </c>
      <c r="C861" s="9">
        <v>79772</v>
      </c>
      <c r="D861">
        <v>703</v>
      </c>
      <c r="E861" s="1">
        <v>1569381</v>
      </c>
      <c r="F861">
        <v>0</v>
      </c>
      <c r="G861">
        <v>33349.18</v>
      </c>
      <c r="H861">
        <v>20.6</v>
      </c>
      <c r="I861">
        <v>19</v>
      </c>
      <c r="J861">
        <v>1175549</v>
      </c>
      <c r="K861">
        <v>1824614</v>
      </c>
      <c r="L861" t="s">
        <v>24</v>
      </c>
      <c r="M861" t="s">
        <v>902</v>
      </c>
      <c r="N861" t="s">
        <v>26</v>
      </c>
      <c r="O861" t="s">
        <v>28</v>
      </c>
      <c r="P861" t="s">
        <v>22</v>
      </c>
      <c r="Q861" t="s">
        <v>23</v>
      </c>
      <c r="R861" t="b">
        <f>OR(Таблица1[[#This Row],[Ежемесячный платеж]]&lt;$AC$5, Таблица1[[#This Row],[Ежемесячный платеж]]&gt;$AC$6)</f>
        <v>0</v>
      </c>
      <c r="S861" s="9">
        <f>(Таблица1[[#This Row],[Размер кредита]]-21824)/(789096-21824)</f>
        <v>7.5524716137171696E-2</v>
      </c>
      <c r="T861" s="9">
        <f>(Таблица1[[#This Row],[Кредитный рейтинг]]-586)/(751-586)</f>
        <v>0.70909090909090911</v>
      </c>
      <c r="U861" s="9">
        <f>Таблица1[[#This Row],[Ежемесячный платеж]]/(Таблица1[[#This Row],[Годовой доход]]/12)</f>
        <v>0.25499872879816948</v>
      </c>
    </row>
    <row r="862" spans="1:21" x14ac:dyDescent="0.3">
      <c r="A862">
        <v>861</v>
      </c>
      <c r="B862">
        <v>1</v>
      </c>
      <c r="C862" s="9">
        <v>216942</v>
      </c>
      <c r="D862">
        <v>735</v>
      </c>
      <c r="E862" s="1">
        <v>599545</v>
      </c>
      <c r="F862">
        <v>0</v>
      </c>
      <c r="G862">
        <v>11691.27</v>
      </c>
      <c r="H862">
        <v>14</v>
      </c>
      <c r="I862">
        <v>12</v>
      </c>
      <c r="J862">
        <v>159296</v>
      </c>
      <c r="K862">
        <v>312620</v>
      </c>
      <c r="L862" t="s">
        <v>24</v>
      </c>
      <c r="M862" t="s">
        <v>903</v>
      </c>
      <c r="N862" t="s">
        <v>68</v>
      </c>
      <c r="O862" t="s">
        <v>28</v>
      </c>
      <c r="P862" t="s">
        <v>22</v>
      </c>
      <c r="Q862" t="s">
        <v>36</v>
      </c>
      <c r="R862" t="b">
        <f>OR(Таблица1[[#This Row],[Ежемесячный платеж]]&lt;$AC$5, Таблица1[[#This Row],[Ежемесячный платеж]]&gt;$AC$6)</f>
        <v>0</v>
      </c>
      <c r="S862" s="9">
        <f>(Таблица1[[#This Row],[Размер кредита]]-21824)/(789096-21824)</f>
        <v>0.2543009519440303</v>
      </c>
      <c r="T862" s="9">
        <f>(Таблица1[[#This Row],[Кредитный рейтинг]]-586)/(751-586)</f>
        <v>0.90303030303030307</v>
      </c>
      <c r="U862" s="9">
        <f>Таблица1[[#This Row],[Ежемесячный платеж]]/(Таблица1[[#This Row],[Годовой доход]]/12)</f>
        <v>0.23400285216289018</v>
      </c>
    </row>
    <row r="863" spans="1:21" x14ac:dyDescent="0.3">
      <c r="A863">
        <v>862</v>
      </c>
      <c r="B863">
        <v>0</v>
      </c>
      <c r="C863" s="9">
        <v>64856</v>
      </c>
      <c r="D863">
        <v>722</v>
      </c>
      <c r="E863" s="1">
        <v>1306991</v>
      </c>
      <c r="F863">
        <v>31</v>
      </c>
      <c r="G863">
        <v>15139.2</v>
      </c>
      <c r="H863">
        <v>24.5</v>
      </c>
      <c r="I863">
        <v>4</v>
      </c>
      <c r="J863">
        <v>51813</v>
      </c>
      <c r="K863">
        <v>69212</v>
      </c>
      <c r="L863" t="s">
        <v>24</v>
      </c>
      <c r="M863" t="s">
        <v>904</v>
      </c>
      <c r="N863" t="s">
        <v>20</v>
      </c>
      <c r="O863" t="s">
        <v>21</v>
      </c>
      <c r="P863" t="s">
        <v>22</v>
      </c>
      <c r="Q863" t="s">
        <v>23</v>
      </c>
      <c r="R863" t="b">
        <f>OR(Таблица1[[#This Row],[Ежемесячный платеж]]&lt;$AC$5, Таблица1[[#This Row],[Ежемесячный платеж]]&gt;$AC$6)</f>
        <v>0</v>
      </c>
      <c r="S863" s="9">
        <f>(Таблица1[[#This Row],[Размер кредита]]-21824)/(789096-21824)</f>
        <v>5.6084413350154835E-2</v>
      </c>
      <c r="T863" s="9">
        <f>(Таблица1[[#This Row],[Кредитный рейтинг]]-586)/(751-586)</f>
        <v>0.82424242424242422</v>
      </c>
      <c r="U863" s="9">
        <f>Таблица1[[#This Row],[Ежемесячный платеж]]/(Таблица1[[#This Row],[Годовой доход]]/12)</f>
        <v>0.13899896785823315</v>
      </c>
    </row>
    <row r="864" spans="1:21" x14ac:dyDescent="0.3">
      <c r="A864">
        <v>863</v>
      </c>
      <c r="B864">
        <v>0</v>
      </c>
      <c r="C864" s="9">
        <v>171644</v>
      </c>
      <c r="D864">
        <f>$Y$13</f>
        <v>723</v>
      </c>
      <c r="E864">
        <f>$AB$13</f>
        <v>1168044</v>
      </c>
      <c r="F864">
        <v>35</v>
      </c>
      <c r="G864">
        <v>17454.349999999999</v>
      </c>
      <c r="H864">
        <v>10</v>
      </c>
      <c r="I864">
        <v>11</v>
      </c>
      <c r="J864">
        <v>152551</v>
      </c>
      <c r="K864">
        <v>500368</v>
      </c>
      <c r="L864" t="s">
        <v>18</v>
      </c>
      <c r="M864" t="s">
        <v>905</v>
      </c>
      <c r="N864" t="s">
        <v>26</v>
      </c>
      <c r="O864" t="s">
        <v>21</v>
      </c>
      <c r="P864" t="s">
        <v>22</v>
      </c>
      <c r="Q864" t="s">
        <v>23</v>
      </c>
      <c r="R864" t="b">
        <f>OR(Таблица1[[#This Row],[Ежемесячный платеж]]&lt;$AC$5, Таблица1[[#This Row],[Ежемесячный платеж]]&gt;$AC$6)</f>
        <v>0</v>
      </c>
      <c r="S864" s="9">
        <f>(Таблица1[[#This Row],[Размер кредита]]-21824)/(789096-21824)</f>
        <v>0.19526321825897466</v>
      </c>
      <c r="T864" s="9">
        <f>(Таблица1[[#This Row],[Кредитный рейтинг]]-586)/(751-586)</f>
        <v>0.83030303030303032</v>
      </c>
      <c r="U864" s="9">
        <f>Таблица1[[#This Row],[Ежемесячный платеж]]/(Таблица1[[#This Row],[Годовой доход]]/12)</f>
        <v>0.17931875853991799</v>
      </c>
    </row>
    <row r="865" spans="1:21" x14ac:dyDescent="0.3">
      <c r="A865">
        <v>864</v>
      </c>
      <c r="B865">
        <v>0</v>
      </c>
      <c r="C865" s="9">
        <v>195206</v>
      </c>
      <c r="D865">
        <v>750</v>
      </c>
      <c r="E865" s="1">
        <v>1015588</v>
      </c>
      <c r="F865">
        <v>0</v>
      </c>
      <c r="G865">
        <v>12830.13</v>
      </c>
      <c r="H865">
        <v>15.4</v>
      </c>
      <c r="I865">
        <v>9</v>
      </c>
      <c r="J865">
        <v>236170</v>
      </c>
      <c r="K865">
        <v>836286</v>
      </c>
      <c r="L865" t="s">
        <v>47</v>
      </c>
      <c r="M865" t="s">
        <v>906</v>
      </c>
      <c r="N865" t="s">
        <v>26</v>
      </c>
      <c r="O865" t="s">
        <v>21</v>
      </c>
      <c r="P865" t="s">
        <v>22</v>
      </c>
      <c r="Q865" t="s">
        <v>23</v>
      </c>
      <c r="R865" t="b">
        <f>OR(Таблица1[[#This Row],[Ежемесячный платеж]]&lt;$AC$5, Таблица1[[#This Row],[Ежемесячный платеж]]&gt;$AC$6)</f>
        <v>0</v>
      </c>
      <c r="S865" s="9">
        <f>(Таблица1[[#This Row],[Размер кредита]]-21824)/(789096-21824)</f>
        <v>0.22597201513935083</v>
      </c>
      <c r="T865" s="9">
        <f>(Таблица1[[#This Row],[Кредитный рейтинг]]-586)/(751-586)</f>
        <v>0.9939393939393939</v>
      </c>
      <c r="U865" s="9">
        <f>Таблица1[[#This Row],[Ежемесячный платеж]]/(Таблица1[[#This Row],[Годовой доход]]/12)</f>
        <v>0.15159844346329418</v>
      </c>
    </row>
    <row r="866" spans="1:21" x14ac:dyDescent="0.3">
      <c r="A866">
        <v>865</v>
      </c>
      <c r="B866">
        <v>0</v>
      </c>
      <c r="C866" s="9">
        <v>312422</v>
      </c>
      <c r="D866">
        <f>$Y$13</f>
        <v>723</v>
      </c>
      <c r="E866">
        <f>$AB$13</f>
        <v>1168044</v>
      </c>
      <c r="F866">
        <v>0</v>
      </c>
      <c r="G866">
        <v>16836.09</v>
      </c>
      <c r="H866">
        <v>21</v>
      </c>
      <c r="I866">
        <v>17</v>
      </c>
      <c r="J866">
        <v>426018</v>
      </c>
      <c r="K866">
        <v>510664</v>
      </c>
      <c r="L866" t="s">
        <v>52</v>
      </c>
      <c r="M866" t="s">
        <v>907</v>
      </c>
      <c r="N866" t="s">
        <v>26</v>
      </c>
      <c r="O866" t="s">
        <v>21</v>
      </c>
      <c r="P866" t="s">
        <v>22</v>
      </c>
      <c r="Q866" t="s">
        <v>23</v>
      </c>
      <c r="R866" t="b">
        <f>OR(Таблица1[[#This Row],[Ежемесячный платеж]]&lt;$AC$5, Таблица1[[#This Row],[Ежемесячный платеж]]&gt;$AC$6)</f>
        <v>0</v>
      </c>
      <c r="S866" s="9">
        <f>(Таблица1[[#This Row],[Размер кредита]]-21824)/(789096-21824)</f>
        <v>0.37874182819130636</v>
      </c>
      <c r="T866" s="9">
        <f>(Таблица1[[#This Row],[Кредитный рейтинг]]-586)/(751-586)</f>
        <v>0.83030303030303032</v>
      </c>
      <c r="U866" s="9">
        <f>Таблица1[[#This Row],[Ежемесячный платеж]]/(Таблица1[[#This Row],[Годовой доход]]/12)</f>
        <v>0.17296701151668945</v>
      </c>
    </row>
    <row r="867" spans="1:21" x14ac:dyDescent="0.3">
      <c r="A867">
        <v>866</v>
      </c>
      <c r="B867">
        <v>0</v>
      </c>
      <c r="C867" s="9">
        <v>467632</v>
      </c>
      <c r="D867">
        <v>726</v>
      </c>
      <c r="E867" s="1">
        <v>1148436</v>
      </c>
      <c r="F867">
        <v>5</v>
      </c>
      <c r="G867">
        <v>9857.39</v>
      </c>
      <c r="H867">
        <v>16.399999999999999</v>
      </c>
      <c r="I867">
        <v>8</v>
      </c>
      <c r="J867">
        <v>226708</v>
      </c>
      <c r="K867">
        <v>418660</v>
      </c>
      <c r="L867" t="s">
        <v>24</v>
      </c>
      <c r="M867" t="s">
        <v>908</v>
      </c>
      <c r="N867" t="s">
        <v>26</v>
      </c>
      <c r="O867" t="s">
        <v>28</v>
      </c>
      <c r="P867" t="s">
        <v>31</v>
      </c>
      <c r="Q867" t="s">
        <v>36</v>
      </c>
      <c r="R867" t="b">
        <f>OR(Таблица1[[#This Row],[Ежемесячный платеж]]&lt;$AC$5, Таблица1[[#This Row],[Ежемесячный платеж]]&gt;$AC$6)</f>
        <v>0</v>
      </c>
      <c r="S867" s="9">
        <f>(Таблица1[[#This Row],[Размер кредита]]-21824)/(789096-21824)</f>
        <v>0.58102993462553043</v>
      </c>
      <c r="T867" s="9">
        <f>(Таблица1[[#This Row],[Кредитный рейтинг]]-586)/(751-586)</f>
        <v>0.84848484848484851</v>
      </c>
      <c r="U867" s="9">
        <f>Таблица1[[#This Row],[Ежемесячный платеж]]/(Таблица1[[#This Row],[Годовой доход]]/12)</f>
        <v>0.10299980146912845</v>
      </c>
    </row>
    <row r="868" spans="1:21" x14ac:dyDescent="0.3">
      <c r="A868">
        <v>867</v>
      </c>
      <c r="B868">
        <v>0</v>
      </c>
      <c r="C868" s="9">
        <v>221826</v>
      </c>
      <c r="D868">
        <f>$Y$13</f>
        <v>723</v>
      </c>
      <c r="E868">
        <f>$AB$13</f>
        <v>1168044</v>
      </c>
      <c r="F868">
        <v>55</v>
      </c>
      <c r="G868">
        <v>15042.11</v>
      </c>
      <c r="H868">
        <v>21.2</v>
      </c>
      <c r="I868">
        <v>13</v>
      </c>
      <c r="J868">
        <v>224808</v>
      </c>
      <c r="K868">
        <v>321772</v>
      </c>
      <c r="L868" t="s">
        <v>52</v>
      </c>
      <c r="M868" t="s">
        <v>909</v>
      </c>
      <c r="N868" t="s">
        <v>26</v>
      </c>
      <c r="O868" t="s">
        <v>21</v>
      </c>
      <c r="P868" t="s">
        <v>22</v>
      </c>
      <c r="Q868" t="s">
        <v>23</v>
      </c>
      <c r="R868" t="b">
        <f>OR(Таблица1[[#This Row],[Ежемесячный платеж]]&lt;$AC$5, Таблица1[[#This Row],[Ежемесячный платеж]]&gt;$AC$6)</f>
        <v>0</v>
      </c>
      <c r="S868" s="9">
        <f>(Таблица1[[#This Row],[Размер кредита]]-21824)/(789096-21824)</f>
        <v>0.2606663608211951</v>
      </c>
      <c r="T868" s="9">
        <f>(Таблица1[[#This Row],[Кредитный рейтинг]]-586)/(751-586)</f>
        <v>0.83030303030303032</v>
      </c>
      <c r="U868" s="9">
        <f>Таблица1[[#This Row],[Ежемесячный платеж]]/(Таблица1[[#This Row],[Годовой доход]]/12)</f>
        <v>0.15453640445051728</v>
      </c>
    </row>
    <row r="869" spans="1:21" x14ac:dyDescent="0.3">
      <c r="A869">
        <v>868</v>
      </c>
      <c r="B869">
        <v>0</v>
      </c>
      <c r="C869" s="9">
        <v>43714</v>
      </c>
      <c r="D869">
        <f>$Y$13</f>
        <v>723</v>
      </c>
      <c r="E869">
        <f>$AB$13</f>
        <v>1168044</v>
      </c>
      <c r="F869">
        <v>0</v>
      </c>
      <c r="G869">
        <v>3642.87</v>
      </c>
      <c r="H869">
        <v>7</v>
      </c>
      <c r="I869">
        <v>8</v>
      </c>
      <c r="J869">
        <v>27968</v>
      </c>
      <c r="K869">
        <v>152790</v>
      </c>
      <c r="L869" t="s">
        <v>69</v>
      </c>
      <c r="M869" t="s">
        <v>910</v>
      </c>
      <c r="N869" t="s">
        <v>26</v>
      </c>
      <c r="O869" t="s">
        <v>34</v>
      </c>
      <c r="P869" t="s">
        <v>22</v>
      </c>
      <c r="Q869" t="s">
        <v>23</v>
      </c>
      <c r="R869" t="b">
        <f>OR(Таблица1[[#This Row],[Ежемесячный платеж]]&lt;$AC$5, Таблица1[[#This Row],[Ежемесячный платеж]]&gt;$AC$6)</f>
        <v>0</v>
      </c>
      <c r="S869" s="9">
        <f>(Таблица1[[#This Row],[Размер кредита]]-21824)/(789096-21824)</f>
        <v>2.8529647895400849E-2</v>
      </c>
      <c r="T869" s="9">
        <f>(Таблица1[[#This Row],[Кредитный рейтинг]]-586)/(751-586)</f>
        <v>0.83030303030303032</v>
      </c>
      <c r="U869" s="9">
        <f>Таблица1[[#This Row],[Ежемесячный платеж]]/(Таблица1[[#This Row],[Годовой доход]]/12)</f>
        <v>3.7425336716767517E-2</v>
      </c>
    </row>
    <row r="870" spans="1:21" x14ac:dyDescent="0.3">
      <c r="A870">
        <v>869</v>
      </c>
      <c r="B870">
        <v>0</v>
      </c>
      <c r="C870" s="9">
        <v>555060</v>
      </c>
      <c r="D870">
        <v>699</v>
      </c>
      <c r="E870" s="1">
        <v>1143610</v>
      </c>
      <c r="F870">
        <v>15</v>
      </c>
      <c r="G870">
        <v>15152.88</v>
      </c>
      <c r="H870">
        <v>22.2</v>
      </c>
      <c r="I870">
        <v>6</v>
      </c>
      <c r="J870">
        <v>28690</v>
      </c>
      <c r="K870">
        <v>64262</v>
      </c>
      <c r="L870" t="s">
        <v>24</v>
      </c>
      <c r="M870" t="s">
        <v>911</v>
      </c>
      <c r="N870" t="s">
        <v>68</v>
      </c>
      <c r="O870" t="s">
        <v>21</v>
      </c>
      <c r="P870" t="s">
        <v>22</v>
      </c>
      <c r="Q870" t="s">
        <v>23</v>
      </c>
      <c r="R870" t="b">
        <f>OR(Таблица1[[#This Row],[Ежемесячный платеж]]&lt;$AC$5, Таблица1[[#This Row],[Ежемесячный платеж]]&gt;$AC$6)</f>
        <v>0</v>
      </c>
      <c r="S870" s="9">
        <f>(Таблица1[[#This Row],[Размер кредита]]-21824)/(789096-21824)</f>
        <v>0.69497648812937263</v>
      </c>
      <c r="T870" s="9">
        <f>(Таблица1[[#This Row],[Кредитный рейтинг]]-586)/(751-586)</f>
        <v>0.68484848484848482</v>
      </c>
      <c r="U870" s="9">
        <f>Таблица1[[#This Row],[Ежемесячный платеж]]/(Таблица1[[#This Row],[Годовой доход]]/12)</f>
        <v>0.15900049842166472</v>
      </c>
    </row>
    <row r="871" spans="1:21" x14ac:dyDescent="0.3">
      <c r="A871">
        <v>870</v>
      </c>
      <c r="B871">
        <v>0</v>
      </c>
      <c r="C871" s="9">
        <v>117722</v>
      </c>
      <c r="D871">
        <f>$Y$13</f>
        <v>723</v>
      </c>
      <c r="E871">
        <f>$AB$13</f>
        <v>1168044</v>
      </c>
      <c r="F871">
        <v>4</v>
      </c>
      <c r="G871">
        <v>19875.52</v>
      </c>
      <c r="H871">
        <v>12</v>
      </c>
      <c r="I871">
        <v>11</v>
      </c>
      <c r="J871">
        <v>0</v>
      </c>
      <c r="K871">
        <v>0</v>
      </c>
      <c r="L871" t="s">
        <v>37</v>
      </c>
      <c r="M871" t="s">
        <v>912</v>
      </c>
      <c r="N871" t="s">
        <v>68</v>
      </c>
      <c r="O871" t="s">
        <v>34</v>
      </c>
      <c r="P871" t="s">
        <v>22</v>
      </c>
      <c r="Q871" t="s">
        <v>23</v>
      </c>
      <c r="R871" t="b">
        <f>OR(Таблица1[[#This Row],[Ежемесячный платеж]]&lt;$AC$5, Таблица1[[#This Row],[Ежемесячный платеж]]&gt;$AC$6)</f>
        <v>0</v>
      </c>
      <c r="S871" s="9">
        <f>(Таблица1[[#This Row],[Размер кредита]]-21824)/(789096-21824)</f>
        <v>0.1249856634935199</v>
      </c>
      <c r="T871" s="9">
        <f>(Таблица1[[#This Row],[Кредитный рейтинг]]-586)/(751-586)</f>
        <v>0.83030303030303032</v>
      </c>
      <c r="U871" s="9">
        <f>Таблица1[[#This Row],[Ежемесячный платеж]]/(Таблица1[[#This Row],[Годовой доход]]/12)</f>
        <v>0.20419285574858481</v>
      </c>
    </row>
    <row r="872" spans="1:21" x14ac:dyDescent="0.3">
      <c r="A872">
        <v>871</v>
      </c>
      <c r="B872">
        <v>1</v>
      </c>
      <c r="C872" s="9">
        <v>590414</v>
      </c>
      <c r="D872">
        <v>692</v>
      </c>
      <c r="E872" s="1">
        <v>1243645</v>
      </c>
      <c r="F872">
        <v>0</v>
      </c>
      <c r="G872">
        <v>4186.84</v>
      </c>
      <c r="H872">
        <v>20.8</v>
      </c>
      <c r="I872">
        <v>10</v>
      </c>
      <c r="J872">
        <v>94145</v>
      </c>
      <c r="K872">
        <v>502392</v>
      </c>
      <c r="L872" t="s">
        <v>24</v>
      </c>
      <c r="M872" t="s">
        <v>913</v>
      </c>
      <c r="N872" t="s">
        <v>20</v>
      </c>
      <c r="O872" t="s">
        <v>21</v>
      </c>
      <c r="P872" t="s">
        <v>31</v>
      </c>
      <c r="Q872" t="s">
        <v>23</v>
      </c>
      <c r="R872" t="b">
        <f>OR(Таблица1[[#This Row],[Ежемесячный платеж]]&lt;$AC$5, Таблица1[[#This Row],[Ежемесячный платеж]]&gt;$AC$6)</f>
        <v>0</v>
      </c>
      <c r="S872" s="9">
        <f>(Таблица1[[#This Row],[Размер кредита]]-21824)/(789096-21824)</f>
        <v>0.74105401995641706</v>
      </c>
      <c r="T872" s="9">
        <f>(Таблица1[[#This Row],[Кредитный рейтинг]]-586)/(751-586)</f>
        <v>0.64242424242424245</v>
      </c>
      <c r="U872" s="9">
        <f>Таблица1[[#This Row],[Ежемесячный платеж]]/(Таблица1[[#This Row],[Годовой доход]]/12)</f>
        <v>4.0399052784355668E-2</v>
      </c>
    </row>
    <row r="873" spans="1:21" x14ac:dyDescent="0.3">
      <c r="A873">
        <v>872</v>
      </c>
      <c r="B873">
        <v>0</v>
      </c>
      <c r="C873" s="9">
        <v>189002</v>
      </c>
      <c r="D873">
        <v>703</v>
      </c>
      <c r="E873" s="1">
        <v>2431962</v>
      </c>
      <c r="F873">
        <v>19</v>
      </c>
      <c r="G873">
        <v>24725.08</v>
      </c>
      <c r="H873">
        <v>14.8</v>
      </c>
      <c r="I873">
        <v>10</v>
      </c>
      <c r="J873">
        <v>108471</v>
      </c>
      <c r="K873">
        <v>156002</v>
      </c>
      <c r="L873" t="s">
        <v>69</v>
      </c>
      <c r="M873" t="s">
        <v>914</v>
      </c>
      <c r="N873" t="s">
        <v>68</v>
      </c>
      <c r="O873" t="s">
        <v>34</v>
      </c>
      <c r="P873" t="s">
        <v>22</v>
      </c>
      <c r="Q873" t="s">
        <v>23</v>
      </c>
      <c r="R873" t="b">
        <f>OR(Таблица1[[#This Row],[Ежемесячный платеж]]&lt;$AC$5, Таблица1[[#This Row],[Ежемесячный платеж]]&gt;$AC$6)</f>
        <v>0</v>
      </c>
      <c r="S873" s="9">
        <f>(Таблица1[[#This Row],[Размер кредита]]-21824)/(789096-21824)</f>
        <v>0.21788622548457393</v>
      </c>
      <c r="T873" s="9">
        <f>(Таблица1[[#This Row],[Кредитный рейтинг]]-586)/(751-586)</f>
        <v>0.70909090909090911</v>
      </c>
      <c r="U873" s="9">
        <f>Таблица1[[#This Row],[Ежемесячный платеж]]/(Таблица1[[#This Row],[Годовой доход]]/12)</f>
        <v>0.12200065626025408</v>
      </c>
    </row>
    <row r="874" spans="1:21" x14ac:dyDescent="0.3">
      <c r="A874">
        <v>873</v>
      </c>
      <c r="B874">
        <v>0</v>
      </c>
      <c r="C874" s="9">
        <v>395538</v>
      </c>
      <c r="D874">
        <v>697</v>
      </c>
      <c r="E874" s="1">
        <v>747213</v>
      </c>
      <c r="F874">
        <v>78</v>
      </c>
      <c r="G874">
        <v>17933.150000000001</v>
      </c>
      <c r="H874">
        <v>28.1</v>
      </c>
      <c r="I874">
        <v>15</v>
      </c>
      <c r="J874">
        <v>621832</v>
      </c>
      <c r="K874">
        <v>1046540</v>
      </c>
      <c r="L874" t="s">
        <v>69</v>
      </c>
      <c r="M874" t="s">
        <v>915</v>
      </c>
      <c r="N874" t="s">
        <v>26</v>
      </c>
      <c r="O874" t="s">
        <v>21</v>
      </c>
      <c r="P874" t="s">
        <v>31</v>
      </c>
      <c r="Q874" t="s">
        <v>23</v>
      </c>
      <c r="R874" t="b">
        <f>OR(Таблица1[[#This Row],[Ежемесячный платеж]]&lt;$AC$5, Таблица1[[#This Row],[Ежемесячный платеж]]&gt;$AC$6)</f>
        <v>0</v>
      </c>
      <c r="S874" s="9">
        <f>(Таблица1[[#This Row],[Размер кредита]]-21824)/(789096-21824)</f>
        <v>0.48706847115494895</v>
      </c>
      <c r="T874" s="9">
        <f>(Таблица1[[#This Row],[Кредитный рейтинг]]-586)/(751-586)</f>
        <v>0.67272727272727273</v>
      </c>
      <c r="U874" s="9">
        <f>Таблица1[[#This Row],[Ежемесячный платеж]]/(Таблица1[[#This Row],[Годовой доход]]/12)</f>
        <v>0.28800061026775498</v>
      </c>
    </row>
    <row r="875" spans="1:21" x14ac:dyDescent="0.3">
      <c r="A875">
        <v>874</v>
      </c>
      <c r="B875">
        <v>0</v>
      </c>
      <c r="C875" s="9">
        <v>447920</v>
      </c>
      <c r="D875">
        <v>683</v>
      </c>
      <c r="E875" s="1">
        <v>1005784</v>
      </c>
      <c r="F875">
        <v>0</v>
      </c>
      <c r="G875">
        <v>7870.18</v>
      </c>
      <c r="H875">
        <v>15.1</v>
      </c>
      <c r="I875">
        <v>10</v>
      </c>
      <c r="J875">
        <v>230888</v>
      </c>
      <c r="K875">
        <v>286528</v>
      </c>
      <c r="L875" t="s">
        <v>69</v>
      </c>
      <c r="M875" t="s">
        <v>916</v>
      </c>
      <c r="N875" t="s">
        <v>26</v>
      </c>
      <c r="O875" t="s">
        <v>21</v>
      </c>
      <c r="P875" t="s">
        <v>22</v>
      </c>
      <c r="Q875" t="s">
        <v>23</v>
      </c>
      <c r="R875" t="b">
        <f>OR(Таблица1[[#This Row],[Ежемесячный платеж]]&lt;$AC$5, Таблица1[[#This Row],[Ежемесячный платеж]]&gt;$AC$6)</f>
        <v>0</v>
      </c>
      <c r="S875" s="9">
        <f>(Таблица1[[#This Row],[Размер кредита]]-21824)/(789096-21824)</f>
        <v>0.55533891501318955</v>
      </c>
      <c r="T875" s="9">
        <f>(Таблица1[[#This Row],[Кредитный рейтинг]]-586)/(751-586)</f>
        <v>0.58787878787878789</v>
      </c>
      <c r="U875" s="9">
        <f>Таблица1[[#This Row],[Ежемесячный платеж]]/(Таблица1[[#This Row],[Годовой доход]]/12)</f>
        <v>9.3899047906906466E-2</v>
      </c>
    </row>
    <row r="876" spans="1:21" x14ac:dyDescent="0.3">
      <c r="A876">
        <v>875</v>
      </c>
      <c r="B876">
        <v>0</v>
      </c>
      <c r="D876">
        <v>726</v>
      </c>
      <c r="E876" s="1">
        <v>1199964</v>
      </c>
      <c r="F876">
        <v>0</v>
      </c>
      <c r="G876">
        <v>34099.11</v>
      </c>
      <c r="H876">
        <v>19</v>
      </c>
      <c r="I876">
        <v>31</v>
      </c>
      <c r="J876">
        <v>704406</v>
      </c>
      <c r="K876">
        <v>1276418</v>
      </c>
      <c r="L876" t="s">
        <v>29</v>
      </c>
      <c r="M876" t="s">
        <v>917</v>
      </c>
      <c r="N876" t="s">
        <v>26</v>
      </c>
      <c r="O876" t="s">
        <v>21</v>
      </c>
      <c r="P876" t="s">
        <v>22</v>
      </c>
      <c r="Q876" t="s">
        <v>23</v>
      </c>
      <c r="R876" t="b">
        <f>OR(Таблица1[[#This Row],[Ежемесячный платеж]]&lt;$AC$5, Таблица1[[#This Row],[Ежемесячный платеж]]&gt;$AC$6)</f>
        <v>0</v>
      </c>
      <c r="T876" s="9">
        <f>(Таблица1[[#This Row],[Кредитный рейтинг]]-586)/(751-586)</f>
        <v>0.84848484848484851</v>
      </c>
      <c r="U876" s="9">
        <f>Таблица1[[#This Row],[Ежемесячный платеж]]/(Таблица1[[#This Row],[Годовой доход]]/12)</f>
        <v>0.34100133003990118</v>
      </c>
    </row>
    <row r="877" spans="1:21" x14ac:dyDescent="0.3">
      <c r="A877">
        <v>876</v>
      </c>
      <c r="B877">
        <v>0</v>
      </c>
      <c r="C877" s="9">
        <v>302588</v>
      </c>
      <c r="D877">
        <v>730</v>
      </c>
      <c r="E877" s="1">
        <v>1133673</v>
      </c>
      <c r="F877">
        <v>52</v>
      </c>
      <c r="G877">
        <v>7642.75</v>
      </c>
      <c r="H877">
        <v>25.5</v>
      </c>
      <c r="I877">
        <v>10</v>
      </c>
      <c r="J877">
        <v>197524</v>
      </c>
      <c r="K877">
        <v>309078</v>
      </c>
      <c r="L877" t="s">
        <v>24</v>
      </c>
      <c r="M877" t="s">
        <v>918</v>
      </c>
      <c r="N877" t="s">
        <v>26</v>
      </c>
      <c r="O877" t="s">
        <v>34</v>
      </c>
      <c r="P877" t="s">
        <v>22</v>
      </c>
      <c r="Q877" t="s">
        <v>23</v>
      </c>
      <c r="R877" t="b">
        <f>OR(Таблица1[[#This Row],[Ежемесячный платеж]]&lt;$AC$5, Таблица1[[#This Row],[Ежемесячный платеж]]&gt;$AC$6)</f>
        <v>0</v>
      </c>
      <c r="S877" s="9">
        <f>(Таблица1[[#This Row],[Размер кредита]]-21824)/(789096-21824)</f>
        <v>0.36592499139809609</v>
      </c>
      <c r="T877" s="9">
        <f>(Таблица1[[#This Row],[Кредитный рейтинг]]-586)/(751-586)</f>
        <v>0.87272727272727268</v>
      </c>
      <c r="U877" s="9">
        <f>Таблица1[[#This Row],[Ежемесячный платеж]]/(Таблица1[[#This Row],[Годовой доход]]/12)</f>
        <v>8.0898989391120724E-2</v>
      </c>
    </row>
    <row r="878" spans="1:21" x14ac:dyDescent="0.3">
      <c r="A878">
        <v>877</v>
      </c>
      <c r="B878">
        <v>0</v>
      </c>
      <c r="C878" s="9">
        <v>785026</v>
      </c>
      <c r="D878">
        <f>$Y$13</f>
        <v>723</v>
      </c>
      <c r="E878">
        <f>$AB$13</f>
        <v>1168044</v>
      </c>
      <c r="F878">
        <v>6</v>
      </c>
      <c r="G878">
        <v>49394.87</v>
      </c>
      <c r="H878">
        <v>21.7</v>
      </c>
      <c r="I878">
        <v>7</v>
      </c>
      <c r="J878">
        <v>431224</v>
      </c>
      <c r="K878">
        <v>515812</v>
      </c>
      <c r="L878" t="s">
        <v>24</v>
      </c>
      <c r="M878" t="s">
        <v>919</v>
      </c>
      <c r="N878" t="s">
        <v>26</v>
      </c>
      <c r="O878" t="s">
        <v>21</v>
      </c>
      <c r="P878" t="s">
        <v>31</v>
      </c>
      <c r="Q878" t="s">
        <v>36</v>
      </c>
      <c r="R878" t="b">
        <f>OR(Таблица1[[#This Row],[Ежемесячный платеж]]&lt;$AC$5, Таблица1[[#This Row],[Ежемесячный платеж]]&gt;$AC$6)</f>
        <v>1</v>
      </c>
      <c r="S878" s="9">
        <f>(Таблица1[[#This Row],[Размер кредита]]-21824)/(789096-21824)</f>
        <v>0.99469549260236267</v>
      </c>
      <c r="T878" s="9">
        <f>(Таблица1[[#This Row],[Кредитный рейтинг]]-586)/(751-586)</f>
        <v>0.83030303030303032</v>
      </c>
      <c r="U878" s="9">
        <f>Таблица1[[#This Row],[Ежемесячный платеж]]/(Таблица1[[#This Row],[Годовой доход]]/12)</f>
        <v>0.50746242436072619</v>
      </c>
    </row>
    <row r="879" spans="1:21" x14ac:dyDescent="0.3">
      <c r="A879">
        <v>878</v>
      </c>
      <c r="B879">
        <v>0</v>
      </c>
      <c r="C879" s="9">
        <v>315920</v>
      </c>
      <c r="D879">
        <f>$Y$13</f>
        <v>723</v>
      </c>
      <c r="E879">
        <f>$AB$13</f>
        <v>1168044</v>
      </c>
      <c r="F879">
        <v>13</v>
      </c>
      <c r="G879">
        <v>70936.88</v>
      </c>
      <c r="H879">
        <v>24</v>
      </c>
      <c r="I879">
        <v>17</v>
      </c>
      <c r="J879">
        <v>361627</v>
      </c>
      <c r="K879">
        <v>1172864</v>
      </c>
      <c r="L879" t="s">
        <v>50</v>
      </c>
      <c r="M879" t="s">
        <v>920</v>
      </c>
      <c r="N879" t="s">
        <v>26</v>
      </c>
      <c r="O879" t="s">
        <v>21</v>
      </c>
      <c r="P879" t="s">
        <v>31</v>
      </c>
      <c r="Q879" t="s">
        <v>23</v>
      </c>
      <c r="R879" t="b">
        <f>OR(Таблица1[[#This Row],[Ежемесячный платеж]]&lt;$AC$5, Таблица1[[#This Row],[Ежемесячный платеж]]&gt;$AC$6)</f>
        <v>1</v>
      </c>
      <c r="S879" s="9">
        <f>(Таблица1[[#This Row],[Размер кредита]]-21824)/(789096-21824)</f>
        <v>0.38330083725197844</v>
      </c>
      <c r="T879" s="9">
        <f>(Таблица1[[#This Row],[Кредитный рейтинг]]-586)/(751-586)</f>
        <v>0.83030303030303032</v>
      </c>
      <c r="U879" s="9">
        <f>Таблица1[[#This Row],[Ежемесячный платеж]]/(Таблица1[[#This Row],[Годовой доход]]/12)</f>
        <v>0.72877610774936563</v>
      </c>
    </row>
    <row r="880" spans="1:21" x14ac:dyDescent="0.3">
      <c r="A880">
        <v>879</v>
      </c>
      <c r="B880">
        <v>1</v>
      </c>
      <c r="C880" s="9">
        <v>106106</v>
      </c>
      <c r="D880">
        <v>719</v>
      </c>
      <c r="E880" s="1">
        <v>954579</v>
      </c>
      <c r="F880">
        <v>0</v>
      </c>
      <c r="G880">
        <v>4598</v>
      </c>
      <c r="H880">
        <v>10.8</v>
      </c>
      <c r="I880">
        <v>9</v>
      </c>
      <c r="J880">
        <v>117344</v>
      </c>
      <c r="K880">
        <v>358468</v>
      </c>
      <c r="L880" t="s">
        <v>29</v>
      </c>
      <c r="M880" t="s">
        <v>921</v>
      </c>
      <c r="N880" t="s">
        <v>26</v>
      </c>
      <c r="O880" t="s">
        <v>28</v>
      </c>
      <c r="P880" t="s">
        <v>22</v>
      </c>
      <c r="Q880" t="s">
        <v>23</v>
      </c>
      <c r="R880" t="b">
        <f>OR(Таблица1[[#This Row],[Ежемесячный платеж]]&lt;$AC$5, Таблица1[[#This Row],[Ежемесячный платеж]]&gt;$AC$6)</f>
        <v>0</v>
      </c>
      <c r="S880" s="9">
        <f>(Таблица1[[#This Row],[Размер кредита]]-21824)/(789096-21824)</f>
        <v>0.10984631265053332</v>
      </c>
      <c r="T880" s="9">
        <f>(Таблица1[[#This Row],[Кредитный рейтинг]]-586)/(751-586)</f>
        <v>0.80606060606060603</v>
      </c>
      <c r="U880" s="9">
        <f>Таблица1[[#This Row],[Ежемесячный платеж]]/(Таблица1[[#This Row],[Годовой доход]]/12)</f>
        <v>5.7801397265181825E-2</v>
      </c>
    </row>
    <row r="881" spans="1:21" x14ac:dyDescent="0.3">
      <c r="A881">
        <v>880</v>
      </c>
      <c r="B881">
        <v>1</v>
      </c>
      <c r="D881">
        <v>712</v>
      </c>
      <c r="E881" s="1">
        <v>652137</v>
      </c>
      <c r="F881">
        <v>17</v>
      </c>
      <c r="G881">
        <v>9075.73</v>
      </c>
      <c r="H881">
        <v>20.399999999999999</v>
      </c>
      <c r="I881">
        <v>11</v>
      </c>
      <c r="J881">
        <v>85101</v>
      </c>
      <c r="K881">
        <v>226534</v>
      </c>
      <c r="L881" t="s">
        <v>37</v>
      </c>
      <c r="M881" t="s">
        <v>922</v>
      </c>
      <c r="N881" t="s">
        <v>26</v>
      </c>
      <c r="O881" t="s">
        <v>34</v>
      </c>
      <c r="P881" t="s">
        <v>22</v>
      </c>
      <c r="Q881" t="s">
        <v>23</v>
      </c>
      <c r="R881" t="b">
        <f>OR(Таблица1[[#This Row],[Ежемесячный платеж]]&lt;$AC$5, Таблица1[[#This Row],[Ежемесячный платеж]]&gt;$AC$6)</f>
        <v>0</v>
      </c>
      <c r="T881" s="9">
        <f>(Таблица1[[#This Row],[Кредитный рейтинг]]-586)/(751-586)</f>
        <v>0.76363636363636367</v>
      </c>
      <c r="U881" s="9">
        <f>Таблица1[[#This Row],[Ежемесячный платеж]]/(Таблица1[[#This Row],[Годовой доход]]/12)</f>
        <v>0.16700288436325494</v>
      </c>
    </row>
    <row r="882" spans="1:21" x14ac:dyDescent="0.3">
      <c r="A882">
        <v>881</v>
      </c>
      <c r="B882">
        <v>0</v>
      </c>
      <c r="C882" s="9">
        <v>134332</v>
      </c>
      <c r="D882">
        <f>$Y$13</f>
        <v>723</v>
      </c>
      <c r="E882">
        <f>$AB$13</f>
        <v>1168044</v>
      </c>
      <c r="F882">
        <v>29</v>
      </c>
      <c r="G882">
        <v>12567.36</v>
      </c>
      <c r="H882">
        <v>7</v>
      </c>
      <c r="I882">
        <v>11</v>
      </c>
      <c r="J882">
        <v>128383</v>
      </c>
      <c r="K882">
        <v>297902</v>
      </c>
      <c r="L882" t="s">
        <v>63</v>
      </c>
      <c r="M882" t="s">
        <v>923</v>
      </c>
      <c r="N882" t="s">
        <v>26</v>
      </c>
      <c r="O882" t="s">
        <v>21</v>
      </c>
      <c r="P882" t="s">
        <v>22</v>
      </c>
      <c r="Q882" t="s">
        <v>23</v>
      </c>
      <c r="R882" t="b">
        <f>OR(Таблица1[[#This Row],[Ежемесячный платеж]]&lt;$AC$5, Таблица1[[#This Row],[Ежемесячный платеж]]&gt;$AC$6)</f>
        <v>0</v>
      </c>
      <c r="S882" s="9">
        <f>(Таблица1[[#This Row],[Размер кредита]]-21824)/(789096-21824)</f>
        <v>0.14663378827847232</v>
      </c>
      <c r="T882" s="9">
        <f>(Таблица1[[#This Row],[Кредитный рейтинг]]-586)/(751-586)</f>
        <v>0.83030303030303032</v>
      </c>
      <c r="U882" s="9">
        <f>Таблица1[[#This Row],[Ежемесячный платеж]]/(Таблица1[[#This Row],[Годовой доход]]/12)</f>
        <v>0.12911184852625415</v>
      </c>
    </row>
    <row r="883" spans="1:21" x14ac:dyDescent="0.3">
      <c r="A883">
        <v>882</v>
      </c>
      <c r="B883">
        <v>0</v>
      </c>
      <c r="C883" s="9">
        <v>302764</v>
      </c>
      <c r="D883">
        <v>738</v>
      </c>
      <c r="E883" s="1">
        <v>1531514</v>
      </c>
      <c r="F883">
        <v>44</v>
      </c>
      <c r="G883">
        <v>13400.7</v>
      </c>
      <c r="H883">
        <v>11</v>
      </c>
      <c r="I883">
        <v>18</v>
      </c>
      <c r="J883">
        <v>201704</v>
      </c>
      <c r="K883">
        <v>463430</v>
      </c>
      <c r="L883" t="s">
        <v>29</v>
      </c>
      <c r="M883" t="s">
        <v>924</v>
      </c>
      <c r="N883" t="s">
        <v>99</v>
      </c>
      <c r="O883" t="s">
        <v>34</v>
      </c>
      <c r="P883" t="s">
        <v>22</v>
      </c>
      <c r="Q883" t="s">
        <v>23</v>
      </c>
      <c r="R883" t="b">
        <f>OR(Таблица1[[#This Row],[Ежемесячный платеж]]&lt;$AC$5, Таблица1[[#This Row],[Ежемесячный платеж]]&gt;$AC$6)</f>
        <v>0</v>
      </c>
      <c r="S883" s="9">
        <f>(Таблица1[[#This Row],[Размер кредита]]-21824)/(789096-21824)</f>
        <v>0.36615437550177771</v>
      </c>
      <c r="T883" s="9">
        <f>(Таблица1[[#This Row],[Кредитный рейтинг]]-586)/(751-586)</f>
        <v>0.92121212121212126</v>
      </c>
      <c r="U883" s="9">
        <f>Таблица1[[#This Row],[Ежемесячный платеж]]/(Таблица1[[#This Row],[Годовой доход]]/12)</f>
        <v>0.10499962781926904</v>
      </c>
    </row>
    <row r="884" spans="1:21" x14ac:dyDescent="0.3">
      <c r="A884">
        <v>883</v>
      </c>
      <c r="B884">
        <v>1</v>
      </c>
      <c r="C884" s="9">
        <v>747736</v>
      </c>
      <c r="D884">
        <v>646</v>
      </c>
      <c r="E884" s="1">
        <v>1538696</v>
      </c>
      <c r="F884">
        <v>77</v>
      </c>
      <c r="G884">
        <v>20644.07</v>
      </c>
      <c r="H884">
        <v>18</v>
      </c>
      <c r="I884">
        <v>7</v>
      </c>
      <c r="J884">
        <v>167200</v>
      </c>
      <c r="K884">
        <v>222772</v>
      </c>
      <c r="L884" t="s">
        <v>69</v>
      </c>
      <c r="M884" t="s">
        <v>925</v>
      </c>
      <c r="N884" t="s">
        <v>26</v>
      </c>
      <c r="O884" t="s">
        <v>21</v>
      </c>
      <c r="P884" t="s">
        <v>31</v>
      </c>
      <c r="Q884" t="s">
        <v>23</v>
      </c>
      <c r="R884" t="b">
        <f>OR(Таблица1[[#This Row],[Ежемесячный платеж]]&lt;$AC$5, Таблица1[[#This Row],[Ежемесячный платеж]]&gt;$AC$6)</f>
        <v>0</v>
      </c>
      <c r="S884" s="9">
        <f>(Таблица1[[#This Row],[Размер кредита]]-21824)/(789096-21824)</f>
        <v>0.94609473563482049</v>
      </c>
      <c r="T884" s="9">
        <f>(Таблица1[[#This Row],[Кредитный рейтинг]]-586)/(751-586)</f>
        <v>0.36363636363636365</v>
      </c>
      <c r="U884" s="9">
        <f>Таблица1[[#This Row],[Ежемесячный платеж]]/(Таблица1[[#This Row],[Годовой доход]]/12)</f>
        <v>0.1609992097204386</v>
      </c>
    </row>
    <row r="885" spans="1:21" x14ac:dyDescent="0.3">
      <c r="A885">
        <v>884</v>
      </c>
      <c r="B885">
        <v>0</v>
      </c>
      <c r="C885" s="9">
        <v>216018</v>
      </c>
      <c r="D885">
        <v>736</v>
      </c>
      <c r="E885" s="1">
        <v>1212656</v>
      </c>
      <c r="F885">
        <v>0</v>
      </c>
      <c r="G885">
        <v>2647.65</v>
      </c>
      <c r="H885">
        <v>21.6</v>
      </c>
      <c r="I885">
        <v>6</v>
      </c>
      <c r="J885">
        <v>76114</v>
      </c>
      <c r="K885">
        <v>345620</v>
      </c>
      <c r="L885" t="s">
        <v>41</v>
      </c>
      <c r="M885" t="s">
        <v>926</v>
      </c>
      <c r="N885" t="s">
        <v>26</v>
      </c>
      <c r="O885" t="s">
        <v>34</v>
      </c>
      <c r="P885" t="s">
        <v>22</v>
      </c>
      <c r="Q885" t="s">
        <v>23</v>
      </c>
      <c r="R885" t="b">
        <f>OR(Таблица1[[#This Row],[Ежемесячный платеж]]&lt;$AC$5, Таблица1[[#This Row],[Ежемесячный платеж]]&gt;$AC$6)</f>
        <v>0</v>
      </c>
      <c r="S885" s="9">
        <f>(Таблица1[[#This Row],[Размер кредита]]-21824)/(789096-21824)</f>
        <v>0.25309668539970182</v>
      </c>
      <c r="T885" s="9">
        <f>(Таблица1[[#This Row],[Кредитный рейтинг]]-586)/(751-586)</f>
        <v>0.90909090909090906</v>
      </c>
      <c r="U885" s="9">
        <f>Таблица1[[#This Row],[Ежемесячный платеж]]/(Таблица1[[#This Row],[Годовой доход]]/12)</f>
        <v>2.6200175482577085E-2</v>
      </c>
    </row>
    <row r="886" spans="1:21" x14ac:dyDescent="0.3">
      <c r="A886">
        <v>885</v>
      </c>
      <c r="B886">
        <v>0</v>
      </c>
      <c r="C886" s="9">
        <v>132022</v>
      </c>
      <c r="D886">
        <v>695</v>
      </c>
      <c r="E886" s="1">
        <v>665076</v>
      </c>
      <c r="F886">
        <v>0</v>
      </c>
      <c r="G886">
        <v>6983.26</v>
      </c>
      <c r="H886">
        <v>23</v>
      </c>
      <c r="I886">
        <v>5</v>
      </c>
      <c r="J886">
        <v>286634</v>
      </c>
      <c r="K886">
        <v>563486</v>
      </c>
      <c r="L886" t="s">
        <v>32</v>
      </c>
      <c r="M886" t="s">
        <v>927</v>
      </c>
      <c r="N886" t="s">
        <v>99</v>
      </c>
      <c r="O886" t="s">
        <v>34</v>
      </c>
      <c r="P886" t="s">
        <v>31</v>
      </c>
      <c r="Q886" t="s">
        <v>23</v>
      </c>
      <c r="R886" t="b">
        <f>OR(Таблица1[[#This Row],[Ежемесячный платеж]]&lt;$AC$5, Таблица1[[#This Row],[Ежемесячный платеж]]&gt;$AC$6)</f>
        <v>0</v>
      </c>
      <c r="S886" s="9">
        <f>(Таблица1[[#This Row],[Размер кредита]]-21824)/(789096-21824)</f>
        <v>0.14362312191765111</v>
      </c>
      <c r="T886" s="9">
        <f>(Таблица1[[#This Row],[Кредитный рейтинг]]-586)/(751-586)</f>
        <v>0.66060606060606064</v>
      </c>
      <c r="U886" s="9">
        <f>Таблица1[[#This Row],[Ежемесячный платеж]]/(Таблица1[[#This Row],[Годовой доход]]/12)</f>
        <v>0.12599931436407269</v>
      </c>
    </row>
    <row r="887" spans="1:21" x14ac:dyDescent="0.3">
      <c r="A887">
        <v>886</v>
      </c>
      <c r="B887">
        <v>0</v>
      </c>
      <c r="C887" s="9">
        <v>181346</v>
      </c>
      <c r="D887">
        <f>$Y$13</f>
        <v>723</v>
      </c>
      <c r="E887">
        <f>$AB$13</f>
        <v>1168044</v>
      </c>
      <c r="F887">
        <v>0</v>
      </c>
      <c r="G887">
        <v>34339.65</v>
      </c>
      <c r="H887">
        <v>20.3</v>
      </c>
      <c r="I887">
        <v>23</v>
      </c>
      <c r="J887">
        <v>365921</v>
      </c>
      <c r="K887">
        <v>692318</v>
      </c>
      <c r="L887" t="s">
        <v>18</v>
      </c>
      <c r="M887" t="s">
        <v>928</v>
      </c>
      <c r="N887" t="s">
        <v>20</v>
      </c>
      <c r="O887" t="s">
        <v>21</v>
      </c>
      <c r="P887" t="s">
        <v>22</v>
      </c>
      <c r="Q887" t="s">
        <v>23</v>
      </c>
      <c r="R887" t="b">
        <f>OR(Таблица1[[#This Row],[Ежемесячный платеж]]&lt;$AC$5, Таблица1[[#This Row],[Ежемесячный платеж]]&gt;$AC$6)</f>
        <v>0</v>
      </c>
      <c r="S887" s="9">
        <f>(Таблица1[[#This Row],[Размер кредита]]-21824)/(789096-21824)</f>
        <v>0.20790801697442368</v>
      </c>
      <c r="T887" s="9">
        <f>(Таблица1[[#This Row],[Кредитный рейтинг]]-586)/(751-586)</f>
        <v>0.83030303030303032</v>
      </c>
      <c r="U887" s="9">
        <f>Таблица1[[#This Row],[Ежемесячный платеж]]/(Таблица1[[#This Row],[Годовой доход]]/12)</f>
        <v>0.35279133320320127</v>
      </c>
    </row>
    <row r="888" spans="1:21" x14ac:dyDescent="0.3">
      <c r="A888">
        <v>887</v>
      </c>
      <c r="B888">
        <v>0</v>
      </c>
      <c r="C888" s="9">
        <v>129184</v>
      </c>
      <c r="D888">
        <v>751</v>
      </c>
      <c r="E888" s="1">
        <v>1001186</v>
      </c>
      <c r="F888">
        <v>0</v>
      </c>
      <c r="G888">
        <v>12097.68</v>
      </c>
      <c r="H888">
        <v>24.9</v>
      </c>
      <c r="I888">
        <v>4</v>
      </c>
      <c r="J888">
        <v>386289</v>
      </c>
      <c r="K888">
        <v>989560</v>
      </c>
      <c r="L888" t="s">
        <v>24</v>
      </c>
      <c r="M888" t="s">
        <v>929</v>
      </c>
      <c r="N888" t="s">
        <v>76</v>
      </c>
      <c r="O888" t="s">
        <v>21</v>
      </c>
      <c r="P888" t="s">
        <v>22</v>
      </c>
      <c r="Q888" t="s">
        <v>23</v>
      </c>
      <c r="R888" t="b">
        <f>OR(Таблица1[[#This Row],[Ежемесячный платеж]]&lt;$AC$5, Таблица1[[#This Row],[Ежемесячный платеж]]&gt;$AC$6)</f>
        <v>0</v>
      </c>
      <c r="S888" s="9">
        <f>(Таблица1[[#This Row],[Размер кредита]]-21824)/(789096-21824)</f>
        <v>0.13992430324578506</v>
      </c>
      <c r="T888" s="9">
        <f>(Таблица1[[#This Row],[Кредитный рейтинг]]-586)/(751-586)</f>
        <v>1</v>
      </c>
      <c r="U888" s="9">
        <f>Таблица1[[#This Row],[Ежемесячный платеж]]/(Таблица1[[#This Row],[Годовой доход]]/12)</f>
        <v>0.14500018977492693</v>
      </c>
    </row>
    <row r="889" spans="1:21" x14ac:dyDescent="0.3">
      <c r="A889">
        <v>888</v>
      </c>
      <c r="B889">
        <v>0</v>
      </c>
      <c r="C889" s="9">
        <v>138160</v>
      </c>
      <c r="D889">
        <v>728</v>
      </c>
      <c r="E889" s="1">
        <v>691828</v>
      </c>
      <c r="F889">
        <v>68</v>
      </c>
      <c r="G889">
        <v>13548.14</v>
      </c>
      <c r="H889">
        <v>20.6</v>
      </c>
      <c r="I889">
        <v>8</v>
      </c>
      <c r="J889">
        <v>72200</v>
      </c>
      <c r="K889">
        <v>179014</v>
      </c>
      <c r="L889" t="s">
        <v>24</v>
      </c>
      <c r="M889" t="s">
        <v>930</v>
      </c>
      <c r="N889" t="s">
        <v>26</v>
      </c>
      <c r="O889" t="s">
        <v>21</v>
      </c>
      <c r="P889" t="s">
        <v>22</v>
      </c>
      <c r="Q889" t="s">
        <v>36</v>
      </c>
      <c r="R889" t="b">
        <f>OR(Таблица1[[#This Row],[Ежемесячный платеж]]&lt;$AC$5, Таблица1[[#This Row],[Ежемесячный платеж]]&gt;$AC$6)</f>
        <v>0</v>
      </c>
      <c r="S889" s="9">
        <f>(Таблица1[[#This Row],[Размер кредита]]-21824)/(789096-21824)</f>
        <v>0.15162289253354744</v>
      </c>
      <c r="T889" s="9">
        <f>(Таблица1[[#This Row],[Кредитный рейтинг]]-586)/(751-586)</f>
        <v>0.8606060606060606</v>
      </c>
      <c r="U889" s="9">
        <f>Таблица1[[#This Row],[Ежемесячный платеж]]/(Таблица1[[#This Row],[Годовой доход]]/12)</f>
        <v>0.23499725365264196</v>
      </c>
    </row>
    <row r="890" spans="1:21" x14ac:dyDescent="0.3">
      <c r="A890">
        <v>889</v>
      </c>
      <c r="B890">
        <v>1</v>
      </c>
      <c r="C890" s="9">
        <v>303688</v>
      </c>
      <c r="D890">
        <v>703</v>
      </c>
      <c r="E890" s="1">
        <v>950285</v>
      </c>
      <c r="F890">
        <v>38</v>
      </c>
      <c r="G890">
        <v>14016.68</v>
      </c>
      <c r="H890">
        <v>19</v>
      </c>
      <c r="I890">
        <v>19</v>
      </c>
      <c r="J890">
        <v>58520</v>
      </c>
      <c r="K890">
        <v>376442</v>
      </c>
      <c r="L890" t="s">
        <v>47</v>
      </c>
      <c r="M890" t="s">
        <v>931</v>
      </c>
      <c r="N890" t="s">
        <v>26</v>
      </c>
      <c r="O890" t="s">
        <v>21</v>
      </c>
      <c r="P890" t="s">
        <v>31</v>
      </c>
      <c r="Q890" t="s">
        <v>23</v>
      </c>
      <c r="R890" t="b">
        <f>OR(Таблица1[[#This Row],[Ежемесячный платеж]]&lt;$AC$5, Таблица1[[#This Row],[Ежемесячный платеж]]&gt;$AC$6)</f>
        <v>0</v>
      </c>
      <c r="S890" s="9">
        <f>(Таблица1[[#This Row],[Размер кредита]]-21824)/(789096-21824)</f>
        <v>0.36735864204610619</v>
      </c>
      <c r="T890" s="9">
        <f>(Таблица1[[#This Row],[Кредитный рейтинг]]-586)/(751-586)</f>
        <v>0.70909090909090911</v>
      </c>
      <c r="U890" s="9">
        <f>Таблица1[[#This Row],[Ежемесячный платеж]]/(Таблица1[[#This Row],[Годовой доход]]/12)</f>
        <v>0.17699970008997301</v>
      </c>
    </row>
    <row r="891" spans="1:21" x14ac:dyDescent="0.3">
      <c r="A891">
        <v>890</v>
      </c>
      <c r="B891">
        <v>0</v>
      </c>
      <c r="C891" s="9">
        <v>175604</v>
      </c>
      <c r="D891">
        <v>722</v>
      </c>
      <c r="E891" s="1">
        <v>568746</v>
      </c>
      <c r="F891">
        <v>50</v>
      </c>
      <c r="G891">
        <v>8009.83</v>
      </c>
      <c r="H891">
        <v>31.2</v>
      </c>
      <c r="I891">
        <v>8</v>
      </c>
      <c r="J891">
        <v>220932</v>
      </c>
      <c r="K891">
        <v>366498</v>
      </c>
      <c r="L891" t="s">
        <v>63</v>
      </c>
      <c r="M891" t="s">
        <v>932</v>
      </c>
      <c r="N891" t="s">
        <v>26</v>
      </c>
      <c r="O891" t="s">
        <v>28</v>
      </c>
      <c r="P891" t="s">
        <v>22</v>
      </c>
      <c r="Q891" t="s">
        <v>23</v>
      </c>
      <c r="R891" t="b">
        <f>OR(Таблица1[[#This Row],[Ежемесячный платеж]]&lt;$AC$5, Таблица1[[#This Row],[Ежемесячный платеж]]&gt;$AC$6)</f>
        <v>0</v>
      </c>
      <c r="S891" s="9">
        <f>(Таблица1[[#This Row],[Размер кредита]]-21824)/(789096-21824)</f>
        <v>0.20042436059181098</v>
      </c>
      <c r="T891" s="9">
        <f>(Таблица1[[#This Row],[Кредитный рейтинг]]-586)/(751-586)</f>
        <v>0.82424242424242422</v>
      </c>
      <c r="U891" s="9">
        <f>Таблица1[[#This Row],[Ежемесячный платеж]]/(Таблица1[[#This Row],[Годовой доход]]/12)</f>
        <v>0.16899979955902986</v>
      </c>
    </row>
    <row r="892" spans="1:21" x14ac:dyDescent="0.3">
      <c r="A892">
        <v>891</v>
      </c>
      <c r="B892">
        <v>0</v>
      </c>
      <c r="C892" s="9">
        <v>112332</v>
      </c>
      <c r="D892">
        <v>699</v>
      </c>
      <c r="E892" s="1">
        <v>873050</v>
      </c>
      <c r="F892">
        <v>0</v>
      </c>
      <c r="G892">
        <v>15787.48</v>
      </c>
      <c r="H892">
        <v>17.2</v>
      </c>
      <c r="I892">
        <v>7</v>
      </c>
      <c r="J892">
        <v>175978</v>
      </c>
      <c r="K892">
        <v>213356</v>
      </c>
      <c r="L892" t="s">
        <v>24</v>
      </c>
      <c r="M892" t="s">
        <v>933</v>
      </c>
      <c r="N892" t="s">
        <v>68</v>
      </c>
      <c r="O892" t="s">
        <v>34</v>
      </c>
      <c r="P892" t="s">
        <v>22</v>
      </c>
      <c r="Q892" t="s">
        <v>23</v>
      </c>
      <c r="R892" t="b">
        <f>OR(Таблица1[[#This Row],[Ежемесячный платеж]]&lt;$AC$5, Таблица1[[#This Row],[Ежемесячный платеж]]&gt;$AC$6)</f>
        <v>0</v>
      </c>
      <c r="S892" s="9">
        <f>(Таблица1[[#This Row],[Размер кредита]]-21824)/(789096-21824)</f>
        <v>0.11796077531827044</v>
      </c>
      <c r="T892" s="9">
        <f>(Таблица1[[#This Row],[Кредитный рейтинг]]-586)/(751-586)</f>
        <v>0.68484848484848482</v>
      </c>
      <c r="U892" s="9">
        <f>Таблица1[[#This Row],[Ежемесячный платеж]]/(Таблица1[[#This Row],[Годовой доход]]/12)</f>
        <v>0.21699760609357996</v>
      </c>
    </row>
    <row r="893" spans="1:21" x14ac:dyDescent="0.3">
      <c r="A893">
        <v>892</v>
      </c>
      <c r="B893">
        <v>0</v>
      </c>
      <c r="C893" s="9">
        <v>331188</v>
      </c>
      <c r="D893">
        <v>641</v>
      </c>
      <c r="E893" s="1">
        <v>1525472</v>
      </c>
      <c r="F893">
        <v>51</v>
      </c>
      <c r="G893">
        <v>17924.22</v>
      </c>
      <c r="H893">
        <v>28.9</v>
      </c>
      <c r="I893">
        <v>12</v>
      </c>
      <c r="J893">
        <v>208506</v>
      </c>
      <c r="K893">
        <v>253858</v>
      </c>
      <c r="L893" t="s">
        <v>37</v>
      </c>
      <c r="M893" t="s">
        <v>934</v>
      </c>
      <c r="N893" t="s">
        <v>26</v>
      </c>
      <c r="O893" t="s">
        <v>34</v>
      </c>
      <c r="P893" t="s">
        <v>31</v>
      </c>
      <c r="Q893" t="s">
        <v>36</v>
      </c>
      <c r="R893" t="b">
        <f>OR(Таблица1[[#This Row],[Ежемесячный платеж]]&lt;$AC$5, Таблица1[[#This Row],[Ежемесячный платеж]]&gt;$AC$6)</f>
        <v>0</v>
      </c>
      <c r="S893" s="9">
        <f>(Таблица1[[#This Row],[Размер кредита]]-21824)/(789096-21824)</f>
        <v>0.40319990824635854</v>
      </c>
      <c r="T893" s="9">
        <f>(Таблица1[[#This Row],[Кредитный рейтинг]]-586)/(751-586)</f>
        <v>0.33333333333333331</v>
      </c>
      <c r="U893" s="9">
        <f>Таблица1[[#This Row],[Ежемесячный платеж]]/(Таблица1[[#This Row],[Годовой доход]]/12)</f>
        <v>0.1409994021522519</v>
      </c>
    </row>
    <row r="894" spans="1:21" x14ac:dyDescent="0.3">
      <c r="A894">
        <v>893</v>
      </c>
      <c r="B894">
        <v>0</v>
      </c>
      <c r="C894" s="9">
        <v>107734</v>
      </c>
      <c r="D894">
        <v>729</v>
      </c>
      <c r="E894" s="1">
        <v>651301</v>
      </c>
      <c r="F894">
        <v>17</v>
      </c>
      <c r="G894">
        <v>3180.6</v>
      </c>
      <c r="H894">
        <v>17.5</v>
      </c>
      <c r="I894">
        <v>5</v>
      </c>
      <c r="J894">
        <v>65056</v>
      </c>
      <c r="K894">
        <v>269038</v>
      </c>
      <c r="L894" t="s">
        <v>24</v>
      </c>
      <c r="M894" t="s">
        <v>935</v>
      </c>
      <c r="N894" t="s">
        <v>99</v>
      </c>
      <c r="O894" t="s">
        <v>28</v>
      </c>
      <c r="P894" t="s">
        <v>22</v>
      </c>
      <c r="Q894" t="s">
        <v>36</v>
      </c>
      <c r="R894" t="b">
        <f>OR(Таблица1[[#This Row],[Ежемесячный платеж]]&lt;$AC$5, Таблица1[[#This Row],[Ежемесячный платеж]]&gt;$AC$6)</f>
        <v>0</v>
      </c>
      <c r="S894" s="9">
        <f>(Таблица1[[#This Row],[Размер кредита]]-21824)/(789096-21824)</f>
        <v>0.11196811560958826</v>
      </c>
      <c r="T894" s="9">
        <f>(Таблица1[[#This Row],[Кредитный рейтинг]]-586)/(751-586)</f>
        <v>0.8666666666666667</v>
      </c>
      <c r="U894" s="9">
        <f>Таблица1[[#This Row],[Ежемесячный платеж]]/(Таблица1[[#This Row],[Годовой доход]]/12)</f>
        <v>5.8601476122407299E-2</v>
      </c>
    </row>
    <row r="895" spans="1:21" x14ac:dyDescent="0.3">
      <c r="A895">
        <v>894</v>
      </c>
      <c r="B895">
        <v>0</v>
      </c>
      <c r="C895" s="9">
        <v>504284</v>
      </c>
      <c r="D895">
        <v>718</v>
      </c>
      <c r="E895" s="1">
        <v>989919</v>
      </c>
      <c r="F895">
        <v>9</v>
      </c>
      <c r="G895">
        <v>12209.02</v>
      </c>
      <c r="H895">
        <v>11.4</v>
      </c>
      <c r="I895">
        <v>17</v>
      </c>
      <c r="J895">
        <v>220400</v>
      </c>
      <c r="K895">
        <v>2126674</v>
      </c>
      <c r="L895" t="s">
        <v>63</v>
      </c>
      <c r="M895" t="s">
        <v>936</v>
      </c>
      <c r="N895" t="s">
        <v>68</v>
      </c>
      <c r="O895" t="s">
        <v>34</v>
      </c>
      <c r="P895" t="s">
        <v>22</v>
      </c>
      <c r="Q895" t="s">
        <v>23</v>
      </c>
      <c r="R895" t="b">
        <f>OR(Таблица1[[#This Row],[Ежемесячный платеж]]&lt;$AC$5, Таблица1[[#This Row],[Ежемесячный платеж]]&gt;$AC$6)</f>
        <v>0</v>
      </c>
      <c r="S895" s="9">
        <f>(Таблица1[[#This Row],[Размер кредита]]-21824)/(789096-21824)</f>
        <v>0.62879917421722675</v>
      </c>
      <c r="T895" s="9">
        <f>(Таблица1[[#This Row],[Кредитный рейтинг]]-586)/(751-586)</f>
        <v>0.8</v>
      </c>
      <c r="U895" s="9">
        <f>Таблица1[[#This Row],[Ежемесячный платеж]]/(Таблица1[[#This Row],[Годовой доход]]/12)</f>
        <v>0.14800023032187481</v>
      </c>
    </row>
    <row r="896" spans="1:21" x14ac:dyDescent="0.3">
      <c r="A896">
        <v>895</v>
      </c>
      <c r="B896">
        <v>0</v>
      </c>
      <c r="C896" s="9">
        <v>110242</v>
      </c>
      <c r="D896">
        <v>716</v>
      </c>
      <c r="E896" s="1">
        <v>914014</v>
      </c>
      <c r="F896">
        <v>60</v>
      </c>
      <c r="G896">
        <v>13481.64</v>
      </c>
      <c r="H896">
        <v>15</v>
      </c>
      <c r="I896">
        <v>11</v>
      </c>
      <c r="J896">
        <v>62833</v>
      </c>
      <c r="K896">
        <v>112442</v>
      </c>
      <c r="L896" t="s">
        <v>63</v>
      </c>
      <c r="M896" t="s">
        <v>937</v>
      </c>
      <c r="N896" t="s">
        <v>26</v>
      </c>
      <c r="O896" t="s">
        <v>34</v>
      </c>
      <c r="P896" t="s">
        <v>22</v>
      </c>
      <c r="Q896" t="s">
        <v>23</v>
      </c>
      <c r="R896" t="b">
        <f>OR(Таблица1[[#This Row],[Ежемесячный платеж]]&lt;$AC$5, Таблица1[[#This Row],[Ежемесячный платеж]]&gt;$AC$6)</f>
        <v>0</v>
      </c>
      <c r="S896" s="9">
        <f>(Таблица1[[#This Row],[Размер кредита]]-21824)/(789096-21824)</f>
        <v>0.11523683908705126</v>
      </c>
      <c r="T896" s="9">
        <f>(Таблица1[[#This Row],[Кредитный рейтинг]]-586)/(751-586)</f>
        <v>0.78787878787878785</v>
      </c>
      <c r="U896" s="9">
        <f>Таблица1[[#This Row],[Ежемесячный платеж]]/(Таблица1[[#This Row],[Годовой доход]]/12)</f>
        <v>0.17699912692803393</v>
      </c>
    </row>
    <row r="897" spans="1:21" x14ac:dyDescent="0.3">
      <c r="A897">
        <v>896</v>
      </c>
      <c r="B897">
        <v>0</v>
      </c>
      <c r="C897" s="9">
        <v>401038</v>
      </c>
      <c r="D897">
        <v>714</v>
      </c>
      <c r="E897" s="1">
        <v>1421941</v>
      </c>
      <c r="F897">
        <v>58</v>
      </c>
      <c r="G897">
        <v>10356.52</v>
      </c>
      <c r="H897">
        <v>15.3</v>
      </c>
      <c r="I897">
        <v>22</v>
      </c>
      <c r="J897">
        <v>357485</v>
      </c>
      <c r="K897">
        <v>621500</v>
      </c>
      <c r="L897" t="s">
        <v>32</v>
      </c>
      <c r="M897" t="s">
        <v>938</v>
      </c>
      <c r="N897" t="s">
        <v>26</v>
      </c>
      <c r="O897" t="s">
        <v>21</v>
      </c>
      <c r="P897" t="s">
        <v>22</v>
      </c>
      <c r="Q897" t="s">
        <v>23</v>
      </c>
      <c r="R897" t="b">
        <f>OR(Таблица1[[#This Row],[Ежемесячный платеж]]&lt;$AC$5, Таблица1[[#This Row],[Ежемесячный платеж]]&gt;$AC$6)</f>
        <v>0</v>
      </c>
      <c r="S897" s="9">
        <f>(Таблица1[[#This Row],[Размер кредита]]-21824)/(789096-21824)</f>
        <v>0.49423672439499944</v>
      </c>
      <c r="T897" s="9">
        <f>(Таблица1[[#This Row],[Кредитный рейтинг]]-586)/(751-586)</f>
        <v>0.77575757575757576</v>
      </c>
      <c r="U897" s="9">
        <f>Таблица1[[#This Row],[Ежемесячный платеж]]/(Таблица1[[#This Row],[Годовой доход]]/12)</f>
        <v>8.7400419567337892E-2</v>
      </c>
    </row>
    <row r="898" spans="1:21" x14ac:dyDescent="0.3">
      <c r="A898">
        <v>897</v>
      </c>
      <c r="B898">
        <v>0</v>
      </c>
      <c r="C898" s="9">
        <v>457666</v>
      </c>
      <c r="D898">
        <f>$Y$13</f>
        <v>723</v>
      </c>
      <c r="E898">
        <f>$AB$13</f>
        <v>1168044</v>
      </c>
      <c r="F898">
        <v>0</v>
      </c>
      <c r="G898">
        <v>7381.31</v>
      </c>
      <c r="H898">
        <v>39</v>
      </c>
      <c r="I898">
        <v>4</v>
      </c>
      <c r="J898">
        <v>173090</v>
      </c>
      <c r="K898">
        <v>209198</v>
      </c>
      <c r="L898" t="s">
        <v>24</v>
      </c>
      <c r="M898" t="s">
        <v>939</v>
      </c>
      <c r="N898" t="s">
        <v>26</v>
      </c>
      <c r="O898" t="s">
        <v>21</v>
      </c>
      <c r="P898" t="s">
        <v>31</v>
      </c>
      <c r="Q898" t="s">
        <v>23</v>
      </c>
      <c r="R898" t="b">
        <f>OR(Таблица1[[#This Row],[Ежемесячный платеж]]&lt;$AC$5, Таблица1[[#This Row],[Ежемесячный платеж]]&gt;$AC$6)</f>
        <v>0</v>
      </c>
      <c r="S898" s="9">
        <f>(Таблица1[[#This Row],[Размер кредита]]-21824)/(789096-21824)</f>
        <v>0.56804105975455899</v>
      </c>
      <c r="T898" s="9">
        <f>(Таблица1[[#This Row],[Кредитный рейтинг]]-586)/(751-586)</f>
        <v>0.83030303030303032</v>
      </c>
      <c r="U898" s="9">
        <f>Таблица1[[#This Row],[Ежемесячный платеж]]/(Таблица1[[#This Row],[Годовой доход]]/12)</f>
        <v>7.5832520007807935E-2</v>
      </c>
    </row>
    <row r="899" spans="1:21" x14ac:dyDescent="0.3">
      <c r="A899">
        <v>898</v>
      </c>
      <c r="B899">
        <v>1</v>
      </c>
      <c r="C899" s="9">
        <v>291258</v>
      </c>
      <c r="D899">
        <f>$Y$13</f>
        <v>723</v>
      </c>
      <c r="E899">
        <f>$AB$13</f>
        <v>1168044</v>
      </c>
      <c r="F899">
        <v>0</v>
      </c>
      <c r="G899">
        <v>19207.29</v>
      </c>
      <c r="H899">
        <v>9</v>
      </c>
      <c r="I899">
        <v>11</v>
      </c>
      <c r="J899">
        <v>101251</v>
      </c>
      <c r="K899">
        <v>331188</v>
      </c>
      <c r="L899" t="s">
        <v>24</v>
      </c>
      <c r="M899" t="s">
        <v>940</v>
      </c>
      <c r="N899" t="s">
        <v>26</v>
      </c>
      <c r="O899" t="s">
        <v>34</v>
      </c>
      <c r="P899" t="s">
        <v>31</v>
      </c>
      <c r="Q899" t="s">
        <v>36</v>
      </c>
      <c r="R899" t="b">
        <f>OR(Таблица1[[#This Row],[Ежемесячный платеж]]&lt;$AC$5, Таблица1[[#This Row],[Ежемесячный платеж]]&gt;$AC$6)</f>
        <v>0</v>
      </c>
      <c r="S899" s="9">
        <f>(Таблица1[[#This Row],[Размер кредита]]-21824)/(789096-21824)</f>
        <v>0.35115838972359215</v>
      </c>
      <c r="T899" s="9">
        <f>(Таблица1[[#This Row],[Кредитный рейтинг]]-586)/(751-586)</f>
        <v>0.83030303030303032</v>
      </c>
      <c r="U899" s="9">
        <f>Таблица1[[#This Row],[Ежемесячный платеж]]/(Таблица1[[#This Row],[Годовой доход]]/12)</f>
        <v>0.19732773765371853</v>
      </c>
    </row>
    <row r="900" spans="1:21" x14ac:dyDescent="0.3">
      <c r="A900">
        <v>899</v>
      </c>
      <c r="B900">
        <v>1</v>
      </c>
      <c r="C900" s="9">
        <v>293744</v>
      </c>
      <c r="D900">
        <v>686</v>
      </c>
      <c r="E900" s="1">
        <v>743318</v>
      </c>
      <c r="F900">
        <v>0</v>
      </c>
      <c r="G900">
        <v>11211.71</v>
      </c>
      <c r="H900">
        <v>16.8</v>
      </c>
      <c r="I900">
        <v>4</v>
      </c>
      <c r="J900">
        <v>351842</v>
      </c>
      <c r="K900">
        <v>442332</v>
      </c>
      <c r="L900" t="s">
        <v>50</v>
      </c>
      <c r="M900" t="s">
        <v>941</v>
      </c>
      <c r="N900" t="s">
        <v>26</v>
      </c>
      <c r="O900" t="s">
        <v>34</v>
      </c>
      <c r="P900" t="s">
        <v>22</v>
      </c>
      <c r="Q900" t="s">
        <v>23</v>
      </c>
      <c r="R900" t="b">
        <f>OR(Таблица1[[#This Row],[Ежемесячный платеж]]&lt;$AC$5, Таблица1[[#This Row],[Ежемесячный платеж]]&gt;$AC$6)</f>
        <v>0</v>
      </c>
      <c r="S900" s="9">
        <f>(Таблица1[[#This Row],[Размер кредита]]-21824)/(789096-21824)</f>
        <v>0.35439844018809497</v>
      </c>
      <c r="T900" s="9">
        <f>(Таблица1[[#This Row],[Кредитный рейтинг]]-586)/(751-586)</f>
        <v>0.60606060606060608</v>
      </c>
      <c r="U900" s="9">
        <f>Таблица1[[#This Row],[Ежемесячный платеж]]/(Таблица1[[#This Row],[Годовой доход]]/12)</f>
        <v>0.18099994887786922</v>
      </c>
    </row>
    <row r="901" spans="1:21" x14ac:dyDescent="0.3">
      <c r="A901">
        <v>900</v>
      </c>
      <c r="B901">
        <v>0</v>
      </c>
      <c r="C901" s="9">
        <v>214456</v>
      </c>
      <c r="D901">
        <v>718</v>
      </c>
      <c r="E901" s="1">
        <v>1543408</v>
      </c>
      <c r="F901">
        <v>54</v>
      </c>
      <c r="G901">
        <v>35627.089999999997</v>
      </c>
      <c r="H901">
        <v>14.9</v>
      </c>
      <c r="I901">
        <v>13</v>
      </c>
      <c r="J901">
        <v>140049</v>
      </c>
      <c r="K901">
        <v>337106</v>
      </c>
      <c r="L901" t="s">
        <v>41</v>
      </c>
      <c r="M901" t="s">
        <v>942</v>
      </c>
      <c r="N901" t="s">
        <v>26</v>
      </c>
      <c r="O901" t="s">
        <v>34</v>
      </c>
      <c r="P901" t="s">
        <v>22</v>
      </c>
      <c r="Q901" t="s">
        <v>23</v>
      </c>
      <c r="R901" t="b">
        <f>OR(Таблица1[[#This Row],[Ежемесячный платеж]]&lt;$AC$5, Таблица1[[#This Row],[Ежемесячный платеж]]&gt;$AC$6)</f>
        <v>0</v>
      </c>
      <c r="S901" s="9">
        <f>(Таблица1[[#This Row],[Размер кредита]]-21824)/(789096-21824)</f>
        <v>0.25106090147952748</v>
      </c>
      <c r="T901" s="9">
        <f>(Таблица1[[#This Row],[Кредитный рейтинг]]-586)/(751-586)</f>
        <v>0.8</v>
      </c>
      <c r="U901" s="9">
        <f>Таблица1[[#This Row],[Ежемесячный платеж]]/(Таблица1[[#This Row],[Годовой доход]]/12)</f>
        <v>0.27700068938349415</v>
      </c>
    </row>
    <row r="902" spans="1:21" x14ac:dyDescent="0.3">
      <c r="A902">
        <v>901</v>
      </c>
      <c r="B902">
        <v>0</v>
      </c>
      <c r="C902" s="9">
        <v>485782</v>
      </c>
      <c r="D902">
        <f>$Y$13</f>
        <v>723</v>
      </c>
      <c r="E902">
        <f>$AB$13</f>
        <v>1168044</v>
      </c>
      <c r="F902">
        <v>0</v>
      </c>
      <c r="G902">
        <v>21325.41</v>
      </c>
      <c r="H902">
        <v>12.7</v>
      </c>
      <c r="I902">
        <v>8</v>
      </c>
      <c r="J902">
        <v>423339</v>
      </c>
      <c r="K902">
        <v>634128</v>
      </c>
      <c r="L902" t="s">
        <v>24</v>
      </c>
      <c r="M902" t="s">
        <v>943</v>
      </c>
      <c r="N902" t="s">
        <v>26</v>
      </c>
      <c r="O902" t="s">
        <v>21</v>
      </c>
      <c r="P902" t="s">
        <v>22</v>
      </c>
      <c r="Q902" t="s">
        <v>23</v>
      </c>
      <c r="R902" t="b">
        <f>OR(Таблица1[[#This Row],[Ежемесячный платеж]]&lt;$AC$5, Таблица1[[#This Row],[Ежемесячный платеж]]&gt;$AC$6)</f>
        <v>0</v>
      </c>
      <c r="S902" s="9">
        <f>(Таблица1[[#This Row],[Размер кредита]]-21824)/(789096-21824)</f>
        <v>0.60468517031769697</v>
      </c>
      <c r="T902" s="9">
        <f>(Таблица1[[#This Row],[Кредитный рейтинг]]-586)/(751-586)</f>
        <v>0.83030303030303032</v>
      </c>
      <c r="U902" s="9">
        <f>Таблица1[[#This Row],[Ежемесячный платеж]]/(Таблица1[[#This Row],[Годовой доход]]/12)</f>
        <v>0.21908842475112239</v>
      </c>
    </row>
    <row r="903" spans="1:21" x14ac:dyDescent="0.3">
      <c r="A903">
        <v>902</v>
      </c>
      <c r="B903">
        <v>0</v>
      </c>
      <c r="C903" s="9">
        <v>672804</v>
      </c>
      <c r="D903">
        <v>720</v>
      </c>
      <c r="E903" s="1">
        <v>2699976</v>
      </c>
      <c r="F903">
        <v>0</v>
      </c>
      <c r="G903">
        <v>33299.78</v>
      </c>
      <c r="H903">
        <v>16.100000000000001</v>
      </c>
      <c r="I903">
        <v>11</v>
      </c>
      <c r="J903">
        <v>456836</v>
      </c>
      <c r="K903">
        <v>1147432</v>
      </c>
      <c r="L903" t="s">
        <v>47</v>
      </c>
      <c r="M903" t="s">
        <v>944</v>
      </c>
      <c r="N903" t="s">
        <v>26</v>
      </c>
      <c r="O903" t="s">
        <v>21</v>
      </c>
      <c r="P903" t="s">
        <v>31</v>
      </c>
      <c r="Q903" t="s">
        <v>36</v>
      </c>
      <c r="R903" t="b">
        <f>OR(Таблица1[[#This Row],[Ежемесячный платеж]]&lt;$AC$5, Таблица1[[#This Row],[Ежемесячный платеж]]&gt;$AC$6)</f>
        <v>0</v>
      </c>
      <c r="S903" s="9">
        <f>(Таблица1[[#This Row],[Размер кредита]]-21824)/(789096-21824)</f>
        <v>0.84843445349237301</v>
      </c>
      <c r="T903" s="9">
        <f>(Таблица1[[#This Row],[Кредитный рейтинг]]-586)/(751-586)</f>
        <v>0.81212121212121213</v>
      </c>
      <c r="U903" s="9">
        <f>Таблица1[[#This Row],[Ежемесячный платеж]]/(Таблица1[[#This Row],[Годовой доход]]/12)</f>
        <v>0.14800033778078026</v>
      </c>
    </row>
    <row r="904" spans="1:21" x14ac:dyDescent="0.3">
      <c r="A904">
        <v>903</v>
      </c>
      <c r="B904">
        <v>0</v>
      </c>
      <c r="C904" s="9">
        <v>192214</v>
      </c>
      <c r="D904">
        <v>746</v>
      </c>
      <c r="E904" s="1">
        <v>1131792</v>
      </c>
      <c r="F904">
        <v>23</v>
      </c>
      <c r="G904">
        <v>16127.96</v>
      </c>
      <c r="H904">
        <v>17.8</v>
      </c>
      <c r="I904">
        <v>13</v>
      </c>
      <c r="J904">
        <v>250268</v>
      </c>
      <c r="K904">
        <v>1038708</v>
      </c>
      <c r="L904" t="s">
        <v>24</v>
      </c>
      <c r="M904" t="s">
        <v>945</v>
      </c>
      <c r="N904" t="s">
        <v>26</v>
      </c>
      <c r="O904" t="s">
        <v>21</v>
      </c>
      <c r="P904" t="s">
        <v>22</v>
      </c>
      <c r="Q904" t="s">
        <v>36</v>
      </c>
      <c r="R904" t="b">
        <f>OR(Таблица1[[#This Row],[Ежемесячный платеж]]&lt;$AC$5, Таблица1[[#This Row],[Ежемесячный платеж]]&gt;$AC$6)</f>
        <v>0</v>
      </c>
      <c r="S904" s="9">
        <f>(Таблица1[[#This Row],[Размер кредита]]-21824)/(789096-21824)</f>
        <v>0.22207248537676338</v>
      </c>
      <c r="T904" s="9">
        <f>(Таблица1[[#This Row],[Кредитный рейтинг]]-586)/(751-586)</f>
        <v>0.96969696969696972</v>
      </c>
      <c r="U904" s="9">
        <f>Таблица1[[#This Row],[Ежемесячный платеж]]/(Таблица1[[#This Row],[Годовой доход]]/12)</f>
        <v>0.17099919419822723</v>
      </c>
    </row>
    <row r="905" spans="1:21" x14ac:dyDescent="0.3">
      <c r="A905">
        <v>904</v>
      </c>
      <c r="B905">
        <v>1</v>
      </c>
      <c r="C905" s="9">
        <v>391732</v>
      </c>
      <c r="D905">
        <v>716</v>
      </c>
      <c r="E905" s="1">
        <v>845766</v>
      </c>
      <c r="F905">
        <v>0</v>
      </c>
      <c r="G905">
        <v>14096.1</v>
      </c>
      <c r="H905">
        <v>15.6</v>
      </c>
      <c r="I905">
        <v>11</v>
      </c>
      <c r="J905">
        <v>150366</v>
      </c>
      <c r="K905">
        <v>191532</v>
      </c>
      <c r="L905" t="s">
        <v>32</v>
      </c>
      <c r="M905" t="s">
        <v>946</v>
      </c>
      <c r="N905" t="s">
        <v>26</v>
      </c>
      <c r="O905" t="s">
        <v>21</v>
      </c>
      <c r="P905" t="s">
        <v>31</v>
      </c>
      <c r="Q905" t="s">
        <v>23</v>
      </c>
      <c r="R905" t="b">
        <f>OR(Таблица1[[#This Row],[Ежемесячный платеж]]&lt;$AC$5, Таблица1[[#This Row],[Ежемесячный платеж]]&gt;$AC$6)</f>
        <v>0</v>
      </c>
      <c r="S905" s="9">
        <f>(Таблица1[[#This Row],[Размер кредита]]-21824)/(789096-21824)</f>
        <v>0.48210803991283402</v>
      </c>
      <c r="T905" s="9">
        <f>(Таблица1[[#This Row],[Кредитный рейтинг]]-586)/(751-586)</f>
        <v>0.78787878787878785</v>
      </c>
      <c r="U905" s="9">
        <f>Таблица1[[#This Row],[Ежемесячный платеж]]/(Таблица1[[#This Row],[Годовой доход]]/12)</f>
        <v>0.2</v>
      </c>
    </row>
    <row r="906" spans="1:21" x14ac:dyDescent="0.3">
      <c r="A906">
        <v>905</v>
      </c>
      <c r="B906">
        <v>0</v>
      </c>
      <c r="C906" s="9">
        <v>92092</v>
      </c>
      <c r="D906">
        <v>723</v>
      </c>
      <c r="E906" s="1">
        <v>852188</v>
      </c>
      <c r="F906">
        <v>0</v>
      </c>
      <c r="G906">
        <v>10439.17</v>
      </c>
      <c r="H906">
        <v>12.4</v>
      </c>
      <c r="I906">
        <v>6</v>
      </c>
      <c r="J906">
        <v>124583</v>
      </c>
      <c r="K906">
        <v>142560</v>
      </c>
      <c r="L906" t="s">
        <v>18</v>
      </c>
      <c r="M906" t="s">
        <v>947</v>
      </c>
      <c r="N906" t="s">
        <v>68</v>
      </c>
      <c r="O906" t="s">
        <v>34</v>
      </c>
      <c r="P906" t="s">
        <v>22</v>
      </c>
      <c r="Q906" t="s">
        <v>23</v>
      </c>
      <c r="R906" t="b">
        <f>OR(Таблица1[[#This Row],[Ежемесячный платеж]]&lt;$AC$5, Таблица1[[#This Row],[Ежемесячный платеж]]&gt;$AC$6)</f>
        <v>0</v>
      </c>
      <c r="S906" s="9">
        <f>(Таблица1[[#This Row],[Размер кредита]]-21824)/(789096-21824)</f>
        <v>9.1581603394884734E-2</v>
      </c>
      <c r="T906" s="9">
        <f>(Таблица1[[#This Row],[Кредитный рейтинг]]-586)/(751-586)</f>
        <v>0.83030303030303032</v>
      </c>
      <c r="U906" s="9">
        <f>Таблица1[[#This Row],[Ежемесячный платеж]]/(Таблица1[[#This Row],[Годовой доход]]/12)</f>
        <v>0.14699812717381611</v>
      </c>
    </row>
    <row r="907" spans="1:21" x14ac:dyDescent="0.3">
      <c r="A907">
        <v>906</v>
      </c>
      <c r="B907">
        <v>0</v>
      </c>
      <c r="C907" s="9">
        <v>495066</v>
      </c>
      <c r="D907">
        <v>712</v>
      </c>
      <c r="E907" s="1">
        <v>1766012</v>
      </c>
      <c r="F907">
        <v>45</v>
      </c>
      <c r="G907">
        <v>23693.95</v>
      </c>
      <c r="H907">
        <v>15.6</v>
      </c>
      <c r="I907">
        <v>11</v>
      </c>
      <c r="J907">
        <v>14991</v>
      </c>
      <c r="K907">
        <v>168432</v>
      </c>
      <c r="L907" t="s">
        <v>29</v>
      </c>
      <c r="M907" t="s">
        <v>948</v>
      </c>
      <c r="N907" t="s">
        <v>26</v>
      </c>
      <c r="O907" t="s">
        <v>34</v>
      </c>
      <c r="P907" t="s">
        <v>22</v>
      </c>
      <c r="Q907" t="s">
        <v>36</v>
      </c>
      <c r="R907" t="b">
        <f>OR(Таблица1[[#This Row],[Ежемесячный платеж]]&lt;$AC$5, Таблица1[[#This Row],[Ежемесячный платеж]]&gt;$AC$6)</f>
        <v>0</v>
      </c>
      <c r="S907" s="9">
        <f>(Таблица1[[#This Row],[Размер кредита]]-21824)/(789096-21824)</f>
        <v>0.61678518178690211</v>
      </c>
      <c r="T907" s="9">
        <f>(Таблица1[[#This Row],[Кредитный рейтинг]]-586)/(751-586)</f>
        <v>0.76363636363636367</v>
      </c>
      <c r="U907" s="9">
        <f>Таблица1[[#This Row],[Ежемесячный платеж]]/(Таблица1[[#This Row],[Годовой доход]]/12)</f>
        <v>0.16099969875629386</v>
      </c>
    </row>
    <row r="908" spans="1:21" x14ac:dyDescent="0.3">
      <c r="A908">
        <v>907</v>
      </c>
      <c r="B908">
        <v>0</v>
      </c>
      <c r="C908" s="9">
        <v>614108</v>
      </c>
      <c r="D908">
        <v>682</v>
      </c>
      <c r="E908" s="1">
        <v>1444722</v>
      </c>
      <c r="F908">
        <v>0</v>
      </c>
      <c r="G908">
        <v>39489.03</v>
      </c>
      <c r="H908">
        <v>14.2</v>
      </c>
      <c r="I908">
        <v>14</v>
      </c>
      <c r="J908">
        <v>343425</v>
      </c>
      <c r="K908">
        <v>649770</v>
      </c>
      <c r="L908" t="s">
        <v>52</v>
      </c>
      <c r="M908" t="s">
        <v>949</v>
      </c>
      <c r="N908" t="s">
        <v>26</v>
      </c>
      <c r="O908" t="s">
        <v>34</v>
      </c>
      <c r="P908" t="s">
        <v>31</v>
      </c>
      <c r="Q908" t="s">
        <v>23</v>
      </c>
      <c r="R908" t="b">
        <f>OR(Таблица1[[#This Row],[Ежемесячный платеж]]&lt;$AC$5, Таблица1[[#This Row],[Ежемесячный платеж]]&gt;$AC$6)</f>
        <v>0</v>
      </c>
      <c r="S908" s="9">
        <f>(Таблица1[[#This Row],[Размер кредита]]-21824)/(789096-21824)</f>
        <v>0.77193485491455438</v>
      </c>
      <c r="T908" s="9">
        <f>(Таблица1[[#This Row],[Кредитный рейтинг]]-586)/(751-586)</f>
        <v>0.58181818181818179</v>
      </c>
      <c r="U908" s="9">
        <f>Таблица1[[#This Row],[Ежемесячный платеж]]/(Таблица1[[#This Row],[Годовой доход]]/12)</f>
        <v>0.32799968436834215</v>
      </c>
    </row>
    <row r="909" spans="1:21" x14ac:dyDescent="0.3">
      <c r="A909">
        <v>908</v>
      </c>
      <c r="B909">
        <v>1</v>
      </c>
      <c r="C909" s="9">
        <v>214896</v>
      </c>
      <c r="D909">
        <v>726</v>
      </c>
      <c r="E909" s="1">
        <v>2301337</v>
      </c>
      <c r="F909">
        <v>0</v>
      </c>
      <c r="G909">
        <v>20328.48</v>
      </c>
      <c r="H909">
        <v>14.8</v>
      </c>
      <c r="I909">
        <v>18</v>
      </c>
      <c r="J909">
        <v>190779</v>
      </c>
      <c r="K909">
        <v>563508</v>
      </c>
      <c r="L909" t="s">
        <v>63</v>
      </c>
      <c r="M909" t="s">
        <v>950</v>
      </c>
      <c r="N909" t="s">
        <v>20</v>
      </c>
      <c r="O909" t="s">
        <v>21</v>
      </c>
      <c r="P909" t="s">
        <v>22</v>
      </c>
      <c r="Q909" t="s">
        <v>23</v>
      </c>
      <c r="R909" t="b">
        <f>OR(Таблица1[[#This Row],[Ежемесячный платеж]]&lt;$AC$5, Таблица1[[#This Row],[Ежемесячный платеж]]&gt;$AC$6)</f>
        <v>0</v>
      </c>
      <c r="S909" s="9">
        <f>(Таблица1[[#This Row],[Размер кредита]]-21824)/(789096-21824)</f>
        <v>0.25163436173873149</v>
      </c>
      <c r="T909" s="9">
        <f>(Таблица1[[#This Row],[Кредитный рейтинг]]-586)/(751-586)</f>
        <v>0.84848484848484851</v>
      </c>
      <c r="U909" s="9">
        <f>Таблица1[[#This Row],[Ежемесячный платеж]]/(Таблица1[[#This Row],[Годовой доход]]/12)</f>
        <v>0.10600001651214054</v>
      </c>
    </row>
    <row r="910" spans="1:21" x14ac:dyDescent="0.3">
      <c r="A910">
        <v>909</v>
      </c>
      <c r="B910">
        <v>1</v>
      </c>
      <c r="C910" s="9">
        <v>328790</v>
      </c>
      <c r="D910">
        <v>719</v>
      </c>
      <c r="E910" s="1">
        <v>1390838</v>
      </c>
      <c r="F910">
        <v>12</v>
      </c>
      <c r="G910">
        <v>6687.62</v>
      </c>
      <c r="H910">
        <v>14</v>
      </c>
      <c r="I910">
        <v>8</v>
      </c>
      <c r="J910">
        <v>199253</v>
      </c>
      <c r="K910">
        <v>467060</v>
      </c>
      <c r="L910" t="s">
        <v>24</v>
      </c>
      <c r="M910" t="s">
        <v>951</v>
      </c>
      <c r="N910" t="s">
        <v>26</v>
      </c>
      <c r="O910" t="s">
        <v>34</v>
      </c>
      <c r="P910" t="s">
        <v>31</v>
      </c>
      <c r="Q910" t="s">
        <v>23</v>
      </c>
      <c r="R910" t="b">
        <f>OR(Таблица1[[#This Row],[Ежемесячный платеж]]&lt;$AC$5, Таблица1[[#This Row],[Ежемесячный платеж]]&gt;$AC$6)</f>
        <v>0</v>
      </c>
      <c r="S910" s="9">
        <f>(Таблица1[[#This Row],[Размер кредита]]-21824)/(789096-21824)</f>
        <v>0.4000745498336965</v>
      </c>
      <c r="T910" s="9">
        <f>(Таблица1[[#This Row],[Кредитный рейтинг]]-586)/(751-586)</f>
        <v>0.80606060606060603</v>
      </c>
      <c r="U910" s="9">
        <f>Таблица1[[#This Row],[Ежемесячный платеж]]/(Таблица1[[#This Row],[Годовой доход]]/12)</f>
        <v>5.7700062839813118E-2</v>
      </c>
    </row>
    <row r="911" spans="1:21" x14ac:dyDescent="0.3">
      <c r="A911">
        <v>910</v>
      </c>
      <c r="B911">
        <v>0</v>
      </c>
      <c r="C911" s="9">
        <v>325776</v>
      </c>
      <c r="D911">
        <v>739</v>
      </c>
      <c r="E911" s="1">
        <v>1312976</v>
      </c>
      <c r="F911">
        <v>20</v>
      </c>
      <c r="G911">
        <v>23852.41</v>
      </c>
      <c r="H911">
        <v>15.6</v>
      </c>
      <c r="I911">
        <v>18</v>
      </c>
      <c r="J911">
        <v>319143</v>
      </c>
      <c r="K911">
        <v>1144088</v>
      </c>
      <c r="L911" t="s">
        <v>24</v>
      </c>
      <c r="M911" t="s">
        <v>952</v>
      </c>
      <c r="N911" t="s">
        <v>26</v>
      </c>
      <c r="O911" t="s">
        <v>34</v>
      </c>
      <c r="P911" t="s">
        <v>22</v>
      </c>
      <c r="Q911" t="s">
        <v>36</v>
      </c>
      <c r="R911" t="b">
        <f>OR(Таблица1[[#This Row],[Ежемесячный платеж]]&lt;$AC$5, Таблица1[[#This Row],[Ежемесячный платеж]]&gt;$AC$6)</f>
        <v>0</v>
      </c>
      <c r="S911" s="9">
        <f>(Таблица1[[#This Row],[Размер кредита]]-21824)/(789096-21824)</f>
        <v>0.39614634705814888</v>
      </c>
      <c r="T911" s="9">
        <f>(Таблица1[[#This Row],[Кредитный рейтинг]]-586)/(751-586)</f>
        <v>0.92727272727272725</v>
      </c>
      <c r="U911" s="9">
        <f>Таблица1[[#This Row],[Ежемесячный платеж]]/(Таблица1[[#This Row],[Годовой доход]]/12)</f>
        <v>0.21800011576753878</v>
      </c>
    </row>
    <row r="912" spans="1:21" x14ac:dyDescent="0.3">
      <c r="A912">
        <v>911</v>
      </c>
      <c r="B912">
        <v>0</v>
      </c>
      <c r="C912" s="9">
        <v>75328</v>
      </c>
      <c r="D912">
        <f>$Y$13</f>
        <v>723</v>
      </c>
      <c r="E912">
        <f>$AB$13</f>
        <v>1168044</v>
      </c>
      <c r="F912">
        <v>0</v>
      </c>
      <c r="G912">
        <v>3401.95</v>
      </c>
      <c r="H912">
        <v>22.7</v>
      </c>
      <c r="I912">
        <v>9</v>
      </c>
      <c r="J912">
        <v>56772</v>
      </c>
      <c r="K912">
        <v>792000</v>
      </c>
      <c r="L912" t="s">
        <v>37</v>
      </c>
      <c r="M912" t="s">
        <v>953</v>
      </c>
      <c r="N912" t="s">
        <v>99</v>
      </c>
      <c r="O912" t="s">
        <v>28</v>
      </c>
      <c r="P912" t="s">
        <v>31</v>
      </c>
      <c r="Q912" t="s">
        <v>23</v>
      </c>
      <c r="R912" t="b">
        <f>OR(Таблица1[[#This Row],[Ежемесячный платеж]]&lt;$AC$5, Таблица1[[#This Row],[Ежемесячный платеж]]&gt;$AC$6)</f>
        <v>0</v>
      </c>
      <c r="S912" s="9">
        <f>(Таблица1[[#This Row],[Размер кредита]]-21824)/(789096-21824)</f>
        <v>6.9732767519210925E-2</v>
      </c>
      <c r="T912" s="9">
        <f>(Таблица1[[#This Row],[Кредитный рейтинг]]-586)/(751-586)</f>
        <v>0.83030303030303032</v>
      </c>
      <c r="U912" s="9">
        <f>Таблица1[[#This Row],[Ежемесячный платеж]]/(Таблица1[[#This Row],[Годовой доход]]/12)</f>
        <v>3.4950224477845009E-2</v>
      </c>
    </row>
    <row r="913" spans="1:21" x14ac:dyDescent="0.3">
      <c r="A913">
        <v>912</v>
      </c>
      <c r="B913">
        <v>0</v>
      </c>
      <c r="C913" s="9">
        <v>266882</v>
      </c>
      <c r="D913">
        <v>698</v>
      </c>
      <c r="E913" s="1">
        <v>1382915</v>
      </c>
      <c r="F913">
        <v>34</v>
      </c>
      <c r="G913">
        <v>21976.73</v>
      </c>
      <c r="H913">
        <v>22.5</v>
      </c>
      <c r="I913">
        <v>10</v>
      </c>
      <c r="J913">
        <v>257678</v>
      </c>
      <c r="K913">
        <v>336006</v>
      </c>
      <c r="L913" t="s">
        <v>24</v>
      </c>
      <c r="M913" t="s">
        <v>954</v>
      </c>
      <c r="N913" t="s">
        <v>26</v>
      </c>
      <c r="O913" t="s">
        <v>34</v>
      </c>
      <c r="P913" t="s">
        <v>22</v>
      </c>
      <c r="Q913" t="s">
        <v>36</v>
      </c>
      <c r="R913" t="b">
        <f>OR(Таблица1[[#This Row],[Ежемесячный платеж]]&lt;$AC$5, Таблица1[[#This Row],[Ежемесячный платеж]]&gt;$AC$6)</f>
        <v>0</v>
      </c>
      <c r="S913" s="9">
        <f>(Таблица1[[#This Row],[Размер кредита]]-21824)/(789096-21824)</f>
        <v>0.31938869136368847</v>
      </c>
      <c r="T913" s="9">
        <f>(Таблица1[[#This Row],[Кредитный рейтинг]]-586)/(751-586)</f>
        <v>0.67878787878787883</v>
      </c>
      <c r="U913" s="9">
        <f>Таблица1[[#This Row],[Ежемесячный платеж]]/(Таблица1[[#This Row],[Годовой доход]]/12)</f>
        <v>0.19069918252387166</v>
      </c>
    </row>
    <row r="914" spans="1:21" x14ac:dyDescent="0.3">
      <c r="A914">
        <v>913</v>
      </c>
      <c r="B914">
        <v>0</v>
      </c>
      <c r="C914" s="9">
        <v>171380</v>
      </c>
      <c r="D914">
        <v>747</v>
      </c>
      <c r="E914" s="1">
        <v>801762</v>
      </c>
      <c r="F914">
        <v>44</v>
      </c>
      <c r="G914">
        <v>9393.98</v>
      </c>
      <c r="H914">
        <v>26.1</v>
      </c>
      <c r="I914">
        <v>6</v>
      </c>
      <c r="J914">
        <v>3059</v>
      </c>
      <c r="K914">
        <v>354574</v>
      </c>
      <c r="L914" t="s">
        <v>24</v>
      </c>
      <c r="M914" t="s">
        <v>955</v>
      </c>
      <c r="N914" t="s">
        <v>20</v>
      </c>
      <c r="O914" t="s">
        <v>21</v>
      </c>
      <c r="P914" t="s">
        <v>22</v>
      </c>
      <c r="Q914" t="s">
        <v>23</v>
      </c>
      <c r="R914" t="b">
        <f>OR(Таблица1[[#This Row],[Ежемесячный платеж]]&lt;$AC$5, Таблица1[[#This Row],[Ежемесячный платеж]]&gt;$AC$6)</f>
        <v>0</v>
      </c>
      <c r="S914" s="9">
        <f>(Таблица1[[#This Row],[Размер кредита]]-21824)/(789096-21824)</f>
        <v>0.19491914210345224</v>
      </c>
      <c r="T914" s="9">
        <f>(Таблица1[[#This Row],[Кредитный рейтинг]]-586)/(751-586)</f>
        <v>0.97575757575757571</v>
      </c>
      <c r="U914" s="9">
        <f>Таблица1[[#This Row],[Ежемесячный платеж]]/(Таблица1[[#This Row],[Годовой доход]]/12)</f>
        <v>0.14060002843736669</v>
      </c>
    </row>
    <row r="915" spans="1:21" x14ac:dyDescent="0.3">
      <c r="A915">
        <v>914</v>
      </c>
      <c r="B915">
        <v>0</v>
      </c>
      <c r="C915" s="9">
        <v>225126</v>
      </c>
      <c r="D915">
        <v>719</v>
      </c>
      <c r="E915" s="1">
        <v>1788736</v>
      </c>
      <c r="F915">
        <v>61</v>
      </c>
      <c r="G915">
        <v>15055.03</v>
      </c>
      <c r="H915">
        <v>19.3</v>
      </c>
      <c r="I915">
        <v>21</v>
      </c>
      <c r="J915">
        <v>329593</v>
      </c>
      <c r="K915">
        <v>529320</v>
      </c>
      <c r="L915" t="s">
        <v>52</v>
      </c>
      <c r="M915" t="s">
        <v>956</v>
      </c>
      <c r="N915" t="s">
        <v>40</v>
      </c>
      <c r="O915" t="s">
        <v>21</v>
      </c>
      <c r="P915" t="s">
        <v>22</v>
      </c>
      <c r="Q915" t="s">
        <v>23</v>
      </c>
      <c r="R915" t="b">
        <f>OR(Таблица1[[#This Row],[Ежемесячный платеж]]&lt;$AC$5, Таблица1[[#This Row],[Ежемесячный платеж]]&gt;$AC$6)</f>
        <v>0</v>
      </c>
      <c r="S915" s="9">
        <f>(Таблица1[[#This Row],[Размер кредита]]-21824)/(789096-21824)</f>
        <v>0.26496731276522539</v>
      </c>
      <c r="T915" s="9">
        <f>(Таблица1[[#This Row],[Кредитный рейтинг]]-586)/(751-586)</f>
        <v>0.80606060606060603</v>
      </c>
      <c r="U915" s="9">
        <f>Таблица1[[#This Row],[Ежемесячный платеж]]/(Таблица1[[#This Row],[Годовой доход]]/12)</f>
        <v>0.10099889530931339</v>
      </c>
    </row>
    <row r="916" spans="1:21" x14ac:dyDescent="0.3">
      <c r="A916">
        <v>915</v>
      </c>
      <c r="B916">
        <v>0</v>
      </c>
      <c r="D916">
        <v>701</v>
      </c>
      <c r="E916" s="1">
        <v>2508095</v>
      </c>
      <c r="F916">
        <v>47</v>
      </c>
      <c r="G916">
        <v>32396.33</v>
      </c>
      <c r="H916">
        <v>14.4</v>
      </c>
      <c r="I916">
        <v>16</v>
      </c>
      <c r="J916">
        <v>432060</v>
      </c>
      <c r="K916">
        <v>756866</v>
      </c>
      <c r="L916" t="s">
        <v>18</v>
      </c>
      <c r="M916" t="s">
        <v>957</v>
      </c>
      <c r="N916" t="s">
        <v>20</v>
      </c>
      <c r="O916" t="s">
        <v>21</v>
      </c>
      <c r="P916" t="s">
        <v>31</v>
      </c>
      <c r="Q916" t="s">
        <v>23</v>
      </c>
      <c r="R916" t="b">
        <f>OR(Таблица1[[#This Row],[Ежемесячный платеж]]&lt;$AC$5, Таблица1[[#This Row],[Ежемесячный платеж]]&gt;$AC$6)</f>
        <v>0</v>
      </c>
      <c r="T916" s="9">
        <f>(Таблица1[[#This Row],[Кредитный рейтинг]]-586)/(751-586)</f>
        <v>0.69696969696969702</v>
      </c>
      <c r="U916" s="9">
        <f>Таблица1[[#This Row],[Ежемесячный платеж]]/(Таблица1[[#This Row],[Годовой доход]]/12)</f>
        <v>0.15500049240559072</v>
      </c>
    </row>
    <row r="917" spans="1:21" x14ac:dyDescent="0.3">
      <c r="A917">
        <v>916</v>
      </c>
      <c r="B917">
        <v>0</v>
      </c>
      <c r="C917" s="9">
        <v>565840</v>
      </c>
      <c r="D917">
        <v>734</v>
      </c>
      <c r="E917" s="1">
        <v>1582377</v>
      </c>
      <c r="F917">
        <v>0</v>
      </c>
      <c r="G917">
        <v>39032.080000000002</v>
      </c>
      <c r="H917">
        <v>15.4</v>
      </c>
      <c r="I917">
        <v>12</v>
      </c>
      <c r="J917">
        <v>434872</v>
      </c>
      <c r="K917">
        <v>840620</v>
      </c>
      <c r="L917" t="s">
        <v>50</v>
      </c>
      <c r="M917" t="s">
        <v>958</v>
      </c>
      <c r="N917" t="s">
        <v>26</v>
      </c>
      <c r="O917" t="s">
        <v>21</v>
      </c>
      <c r="P917" t="s">
        <v>22</v>
      </c>
      <c r="Q917" t="s">
        <v>23</v>
      </c>
      <c r="R917" t="b">
        <f>OR(Таблица1[[#This Row],[Ежемесячный платеж]]&lt;$AC$5, Таблица1[[#This Row],[Ежемесячный платеж]]&gt;$AC$6)</f>
        <v>0</v>
      </c>
      <c r="S917" s="9">
        <f>(Таблица1[[#This Row],[Размер кредита]]-21824)/(789096-21824)</f>
        <v>0.70902626447987149</v>
      </c>
      <c r="T917" s="9">
        <f>(Таблица1[[#This Row],[Кредитный рейтинг]]-586)/(751-586)</f>
        <v>0.89696969696969697</v>
      </c>
      <c r="U917" s="9">
        <f>Таблица1[[#This Row],[Ежемесячный платеж]]/(Таблица1[[#This Row],[Годовой доход]]/12)</f>
        <v>0.29600086452217139</v>
      </c>
    </row>
    <row r="918" spans="1:21" x14ac:dyDescent="0.3">
      <c r="A918">
        <v>917</v>
      </c>
      <c r="B918">
        <v>0</v>
      </c>
      <c r="C918" s="9">
        <v>155452</v>
      </c>
      <c r="D918">
        <v>743</v>
      </c>
      <c r="E918" s="1">
        <v>1726074</v>
      </c>
      <c r="F918">
        <v>36</v>
      </c>
      <c r="G918">
        <v>36822.949999999997</v>
      </c>
      <c r="H918">
        <v>23</v>
      </c>
      <c r="I918">
        <v>24</v>
      </c>
      <c r="J918">
        <v>216999</v>
      </c>
      <c r="K918">
        <v>370612</v>
      </c>
      <c r="L918" t="s">
        <v>24</v>
      </c>
      <c r="M918" t="s">
        <v>959</v>
      </c>
      <c r="N918" t="s">
        <v>26</v>
      </c>
      <c r="O918" t="s">
        <v>21</v>
      </c>
      <c r="P918" t="s">
        <v>22</v>
      </c>
      <c r="Q918" t="s">
        <v>23</v>
      </c>
      <c r="R918" t="b">
        <f>OR(Таблица1[[#This Row],[Ежемесячный платеж]]&lt;$AC$5, Таблица1[[#This Row],[Ежемесячный платеж]]&gt;$AC$6)</f>
        <v>0</v>
      </c>
      <c r="S918" s="9">
        <f>(Таблица1[[#This Row],[Размер кредита]]-21824)/(789096-21824)</f>
        <v>0.17415988072026609</v>
      </c>
      <c r="T918" s="9">
        <f>(Таблица1[[#This Row],[Кредитный рейтинг]]-586)/(751-586)</f>
        <v>0.95151515151515154</v>
      </c>
      <c r="U918" s="9">
        <f>Таблица1[[#This Row],[Ежемесячный платеж]]/(Таблица1[[#This Row],[Годовой доход]]/12)</f>
        <v>0.25600026418334321</v>
      </c>
    </row>
    <row r="919" spans="1:21" x14ac:dyDescent="0.3">
      <c r="A919">
        <v>918</v>
      </c>
      <c r="B919">
        <v>0</v>
      </c>
      <c r="C919" s="9">
        <v>134288</v>
      </c>
      <c r="D919">
        <v>723</v>
      </c>
      <c r="E919" s="1">
        <v>869801</v>
      </c>
      <c r="F919">
        <v>0</v>
      </c>
      <c r="G919">
        <v>13336.86</v>
      </c>
      <c r="H919">
        <v>15.4</v>
      </c>
      <c r="I919">
        <v>10</v>
      </c>
      <c r="J919">
        <v>267007</v>
      </c>
      <c r="K919">
        <v>411664</v>
      </c>
      <c r="L919" t="s">
        <v>24</v>
      </c>
      <c r="M919" t="s">
        <v>960</v>
      </c>
      <c r="N919" t="s">
        <v>26</v>
      </c>
      <c r="O919" t="s">
        <v>21</v>
      </c>
      <c r="P919" t="s">
        <v>22</v>
      </c>
      <c r="Q919" t="s">
        <v>23</v>
      </c>
      <c r="R919" t="b">
        <f>OR(Таблица1[[#This Row],[Ежемесячный платеж]]&lt;$AC$5, Таблица1[[#This Row],[Ежемесячный платеж]]&gt;$AC$6)</f>
        <v>0</v>
      </c>
      <c r="S919" s="9">
        <f>(Таблица1[[#This Row],[Размер кредита]]-21824)/(789096-21824)</f>
        <v>0.1465764422525519</v>
      </c>
      <c r="T919" s="9">
        <f>(Таблица1[[#This Row],[Кредитный рейтинг]]-586)/(751-586)</f>
        <v>0.83030303030303032</v>
      </c>
      <c r="U919" s="9">
        <f>Таблица1[[#This Row],[Ежемесячный платеж]]/(Таблица1[[#This Row],[Годовой доход]]/12)</f>
        <v>0.18399877673168921</v>
      </c>
    </row>
    <row r="920" spans="1:21" x14ac:dyDescent="0.3">
      <c r="A920">
        <v>919</v>
      </c>
      <c r="B920">
        <v>1</v>
      </c>
      <c r="C920" s="9">
        <v>117084</v>
      </c>
      <c r="D920">
        <f>$Y$13</f>
        <v>723</v>
      </c>
      <c r="E920">
        <f>$AB$13</f>
        <v>1168044</v>
      </c>
      <c r="F920">
        <v>0</v>
      </c>
      <c r="G920">
        <v>12386.1</v>
      </c>
      <c r="H920">
        <v>17.100000000000001</v>
      </c>
      <c r="I920">
        <v>5</v>
      </c>
      <c r="J920">
        <v>10184</v>
      </c>
      <c r="K920">
        <v>92070</v>
      </c>
      <c r="L920" t="s">
        <v>24</v>
      </c>
      <c r="M920" t="s">
        <v>961</v>
      </c>
      <c r="N920" t="s">
        <v>26</v>
      </c>
      <c r="O920" t="s">
        <v>34</v>
      </c>
      <c r="P920" t="s">
        <v>22</v>
      </c>
      <c r="Q920" t="s">
        <v>23</v>
      </c>
      <c r="R920" t="b">
        <f>OR(Таблица1[[#This Row],[Ежемесячный платеж]]&lt;$AC$5, Таблица1[[#This Row],[Ежемесячный платеж]]&gt;$AC$6)</f>
        <v>0</v>
      </c>
      <c r="S920" s="9">
        <f>(Таблица1[[#This Row],[Размер кредита]]-21824)/(789096-21824)</f>
        <v>0.12415414611767404</v>
      </c>
      <c r="T920" s="9">
        <f>(Таблица1[[#This Row],[Кредитный рейтинг]]-586)/(751-586)</f>
        <v>0.83030303030303032</v>
      </c>
      <c r="U920" s="9">
        <f>Таблица1[[#This Row],[Ежемесячный платеж]]/(Таблица1[[#This Row],[Годовой доход]]/12)</f>
        <v>0.12724965840327934</v>
      </c>
    </row>
    <row r="921" spans="1:21" x14ac:dyDescent="0.3">
      <c r="A921">
        <v>920</v>
      </c>
      <c r="B921">
        <v>0</v>
      </c>
      <c r="C921" s="9">
        <v>285670</v>
      </c>
      <c r="D921">
        <v>744</v>
      </c>
      <c r="E921" s="1">
        <v>934515</v>
      </c>
      <c r="F921">
        <v>0</v>
      </c>
      <c r="G921">
        <v>6074.3</v>
      </c>
      <c r="H921">
        <v>14.4</v>
      </c>
      <c r="I921">
        <v>10</v>
      </c>
      <c r="J921">
        <v>192907</v>
      </c>
      <c r="K921">
        <v>474232</v>
      </c>
      <c r="L921" t="s">
        <v>47</v>
      </c>
      <c r="M921" t="s">
        <v>962</v>
      </c>
      <c r="N921" t="s">
        <v>26</v>
      </c>
      <c r="O921" t="s">
        <v>34</v>
      </c>
      <c r="P921" t="s">
        <v>22</v>
      </c>
      <c r="Q921" t="s">
        <v>23</v>
      </c>
      <c r="R921" t="b">
        <f>OR(Таблица1[[#This Row],[Ежемесячный платеж]]&lt;$AC$5, Таблица1[[#This Row],[Ежемесячный платеж]]&gt;$AC$6)</f>
        <v>0</v>
      </c>
      <c r="S921" s="9">
        <f>(Таблица1[[#This Row],[Размер кредита]]-21824)/(789096-21824)</f>
        <v>0.34387544443170087</v>
      </c>
      <c r="T921" s="9">
        <f>(Таблица1[[#This Row],[Кредитный рейтинг]]-586)/(751-586)</f>
        <v>0.95757575757575752</v>
      </c>
      <c r="U921" s="9">
        <f>Таблица1[[#This Row],[Ежемесячный платеж]]/(Таблица1[[#This Row],[Годовой доход]]/12)</f>
        <v>7.7999390057944498E-2</v>
      </c>
    </row>
    <row r="922" spans="1:21" x14ac:dyDescent="0.3">
      <c r="A922">
        <v>921</v>
      </c>
      <c r="B922">
        <v>1</v>
      </c>
      <c r="C922" s="9">
        <v>519244</v>
      </c>
      <c r="D922">
        <f>$Y$13</f>
        <v>723</v>
      </c>
      <c r="E922">
        <f>$AB$13</f>
        <v>1168044</v>
      </c>
      <c r="F922">
        <v>48</v>
      </c>
      <c r="G922">
        <v>20140.57</v>
      </c>
      <c r="H922">
        <v>20</v>
      </c>
      <c r="I922">
        <v>8</v>
      </c>
      <c r="J922">
        <v>414238</v>
      </c>
      <c r="K922">
        <v>811580</v>
      </c>
      <c r="L922" t="s">
        <v>18</v>
      </c>
      <c r="M922" t="s">
        <v>963</v>
      </c>
      <c r="N922" t="s">
        <v>26</v>
      </c>
      <c r="O922" t="s">
        <v>21</v>
      </c>
      <c r="P922" t="s">
        <v>31</v>
      </c>
      <c r="Q922" t="s">
        <v>36</v>
      </c>
      <c r="R922" t="b">
        <f>OR(Таблица1[[#This Row],[Ежемесячный платеж]]&lt;$AC$5, Таблица1[[#This Row],[Ежемесячный платеж]]&gt;$AC$6)</f>
        <v>0</v>
      </c>
      <c r="S922" s="9">
        <f>(Таблица1[[#This Row],[Размер кредита]]-21824)/(789096-21824)</f>
        <v>0.648296823030164</v>
      </c>
      <c r="T922" s="9">
        <f>(Таблица1[[#This Row],[Кредитный рейтинг]]-586)/(751-586)</f>
        <v>0.83030303030303032</v>
      </c>
      <c r="U922" s="9">
        <f>Таблица1[[#This Row],[Ежемесячный платеж]]/(Таблица1[[#This Row],[Годовой доход]]/12)</f>
        <v>0.20691586960765176</v>
      </c>
    </row>
    <row r="923" spans="1:21" x14ac:dyDescent="0.3">
      <c r="A923">
        <v>922</v>
      </c>
      <c r="B923">
        <v>0</v>
      </c>
      <c r="C923" s="9">
        <v>70136</v>
      </c>
      <c r="D923">
        <v>705</v>
      </c>
      <c r="E923" s="1">
        <v>946295</v>
      </c>
      <c r="F923">
        <v>18</v>
      </c>
      <c r="G923">
        <v>23814.98</v>
      </c>
      <c r="H923">
        <v>23.1</v>
      </c>
      <c r="I923">
        <v>9</v>
      </c>
      <c r="J923">
        <v>77425</v>
      </c>
      <c r="K923">
        <v>146740</v>
      </c>
      <c r="L923" t="s">
        <v>24</v>
      </c>
      <c r="M923" t="s">
        <v>964</v>
      </c>
      <c r="N923" t="s">
        <v>26</v>
      </c>
      <c r="O923" t="s">
        <v>21</v>
      </c>
      <c r="P923" t="s">
        <v>22</v>
      </c>
      <c r="Q923" t="s">
        <v>23</v>
      </c>
      <c r="R923" t="b">
        <f>OR(Таблица1[[#This Row],[Ежемесячный платеж]]&lt;$AC$5, Таблица1[[#This Row],[Ежемесячный платеж]]&gt;$AC$6)</f>
        <v>0</v>
      </c>
      <c r="S923" s="9">
        <f>(Таблица1[[#This Row],[Размер кредита]]-21824)/(789096-21824)</f>
        <v>6.2965936460603278E-2</v>
      </c>
      <c r="T923" s="9">
        <f>(Таблица1[[#This Row],[Кредитный рейтинг]]-586)/(751-586)</f>
        <v>0.72121212121212119</v>
      </c>
      <c r="U923" s="9">
        <f>Таблица1[[#This Row],[Ежемесячный платеж]]/(Таблица1[[#This Row],[Годовой доход]]/12)</f>
        <v>0.3019985945186226</v>
      </c>
    </row>
    <row r="924" spans="1:21" x14ac:dyDescent="0.3">
      <c r="A924">
        <v>923</v>
      </c>
      <c r="B924">
        <v>0</v>
      </c>
      <c r="C924" s="9">
        <v>594000</v>
      </c>
      <c r="D924">
        <v>685</v>
      </c>
      <c r="E924" s="1">
        <v>1069966</v>
      </c>
      <c r="F924">
        <v>0</v>
      </c>
      <c r="G924">
        <v>14979.41</v>
      </c>
      <c r="H924">
        <v>8.5</v>
      </c>
      <c r="I924">
        <v>10</v>
      </c>
      <c r="J924">
        <v>360848</v>
      </c>
      <c r="K924">
        <v>1001968</v>
      </c>
      <c r="L924" t="s">
        <v>24</v>
      </c>
      <c r="M924" t="s">
        <v>965</v>
      </c>
      <c r="N924" t="s">
        <v>20</v>
      </c>
      <c r="O924" t="s">
        <v>21</v>
      </c>
      <c r="P924" t="s">
        <v>22</v>
      </c>
      <c r="Q924" t="s">
        <v>23</v>
      </c>
      <c r="R924" t="b">
        <f>OR(Таблица1[[#This Row],[Ежемесячный платеж]]&lt;$AC$5, Таблица1[[#This Row],[Ежемесячный платеж]]&gt;$AC$6)</f>
        <v>0</v>
      </c>
      <c r="S924" s="9">
        <f>(Таблица1[[#This Row],[Размер кредита]]-21824)/(789096-21824)</f>
        <v>0.74572772106892993</v>
      </c>
      <c r="T924" s="9">
        <f>(Таблица1[[#This Row],[Кредитный рейтинг]]-586)/(751-586)</f>
        <v>0.6</v>
      </c>
      <c r="U924" s="9">
        <f>Таблица1[[#This Row],[Ежемесячный платеж]]/(Таблица1[[#This Row],[Годовой доход]]/12)</f>
        <v>0.16799872145470043</v>
      </c>
    </row>
    <row r="925" spans="1:21" x14ac:dyDescent="0.3">
      <c r="A925">
        <v>924</v>
      </c>
      <c r="B925">
        <v>1</v>
      </c>
      <c r="C925" s="9">
        <v>99704</v>
      </c>
      <c r="D925">
        <f>$Y$13</f>
        <v>723</v>
      </c>
      <c r="E925">
        <f>$AB$13</f>
        <v>1168044</v>
      </c>
      <c r="F925">
        <v>0</v>
      </c>
      <c r="G925">
        <v>3333.93</v>
      </c>
      <c r="H925">
        <v>18.5</v>
      </c>
      <c r="I925">
        <v>6</v>
      </c>
      <c r="J925">
        <v>98211</v>
      </c>
      <c r="K925">
        <v>190476</v>
      </c>
      <c r="L925" t="s">
        <v>24</v>
      </c>
      <c r="M925" t="s">
        <v>966</v>
      </c>
      <c r="N925" t="s">
        <v>26</v>
      </c>
      <c r="O925" t="s">
        <v>34</v>
      </c>
      <c r="P925" t="s">
        <v>22</v>
      </c>
      <c r="Q925" t="s">
        <v>36</v>
      </c>
      <c r="R925" t="b">
        <f>OR(Таблица1[[#This Row],[Ежемесячный платеж]]&lt;$AC$5, Таблица1[[#This Row],[Ежемесячный платеж]]&gt;$AC$6)</f>
        <v>0</v>
      </c>
      <c r="S925" s="9">
        <f>(Таблица1[[#This Row],[Размер кредита]]-21824)/(789096-21824)</f>
        <v>0.10150246587911457</v>
      </c>
      <c r="T925" s="9">
        <f>(Таблица1[[#This Row],[Кредитный рейтинг]]-586)/(751-586)</f>
        <v>0.83030303030303032</v>
      </c>
      <c r="U925" s="9">
        <f>Таблица1[[#This Row],[Ежемесячный платеж]]/(Таблица1[[#This Row],[Годовой доход]]/12)</f>
        <v>3.4251415186414211E-2</v>
      </c>
    </row>
    <row r="926" spans="1:21" x14ac:dyDescent="0.3">
      <c r="A926">
        <v>925</v>
      </c>
      <c r="B926">
        <v>0</v>
      </c>
      <c r="C926" s="9">
        <v>268532</v>
      </c>
      <c r="D926">
        <v>720</v>
      </c>
      <c r="E926" s="1">
        <v>1855369</v>
      </c>
      <c r="F926">
        <v>15</v>
      </c>
      <c r="G926">
        <v>28912.87</v>
      </c>
      <c r="H926">
        <v>11</v>
      </c>
      <c r="I926">
        <v>13</v>
      </c>
      <c r="J926">
        <v>159847</v>
      </c>
      <c r="K926">
        <v>404998</v>
      </c>
      <c r="L926" t="s">
        <v>32</v>
      </c>
      <c r="M926" t="s">
        <v>967</v>
      </c>
      <c r="N926" t="s">
        <v>26</v>
      </c>
      <c r="O926" t="s">
        <v>21</v>
      </c>
      <c r="P926" t="s">
        <v>22</v>
      </c>
      <c r="Q926" t="s">
        <v>23</v>
      </c>
      <c r="R926" t="b">
        <f>OR(Таблица1[[#This Row],[Ежемесячный платеж]]&lt;$AC$5, Таблица1[[#This Row],[Ежемесячный платеж]]&gt;$AC$6)</f>
        <v>0</v>
      </c>
      <c r="S926" s="9">
        <f>(Таблица1[[#This Row],[Размер кредита]]-21824)/(789096-21824)</f>
        <v>0.32153916733570365</v>
      </c>
      <c r="T926" s="9">
        <f>(Таблица1[[#This Row],[Кредитный рейтинг]]-586)/(751-586)</f>
        <v>0.81212121212121213</v>
      </c>
      <c r="U926" s="9">
        <f>Таблица1[[#This Row],[Ежемесячный платеж]]/(Таблица1[[#This Row],[Годовой доход]]/12)</f>
        <v>0.18700023553266221</v>
      </c>
    </row>
    <row r="927" spans="1:21" x14ac:dyDescent="0.3">
      <c r="A927">
        <v>926</v>
      </c>
      <c r="B927">
        <v>0</v>
      </c>
      <c r="C927" s="9">
        <v>335808</v>
      </c>
      <c r="D927">
        <f>$Y$13</f>
        <v>723</v>
      </c>
      <c r="E927">
        <f>$AB$13</f>
        <v>1168044</v>
      </c>
      <c r="F927">
        <v>0</v>
      </c>
      <c r="G927">
        <v>14210.86</v>
      </c>
      <c r="H927">
        <v>17.7</v>
      </c>
      <c r="I927">
        <v>11</v>
      </c>
      <c r="J927">
        <v>376599</v>
      </c>
      <c r="K927">
        <v>765006</v>
      </c>
      <c r="L927" t="s">
        <v>63</v>
      </c>
      <c r="M927" t="s">
        <v>968</v>
      </c>
      <c r="N927" t="s">
        <v>26</v>
      </c>
      <c r="O927" t="s">
        <v>21</v>
      </c>
      <c r="P927" t="s">
        <v>22</v>
      </c>
      <c r="Q927" t="s">
        <v>23</v>
      </c>
      <c r="R927" t="b">
        <f>OR(Таблица1[[#This Row],[Ежемесячный платеж]]&lt;$AC$5, Таблица1[[#This Row],[Ежемесячный платеж]]&gt;$AC$6)</f>
        <v>0</v>
      </c>
      <c r="S927" s="9">
        <f>(Таблица1[[#This Row],[Размер кредита]]-21824)/(789096-21824)</f>
        <v>0.40922124096800094</v>
      </c>
      <c r="T927" s="9">
        <f>(Таблица1[[#This Row],[Кредитный рейтинг]]-586)/(751-586)</f>
        <v>0.83030303030303032</v>
      </c>
      <c r="U927" s="9">
        <f>Таблица1[[#This Row],[Ежемесячный платеж]]/(Таблица1[[#This Row],[Годовой доход]]/12)</f>
        <v>0.14599648643373025</v>
      </c>
    </row>
    <row r="928" spans="1:21" x14ac:dyDescent="0.3">
      <c r="A928">
        <v>927</v>
      </c>
      <c r="B928">
        <v>0</v>
      </c>
      <c r="C928" s="9">
        <v>550770</v>
      </c>
      <c r="D928">
        <v>715</v>
      </c>
      <c r="E928" s="1">
        <v>4090719</v>
      </c>
      <c r="F928">
        <v>43</v>
      </c>
      <c r="G928">
        <v>40566.14</v>
      </c>
      <c r="H928">
        <v>25.8</v>
      </c>
      <c r="I928">
        <v>14</v>
      </c>
      <c r="J928">
        <v>605226</v>
      </c>
      <c r="K928">
        <v>1101848</v>
      </c>
      <c r="L928" t="s">
        <v>18</v>
      </c>
      <c r="M928" t="s">
        <v>969</v>
      </c>
      <c r="N928" t="s">
        <v>20</v>
      </c>
      <c r="O928" t="s">
        <v>21</v>
      </c>
      <c r="P928" t="s">
        <v>31</v>
      </c>
      <c r="Q928" t="s">
        <v>23</v>
      </c>
      <c r="R928" t="b">
        <f>OR(Таблица1[[#This Row],[Ежемесячный платеж]]&lt;$AC$5, Таблица1[[#This Row],[Ежемесячный платеж]]&gt;$AC$6)</f>
        <v>0</v>
      </c>
      <c r="S928" s="9">
        <f>(Таблица1[[#This Row],[Размер кредита]]-21824)/(789096-21824)</f>
        <v>0.68938525060213329</v>
      </c>
      <c r="T928" s="9">
        <f>(Таблица1[[#This Row],[Кредитный рейтинг]]-586)/(751-586)</f>
        <v>0.78181818181818186</v>
      </c>
      <c r="U928" s="9">
        <f>Таблица1[[#This Row],[Ежемесячный платеж]]/(Таблица1[[#This Row],[Годовой доход]]/12)</f>
        <v>0.11899954017863364</v>
      </c>
    </row>
    <row r="929" spans="1:21" x14ac:dyDescent="0.3">
      <c r="A929">
        <v>928</v>
      </c>
      <c r="B929">
        <v>0</v>
      </c>
      <c r="C929" s="9">
        <v>174548</v>
      </c>
      <c r="D929">
        <f>$Y$13</f>
        <v>723</v>
      </c>
      <c r="E929">
        <f>$AB$13</f>
        <v>1168044</v>
      </c>
      <c r="F929">
        <v>0</v>
      </c>
      <c r="G929">
        <v>6339.54</v>
      </c>
      <c r="H929">
        <v>19.8</v>
      </c>
      <c r="I929">
        <v>13</v>
      </c>
      <c r="J929">
        <v>4902</v>
      </c>
      <c r="K929">
        <v>1891032</v>
      </c>
      <c r="L929" t="s">
        <v>69</v>
      </c>
      <c r="M929" t="s">
        <v>970</v>
      </c>
      <c r="N929" t="s">
        <v>103</v>
      </c>
      <c r="O929" t="s">
        <v>34</v>
      </c>
      <c r="P929" t="s">
        <v>22</v>
      </c>
      <c r="Q929" t="s">
        <v>23</v>
      </c>
      <c r="R929" t="b">
        <f>OR(Таблица1[[#This Row],[Ежемесячный платеж]]&lt;$AC$5, Таблица1[[#This Row],[Ежемесячный платеж]]&gt;$AC$6)</f>
        <v>0</v>
      </c>
      <c r="S929" s="9">
        <f>(Таблица1[[#This Row],[Размер кредита]]-21824)/(789096-21824)</f>
        <v>0.1990480559697213</v>
      </c>
      <c r="T929" s="9">
        <f>(Таблица1[[#This Row],[Кредитный рейтинг]]-586)/(751-586)</f>
        <v>0.83030303030303032</v>
      </c>
      <c r="U929" s="9">
        <f>Таблица1[[#This Row],[Ежемесячный платеж]]/(Таблица1[[#This Row],[Годовой доход]]/12)</f>
        <v>6.5129806753855157E-2</v>
      </c>
    </row>
    <row r="930" spans="1:21" x14ac:dyDescent="0.3">
      <c r="A930">
        <v>929</v>
      </c>
      <c r="B930">
        <v>1</v>
      </c>
      <c r="C930" s="9">
        <v>151096</v>
      </c>
      <c r="D930">
        <v>747</v>
      </c>
      <c r="E930" s="1">
        <v>1134642</v>
      </c>
      <c r="F930">
        <v>0</v>
      </c>
      <c r="G930">
        <v>18437.98</v>
      </c>
      <c r="H930">
        <v>16.5</v>
      </c>
      <c r="I930">
        <v>8</v>
      </c>
      <c r="J930">
        <v>101004</v>
      </c>
      <c r="K930">
        <v>622072</v>
      </c>
      <c r="L930" t="s">
        <v>50</v>
      </c>
      <c r="M930" t="s">
        <v>971</v>
      </c>
      <c r="N930" t="s">
        <v>26</v>
      </c>
      <c r="O930" t="s">
        <v>34</v>
      </c>
      <c r="P930" t="s">
        <v>22</v>
      </c>
      <c r="Q930" t="s">
        <v>23</v>
      </c>
      <c r="R930" t="b">
        <f>OR(Таблица1[[#This Row],[Ежемесячный платеж]]&lt;$AC$5, Таблица1[[#This Row],[Ежемесячный платеж]]&gt;$AC$6)</f>
        <v>0</v>
      </c>
      <c r="S930" s="9">
        <f>(Таблица1[[#This Row],[Размер кредита]]-21824)/(789096-21824)</f>
        <v>0.16848262415414611</v>
      </c>
      <c r="T930" s="9">
        <f>(Таблица1[[#This Row],[Кредитный рейтинг]]-586)/(751-586)</f>
        <v>0.97575757575757571</v>
      </c>
      <c r="U930" s="9">
        <f>Таблица1[[#This Row],[Ежемесячный платеж]]/(Таблица1[[#This Row],[Годовой доход]]/12)</f>
        <v>0.19500050236109714</v>
      </c>
    </row>
    <row r="931" spans="1:21" x14ac:dyDescent="0.3">
      <c r="A931">
        <v>930</v>
      </c>
      <c r="B931">
        <v>0</v>
      </c>
      <c r="C931" s="9">
        <v>460570</v>
      </c>
      <c r="D931">
        <f>$Y$13</f>
        <v>723</v>
      </c>
      <c r="E931">
        <f>$AB$13</f>
        <v>1168044</v>
      </c>
      <c r="F931">
        <v>75</v>
      </c>
      <c r="G931">
        <v>26730.53</v>
      </c>
      <c r="H931">
        <v>15.5</v>
      </c>
      <c r="I931">
        <v>10</v>
      </c>
      <c r="J931">
        <v>316673</v>
      </c>
      <c r="K931">
        <v>528330</v>
      </c>
      <c r="L931" t="s">
        <v>37</v>
      </c>
      <c r="M931" t="s">
        <v>972</v>
      </c>
      <c r="N931" t="s">
        <v>26</v>
      </c>
      <c r="O931" t="s">
        <v>21</v>
      </c>
      <c r="P931" t="s">
        <v>22</v>
      </c>
      <c r="Q931" t="s">
        <v>23</v>
      </c>
      <c r="R931" t="b">
        <f>OR(Таблица1[[#This Row],[Ежемесячный платеж]]&lt;$AC$5, Таблица1[[#This Row],[Ежемесячный платеж]]&gt;$AC$6)</f>
        <v>0</v>
      </c>
      <c r="S931" s="9">
        <f>(Таблица1[[#This Row],[Размер кредита]]-21824)/(789096-21824)</f>
        <v>0.57182589746530565</v>
      </c>
      <c r="T931" s="9">
        <f>(Таблица1[[#This Row],[Кредитный рейтинг]]-586)/(751-586)</f>
        <v>0.83030303030303032</v>
      </c>
      <c r="U931" s="9">
        <f>Таблица1[[#This Row],[Ежемесячный платеж]]/(Таблица1[[#This Row],[Годовой доход]]/12)</f>
        <v>0.2746183876634784</v>
      </c>
    </row>
    <row r="932" spans="1:21" x14ac:dyDescent="0.3">
      <c r="A932">
        <v>931</v>
      </c>
      <c r="B932">
        <v>0</v>
      </c>
      <c r="C932" s="9">
        <v>769780</v>
      </c>
      <c r="D932">
        <v>702</v>
      </c>
      <c r="E932" s="1">
        <v>1519544</v>
      </c>
      <c r="F932">
        <v>0</v>
      </c>
      <c r="G932">
        <v>26718.75</v>
      </c>
      <c r="H932">
        <v>14.2</v>
      </c>
      <c r="I932">
        <v>16</v>
      </c>
      <c r="J932">
        <v>399152</v>
      </c>
      <c r="K932">
        <v>1343518</v>
      </c>
      <c r="L932" t="s">
        <v>69</v>
      </c>
      <c r="M932" t="s">
        <v>973</v>
      </c>
      <c r="N932" t="s">
        <v>26</v>
      </c>
      <c r="O932" t="s">
        <v>21</v>
      </c>
      <c r="P932" t="s">
        <v>31</v>
      </c>
      <c r="Q932" t="s">
        <v>36</v>
      </c>
      <c r="R932" t="b">
        <f>OR(Таблица1[[#This Row],[Ежемесячный платеж]]&lt;$AC$5, Таблица1[[#This Row],[Ежемесячный платеж]]&gt;$AC$6)</f>
        <v>0</v>
      </c>
      <c r="S932" s="9">
        <f>(Таблица1[[#This Row],[Размер кредита]]-21824)/(789096-21824)</f>
        <v>0.9748250946209428</v>
      </c>
      <c r="T932" s="9">
        <f>(Таблица1[[#This Row],[Кредитный рейтинг]]-586)/(751-586)</f>
        <v>0.70303030303030301</v>
      </c>
      <c r="U932" s="9">
        <f>Таблица1[[#This Row],[Ежемесячный платеж]]/(Таблица1[[#This Row],[Годовой доход]]/12)</f>
        <v>0.21100080024007201</v>
      </c>
    </row>
    <row r="933" spans="1:21" x14ac:dyDescent="0.3">
      <c r="A933">
        <v>932</v>
      </c>
      <c r="B933">
        <v>0</v>
      </c>
      <c r="C933" s="9">
        <v>171644</v>
      </c>
      <c r="D933">
        <v>748</v>
      </c>
      <c r="E933" s="1">
        <v>1111728</v>
      </c>
      <c r="F933">
        <v>36</v>
      </c>
      <c r="G933">
        <v>26959.48</v>
      </c>
      <c r="H933">
        <v>17.2</v>
      </c>
      <c r="I933">
        <v>10</v>
      </c>
      <c r="J933">
        <v>183844</v>
      </c>
      <c r="K933">
        <v>716738</v>
      </c>
      <c r="L933" t="s">
        <v>24</v>
      </c>
      <c r="M933" t="s">
        <v>974</v>
      </c>
      <c r="N933" t="s">
        <v>26</v>
      </c>
      <c r="O933" t="s">
        <v>34</v>
      </c>
      <c r="P933" t="s">
        <v>22</v>
      </c>
      <c r="Q933" t="s">
        <v>36</v>
      </c>
      <c r="R933" t="b">
        <f>OR(Таблица1[[#This Row],[Ежемесячный платеж]]&lt;$AC$5, Таблица1[[#This Row],[Ежемесячный платеж]]&gt;$AC$6)</f>
        <v>0</v>
      </c>
      <c r="S933" s="9">
        <f>(Таблица1[[#This Row],[Размер кредита]]-21824)/(789096-21824)</f>
        <v>0.19526321825897466</v>
      </c>
      <c r="T933" s="9">
        <f>(Таблица1[[#This Row],[Кредитный рейтинг]]-586)/(751-586)</f>
        <v>0.98181818181818181</v>
      </c>
      <c r="U933" s="9">
        <f>Таблица1[[#This Row],[Ежемесячный платеж]]/(Таблица1[[#This Row],[Годовой доход]]/12)</f>
        <v>0.29100082034454472</v>
      </c>
    </row>
    <row r="934" spans="1:21" x14ac:dyDescent="0.3">
      <c r="A934">
        <v>933</v>
      </c>
      <c r="B934">
        <v>3</v>
      </c>
      <c r="C934" s="9">
        <v>220968</v>
      </c>
      <c r="D934">
        <f>$Y$13</f>
        <v>723</v>
      </c>
      <c r="E934">
        <f>$AB$13</f>
        <v>1168044</v>
      </c>
      <c r="F934">
        <v>0</v>
      </c>
      <c r="G934">
        <v>8667.23</v>
      </c>
      <c r="H934">
        <v>30.4</v>
      </c>
      <c r="I934">
        <v>6</v>
      </c>
      <c r="J934">
        <v>333260</v>
      </c>
      <c r="K934">
        <v>565818</v>
      </c>
      <c r="L934" t="s">
        <v>24</v>
      </c>
      <c r="M934" t="s">
        <v>975</v>
      </c>
      <c r="N934" t="s">
        <v>26</v>
      </c>
      <c r="O934" t="s">
        <v>34</v>
      </c>
      <c r="P934" t="s">
        <v>22</v>
      </c>
      <c r="Q934" t="s">
        <v>23</v>
      </c>
      <c r="R934" t="b">
        <f>OR(Таблица1[[#This Row],[Ежемесячный платеж]]&lt;$AC$5, Таблица1[[#This Row],[Ежемесячный платеж]]&gt;$AC$6)</f>
        <v>0</v>
      </c>
      <c r="S934" s="9">
        <f>(Таблица1[[#This Row],[Размер кредита]]-21824)/(789096-21824)</f>
        <v>0.25954811331574723</v>
      </c>
      <c r="T934" s="9">
        <f>(Таблица1[[#This Row],[Кредитный рейтинг]]-586)/(751-586)</f>
        <v>0.83030303030303032</v>
      </c>
      <c r="U934" s="9">
        <f>Таблица1[[#This Row],[Ежемесячный платеж]]/(Таблица1[[#This Row],[Годовой доход]]/12)</f>
        <v>8.9043529182119843E-2</v>
      </c>
    </row>
    <row r="935" spans="1:21" x14ac:dyDescent="0.3">
      <c r="A935">
        <v>934</v>
      </c>
      <c r="B935">
        <v>0</v>
      </c>
      <c r="C935" s="9">
        <v>223762</v>
      </c>
      <c r="D935">
        <v>734</v>
      </c>
      <c r="E935" s="1">
        <v>618393</v>
      </c>
      <c r="F935">
        <v>11</v>
      </c>
      <c r="G935">
        <v>15408.24</v>
      </c>
      <c r="H935">
        <v>28.2</v>
      </c>
      <c r="I935">
        <v>19</v>
      </c>
      <c r="J935">
        <v>469338</v>
      </c>
      <c r="K935">
        <v>958452</v>
      </c>
      <c r="L935" t="s">
        <v>24</v>
      </c>
      <c r="M935" t="s">
        <v>976</v>
      </c>
      <c r="N935" t="s">
        <v>26</v>
      </c>
      <c r="O935" t="s">
        <v>28</v>
      </c>
      <c r="P935" t="s">
        <v>22</v>
      </c>
      <c r="Q935" t="s">
        <v>36</v>
      </c>
      <c r="R935" t="b">
        <f>OR(Таблица1[[#This Row],[Ежемесячный платеж]]&lt;$AC$5, Таблица1[[#This Row],[Ежемесячный платеж]]&gt;$AC$6)</f>
        <v>0</v>
      </c>
      <c r="S935" s="9">
        <f>(Таблица1[[#This Row],[Размер кредита]]-21824)/(789096-21824)</f>
        <v>0.26318958596169284</v>
      </c>
      <c r="T935" s="9">
        <f>(Таблица1[[#This Row],[Кредитный рейтинг]]-586)/(751-586)</f>
        <v>0.89696969696969697</v>
      </c>
      <c r="U935" s="9">
        <f>Таблица1[[#This Row],[Ежемесячный платеж]]/(Таблица1[[#This Row],[Годовой доход]]/12)</f>
        <v>0.29899898608166653</v>
      </c>
    </row>
    <row r="936" spans="1:21" x14ac:dyDescent="0.3">
      <c r="A936">
        <v>935</v>
      </c>
      <c r="B936">
        <v>0</v>
      </c>
      <c r="C936" s="9">
        <v>522456</v>
      </c>
      <c r="D936">
        <v>705</v>
      </c>
      <c r="E936" s="1">
        <v>1302469</v>
      </c>
      <c r="F936">
        <v>0</v>
      </c>
      <c r="G936">
        <v>35492.19</v>
      </c>
      <c r="H936">
        <v>35</v>
      </c>
      <c r="I936">
        <v>15</v>
      </c>
      <c r="J936">
        <v>589095</v>
      </c>
      <c r="K936">
        <v>1188330</v>
      </c>
      <c r="L936" t="s">
        <v>24</v>
      </c>
      <c r="M936" t="s">
        <v>977</v>
      </c>
      <c r="N936" t="s">
        <v>26</v>
      </c>
      <c r="O936" t="s">
        <v>21</v>
      </c>
      <c r="P936" t="s">
        <v>31</v>
      </c>
      <c r="Q936" t="s">
        <v>36</v>
      </c>
      <c r="R936" t="b">
        <f>OR(Таблица1[[#This Row],[Ежемесячный платеж]]&lt;$AC$5, Таблица1[[#This Row],[Ежемесячный платеж]]&gt;$AC$6)</f>
        <v>0</v>
      </c>
      <c r="S936" s="9">
        <f>(Таблица1[[#This Row],[Размер кредита]]-21824)/(789096-21824)</f>
        <v>0.65248308292235346</v>
      </c>
      <c r="T936" s="9">
        <f>(Таблица1[[#This Row],[Кредитный рейтинг]]-586)/(751-586)</f>
        <v>0.72121212121212119</v>
      </c>
      <c r="U936" s="9">
        <f>Таблица1[[#This Row],[Ежемесячный платеж]]/(Таблица1[[#This Row],[Годовой доход]]/12)</f>
        <v>0.326999168502283</v>
      </c>
    </row>
    <row r="937" spans="1:21" x14ac:dyDescent="0.3">
      <c r="A937">
        <v>936</v>
      </c>
      <c r="B937">
        <v>0</v>
      </c>
      <c r="C937" s="9">
        <v>448316</v>
      </c>
      <c r="D937">
        <f>$Y$13</f>
        <v>723</v>
      </c>
      <c r="E937">
        <f>$AB$13</f>
        <v>1168044</v>
      </c>
      <c r="F937">
        <v>0</v>
      </c>
      <c r="G937">
        <v>18487.95</v>
      </c>
      <c r="H937">
        <v>19.5</v>
      </c>
      <c r="I937">
        <v>5</v>
      </c>
      <c r="J937">
        <v>64182</v>
      </c>
      <c r="K937">
        <v>78474</v>
      </c>
      <c r="L937" t="s">
        <v>18</v>
      </c>
      <c r="M937" t="s">
        <v>978</v>
      </c>
      <c r="N937" t="s">
        <v>20</v>
      </c>
      <c r="O937" t="s">
        <v>21</v>
      </c>
      <c r="P937" t="s">
        <v>31</v>
      </c>
      <c r="Q937" t="s">
        <v>36</v>
      </c>
      <c r="R937" t="b">
        <f>OR(Таблица1[[#This Row],[Ежемесячный платеж]]&lt;$AC$5, Таблица1[[#This Row],[Ежемесячный платеж]]&gt;$AC$6)</f>
        <v>0</v>
      </c>
      <c r="S937" s="9">
        <f>(Таблица1[[#This Row],[Размер кредита]]-21824)/(789096-21824)</f>
        <v>0.55585502924647323</v>
      </c>
      <c r="T937" s="9">
        <f>(Таблица1[[#This Row],[Кредитный рейтинг]]-586)/(751-586)</f>
        <v>0.83030303030303032</v>
      </c>
      <c r="U937" s="9">
        <f>Таблица1[[#This Row],[Ежемесячный платеж]]/(Таблица1[[#This Row],[Годовой доход]]/12)</f>
        <v>0.18993753659964865</v>
      </c>
    </row>
    <row r="938" spans="1:21" x14ac:dyDescent="0.3">
      <c r="A938">
        <v>937</v>
      </c>
      <c r="B938">
        <v>0</v>
      </c>
      <c r="C938" s="9">
        <v>616484</v>
      </c>
      <c r="D938">
        <f>$Y$13</f>
        <v>723</v>
      </c>
      <c r="E938">
        <f>$AB$13</f>
        <v>1168044</v>
      </c>
      <c r="F938">
        <v>0</v>
      </c>
      <c r="G938">
        <v>22659.78</v>
      </c>
      <c r="H938">
        <v>20.6</v>
      </c>
      <c r="I938">
        <v>10</v>
      </c>
      <c r="J938">
        <v>407474</v>
      </c>
      <c r="K938">
        <v>587554</v>
      </c>
      <c r="L938" t="s">
        <v>24</v>
      </c>
      <c r="M938" t="s">
        <v>979</v>
      </c>
      <c r="N938" t="s">
        <v>26</v>
      </c>
      <c r="O938" t="s">
        <v>21</v>
      </c>
      <c r="P938" t="s">
        <v>31</v>
      </c>
      <c r="Q938" t="s">
        <v>23</v>
      </c>
      <c r="R938" t="b">
        <f>OR(Таблица1[[#This Row],[Ежемесячный платеж]]&lt;$AC$5, Таблица1[[#This Row],[Ежемесячный платеж]]&gt;$AC$6)</f>
        <v>0</v>
      </c>
      <c r="S938" s="9">
        <f>(Таблица1[[#This Row],[Размер кредита]]-21824)/(789096-21824)</f>
        <v>0.77503154031425625</v>
      </c>
      <c r="T938" s="9">
        <f>(Таблица1[[#This Row],[Кредитный рейтинг]]-586)/(751-586)</f>
        <v>0.83030303030303032</v>
      </c>
      <c r="U938" s="9">
        <f>Таблица1[[#This Row],[Ежемесячный платеж]]/(Таблица1[[#This Row],[Годовой доход]]/12)</f>
        <v>0.23279718914698419</v>
      </c>
    </row>
    <row r="939" spans="1:21" x14ac:dyDescent="0.3">
      <c r="A939">
        <v>938</v>
      </c>
      <c r="B939">
        <v>0</v>
      </c>
      <c r="C939" s="9">
        <v>646206</v>
      </c>
      <c r="D939">
        <v>714</v>
      </c>
      <c r="E939" s="1">
        <v>3069488</v>
      </c>
      <c r="F939">
        <v>31</v>
      </c>
      <c r="G939">
        <v>50902.14</v>
      </c>
      <c r="H939">
        <v>16.399999999999999</v>
      </c>
      <c r="I939">
        <v>10</v>
      </c>
      <c r="J939">
        <v>738834</v>
      </c>
      <c r="K939">
        <v>911064</v>
      </c>
      <c r="L939" t="s">
        <v>52</v>
      </c>
      <c r="M939" t="s">
        <v>980</v>
      </c>
      <c r="N939" t="s">
        <v>71</v>
      </c>
      <c r="O939" t="s">
        <v>21</v>
      </c>
      <c r="P939" t="s">
        <v>22</v>
      </c>
      <c r="Q939" t="s">
        <v>23</v>
      </c>
      <c r="R939" t="b">
        <f>OR(Таблица1[[#This Row],[Ежемесячный платеж]]&lt;$AC$5, Таблица1[[#This Row],[Ежемесячный платеж]]&gt;$AC$6)</f>
        <v>1</v>
      </c>
      <c r="S939" s="9">
        <f>(Таблица1[[#This Row],[Размер кредита]]-21824)/(789096-21824)</f>
        <v>0.81376878082348891</v>
      </c>
      <c r="T939" s="9">
        <f>(Таблица1[[#This Row],[Кредитный рейтинг]]-586)/(751-586)</f>
        <v>0.77575757575757576</v>
      </c>
      <c r="U939" s="9">
        <f>Таблица1[[#This Row],[Ежемесячный платеж]]/(Таблица1[[#This Row],[Годовой доход]]/12)</f>
        <v>0.19899920768545112</v>
      </c>
    </row>
    <row r="940" spans="1:21" x14ac:dyDescent="0.3">
      <c r="A940">
        <v>939</v>
      </c>
      <c r="B940">
        <v>0</v>
      </c>
      <c r="C940" s="9">
        <v>522610</v>
      </c>
      <c r="D940">
        <v>728</v>
      </c>
      <c r="E940" s="1">
        <v>1067515</v>
      </c>
      <c r="F940">
        <v>0</v>
      </c>
      <c r="G940">
        <v>24997.54</v>
      </c>
      <c r="H940">
        <v>30</v>
      </c>
      <c r="I940">
        <v>15</v>
      </c>
      <c r="J940">
        <v>759373</v>
      </c>
      <c r="K940">
        <v>953656</v>
      </c>
      <c r="L940" t="s">
        <v>37</v>
      </c>
      <c r="M940" t="s">
        <v>981</v>
      </c>
      <c r="N940" t="s">
        <v>26</v>
      </c>
      <c r="O940" t="s">
        <v>21</v>
      </c>
      <c r="P940" t="s">
        <v>22</v>
      </c>
      <c r="Q940" t="s">
        <v>23</v>
      </c>
      <c r="R940" t="b">
        <f>OR(Таблица1[[#This Row],[Ежемесячный платеж]]&lt;$AC$5, Таблица1[[#This Row],[Ежемесячный платеж]]&gt;$AC$6)</f>
        <v>0</v>
      </c>
      <c r="S940" s="9">
        <f>(Таблица1[[#This Row],[Размер кредита]]-21824)/(789096-21824)</f>
        <v>0.65268379401307486</v>
      </c>
      <c r="T940" s="9">
        <f>(Таблица1[[#This Row],[Кредитный рейтинг]]-586)/(751-586)</f>
        <v>0.8606060606060606</v>
      </c>
      <c r="U940" s="9">
        <f>Таблица1[[#This Row],[Ежемесячный платеж]]/(Таблица1[[#This Row],[Годовой доход]]/12)</f>
        <v>0.28099884310759105</v>
      </c>
    </row>
    <row r="941" spans="1:21" x14ac:dyDescent="0.3">
      <c r="A941">
        <v>940</v>
      </c>
      <c r="B941">
        <v>0</v>
      </c>
      <c r="C941" s="9">
        <v>325292</v>
      </c>
      <c r="D941">
        <v>707</v>
      </c>
      <c r="E941" s="1">
        <v>1217349</v>
      </c>
      <c r="F941">
        <v>60</v>
      </c>
      <c r="G941">
        <v>25361.39</v>
      </c>
      <c r="H941">
        <v>16.7</v>
      </c>
      <c r="I941">
        <v>10</v>
      </c>
      <c r="J941">
        <v>298490</v>
      </c>
      <c r="K941">
        <v>366498</v>
      </c>
      <c r="L941" t="s">
        <v>37</v>
      </c>
      <c r="M941" t="s">
        <v>982</v>
      </c>
      <c r="N941" t="s">
        <v>26</v>
      </c>
      <c r="O941" t="s">
        <v>34</v>
      </c>
      <c r="P941" t="s">
        <v>22</v>
      </c>
      <c r="Q941" t="s">
        <v>23</v>
      </c>
      <c r="R941" t="b">
        <f>OR(Таблица1[[#This Row],[Ежемесячный платеж]]&lt;$AC$5, Таблица1[[#This Row],[Ежемесячный платеж]]&gt;$AC$6)</f>
        <v>0</v>
      </c>
      <c r="S941" s="9">
        <f>(Таблица1[[#This Row],[Размер кредита]]-21824)/(789096-21824)</f>
        <v>0.39551554077302442</v>
      </c>
      <c r="T941" s="9">
        <f>(Таблица1[[#This Row],[Кредитный рейтинг]]-586)/(751-586)</f>
        <v>0.73333333333333328</v>
      </c>
      <c r="U941" s="9">
        <f>Таблица1[[#This Row],[Ежемесячный платеж]]/(Таблица1[[#This Row],[Годовой доход]]/12)</f>
        <v>0.24999953176944326</v>
      </c>
    </row>
    <row r="942" spans="1:21" x14ac:dyDescent="0.3">
      <c r="A942">
        <v>941</v>
      </c>
      <c r="B942">
        <v>0</v>
      </c>
      <c r="C942" s="9">
        <v>551166</v>
      </c>
      <c r="D942">
        <v>725</v>
      </c>
      <c r="E942" s="1">
        <v>2878842</v>
      </c>
      <c r="F942">
        <v>0</v>
      </c>
      <c r="G942">
        <v>35721.519999999997</v>
      </c>
      <c r="H942">
        <v>23</v>
      </c>
      <c r="I942">
        <v>9</v>
      </c>
      <c r="J942">
        <v>243637</v>
      </c>
      <c r="K942">
        <v>657602</v>
      </c>
      <c r="L942" t="s">
        <v>24</v>
      </c>
      <c r="M942" t="s">
        <v>983</v>
      </c>
      <c r="N942" t="s">
        <v>2041</v>
      </c>
      <c r="O942" t="s">
        <v>21</v>
      </c>
      <c r="P942" t="s">
        <v>31</v>
      </c>
      <c r="Q942" t="s">
        <v>23</v>
      </c>
      <c r="R942" t="b">
        <f>OR(Таблица1[[#This Row],[Ежемесячный платеж]]&lt;$AC$5, Таблица1[[#This Row],[Ежемесячный платеж]]&gt;$AC$6)</f>
        <v>0</v>
      </c>
      <c r="S942" s="9">
        <f>(Таблица1[[#This Row],[Размер кредита]]-21824)/(789096-21824)</f>
        <v>0.68990136483541686</v>
      </c>
      <c r="T942" s="9">
        <f>(Таблица1[[#This Row],[Кредитный рейтинг]]-586)/(751-586)</f>
        <v>0.84242424242424241</v>
      </c>
      <c r="U942" s="9">
        <f>Таблица1[[#This Row],[Ежемесячный платеж]]/(Таблица1[[#This Row],[Годовой доход]]/12)</f>
        <v>0.14889953668871023</v>
      </c>
    </row>
    <row r="943" spans="1:21" x14ac:dyDescent="0.3">
      <c r="A943">
        <v>942</v>
      </c>
      <c r="B943">
        <v>0</v>
      </c>
      <c r="C943" s="9">
        <v>375298</v>
      </c>
      <c r="D943">
        <v>728</v>
      </c>
      <c r="E943" s="1">
        <v>926041</v>
      </c>
      <c r="F943">
        <v>17</v>
      </c>
      <c r="G943">
        <v>17054.59</v>
      </c>
      <c r="H943">
        <v>27.9</v>
      </c>
      <c r="I943">
        <v>12</v>
      </c>
      <c r="J943">
        <v>319751</v>
      </c>
      <c r="K943">
        <v>433532</v>
      </c>
      <c r="L943" t="s">
        <v>24</v>
      </c>
      <c r="M943" t="s">
        <v>984</v>
      </c>
      <c r="N943" t="s">
        <v>26</v>
      </c>
      <c r="O943" t="s">
        <v>21</v>
      </c>
      <c r="P943" t="s">
        <v>22</v>
      </c>
      <c r="Q943" t="s">
        <v>23</v>
      </c>
      <c r="R943" t="b">
        <f>OR(Таблица1[[#This Row],[Ежемесячный платеж]]&lt;$AC$5, Таблица1[[#This Row],[Ежемесячный платеж]]&gt;$AC$6)</f>
        <v>0</v>
      </c>
      <c r="S943" s="9">
        <f>(Таблица1[[#This Row],[Размер кредита]]-21824)/(789096-21824)</f>
        <v>0.46068929923156327</v>
      </c>
      <c r="T943" s="9">
        <f>(Таблица1[[#This Row],[Кредитный рейтинг]]-586)/(751-586)</f>
        <v>0.8606060606060606</v>
      </c>
      <c r="U943" s="9">
        <f>Таблица1[[#This Row],[Ежемесячный платеж]]/(Таблица1[[#This Row],[Годовой доход]]/12)</f>
        <v>0.2210000205174501</v>
      </c>
    </row>
    <row r="944" spans="1:21" x14ac:dyDescent="0.3">
      <c r="A944">
        <v>943</v>
      </c>
      <c r="B944">
        <v>0</v>
      </c>
      <c r="C944" s="9">
        <v>349360</v>
      </c>
      <c r="D944">
        <f>$Y$13</f>
        <v>723</v>
      </c>
      <c r="E944">
        <f>$AB$13</f>
        <v>1168044</v>
      </c>
      <c r="F944">
        <v>0</v>
      </c>
      <c r="G944">
        <v>17254.66</v>
      </c>
      <c r="H944">
        <v>19.899999999999999</v>
      </c>
      <c r="I944">
        <v>17</v>
      </c>
      <c r="J944">
        <v>497135</v>
      </c>
      <c r="K944">
        <v>650452</v>
      </c>
      <c r="L944" t="s">
        <v>41</v>
      </c>
      <c r="M944" t="s">
        <v>985</v>
      </c>
      <c r="N944" t="s">
        <v>26</v>
      </c>
      <c r="O944" t="s">
        <v>34</v>
      </c>
      <c r="P944" t="s">
        <v>22</v>
      </c>
      <c r="Q944" t="s">
        <v>36</v>
      </c>
      <c r="R944" t="b">
        <f>OR(Таблица1[[#This Row],[Ежемесячный платеж]]&lt;$AC$5, Таблица1[[#This Row],[Ежемесячный платеж]]&gt;$AC$6)</f>
        <v>0</v>
      </c>
      <c r="S944" s="9">
        <f>(Таблица1[[#This Row],[Размер кредита]]-21824)/(789096-21824)</f>
        <v>0.42688381695148525</v>
      </c>
      <c r="T944" s="9">
        <f>(Таблица1[[#This Row],[Кредитный рейтинг]]-586)/(751-586)</f>
        <v>0.83030303030303032</v>
      </c>
      <c r="U944" s="9">
        <f>Таблица1[[#This Row],[Ежемесячный платеж]]/(Таблица1[[#This Row],[Годовой доход]]/12)</f>
        <v>0.17726722623462815</v>
      </c>
    </row>
    <row r="945" spans="1:21" x14ac:dyDescent="0.3">
      <c r="A945">
        <v>944</v>
      </c>
      <c r="B945">
        <v>0</v>
      </c>
      <c r="D945">
        <v>728</v>
      </c>
      <c r="E945" s="1">
        <v>2362897</v>
      </c>
      <c r="F945">
        <v>0</v>
      </c>
      <c r="G945">
        <v>15752.52</v>
      </c>
      <c r="H945">
        <v>26.1</v>
      </c>
      <c r="I945">
        <v>6</v>
      </c>
      <c r="J945">
        <v>62092</v>
      </c>
      <c r="K945">
        <v>305976</v>
      </c>
      <c r="L945" t="s">
        <v>37</v>
      </c>
      <c r="M945" t="s">
        <v>986</v>
      </c>
      <c r="N945" t="s">
        <v>2041</v>
      </c>
      <c r="O945" t="s">
        <v>21</v>
      </c>
      <c r="P945" t="s">
        <v>22</v>
      </c>
      <c r="Q945" t="s">
        <v>23</v>
      </c>
      <c r="R945" t="b">
        <f>OR(Таблица1[[#This Row],[Ежемесячный платеж]]&lt;$AC$5, Таблица1[[#This Row],[Ежемесячный платеж]]&gt;$AC$6)</f>
        <v>0</v>
      </c>
      <c r="T945" s="9">
        <f>(Таблица1[[#This Row],[Кредитный рейтинг]]-586)/(751-586)</f>
        <v>0.8606060606060606</v>
      </c>
      <c r="U945" s="9">
        <f>Таблица1[[#This Row],[Ежемесячный платеж]]/(Таблица1[[#This Row],[Годовой доход]]/12)</f>
        <v>7.999935672185457E-2</v>
      </c>
    </row>
    <row r="946" spans="1:21" x14ac:dyDescent="0.3">
      <c r="A946">
        <v>945</v>
      </c>
      <c r="B946">
        <v>0</v>
      </c>
      <c r="C946" s="9">
        <v>387970</v>
      </c>
      <c r="D946">
        <f>$Y$13</f>
        <v>723</v>
      </c>
      <c r="E946">
        <f>$AB$13</f>
        <v>1168044</v>
      </c>
      <c r="F946">
        <v>12</v>
      </c>
      <c r="G946">
        <v>12942.99</v>
      </c>
      <c r="H946">
        <v>14.4</v>
      </c>
      <c r="I946">
        <v>7</v>
      </c>
      <c r="J946">
        <v>248121</v>
      </c>
      <c r="K946">
        <v>355586</v>
      </c>
      <c r="L946" t="s">
        <v>63</v>
      </c>
      <c r="M946" t="s">
        <v>987</v>
      </c>
      <c r="N946" t="s">
        <v>26</v>
      </c>
      <c r="O946" t="s">
        <v>34</v>
      </c>
      <c r="P946" t="s">
        <v>22</v>
      </c>
      <c r="Q946" t="s">
        <v>23</v>
      </c>
      <c r="R946" t="b">
        <f>OR(Таблица1[[#This Row],[Ежемесячный платеж]]&lt;$AC$5, Таблица1[[#This Row],[Ежемесячный платеж]]&gt;$AC$6)</f>
        <v>0</v>
      </c>
      <c r="S946" s="9">
        <f>(Таблица1[[#This Row],[Размер кредита]]-21824)/(789096-21824)</f>
        <v>0.47720495469663954</v>
      </c>
      <c r="T946" s="9">
        <f>(Таблица1[[#This Row],[Кредитный рейтинг]]-586)/(751-586)</f>
        <v>0.83030303030303032</v>
      </c>
      <c r="U946" s="9">
        <f>Таблица1[[#This Row],[Ежемесячный платеж]]/(Таблица1[[#This Row],[Годовой доход]]/12)</f>
        <v>0.13297091547921139</v>
      </c>
    </row>
    <row r="947" spans="1:21" x14ac:dyDescent="0.3">
      <c r="A947">
        <v>946</v>
      </c>
      <c r="B947">
        <v>0</v>
      </c>
      <c r="C947" s="9">
        <v>120670</v>
      </c>
      <c r="D947">
        <v>742</v>
      </c>
      <c r="E947" s="1">
        <v>654227</v>
      </c>
      <c r="F947">
        <v>0</v>
      </c>
      <c r="G947">
        <v>6324.15</v>
      </c>
      <c r="H947">
        <v>18.3</v>
      </c>
      <c r="I947">
        <v>8</v>
      </c>
      <c r="J947">
        <v>282701</v>
      </c>
      <c r="K947">
        <v>743952</v>
      </c>
      <c r="L947" t="s">
        <v>41</v>
      </c>
      <c r="M947" t="s">
        <v>988</v>
      </c>
      <c r="N947" t="s">
        <v>26</v>
      </c>
      <c r="O947" t="s">
        <v>21</v>
      </c>
      <c r="P947" t="s">
        <v>22</v>
      </c>
      <c r="Q947" t="s">
        <v>23</v>
      </c>
      <c r="R947" t="b">
        <f>OR(Таблица1[[#This Row],[Ежемесячный платеж]]&lt;$AC$5, Таблица1[[#This Row],[Ежемесячный платеж]]&gt;$AC$6)</f>
        <v>0</v>
      </c>
      <c r="S947" s="9">
        <f>(Таблица1[[#This Row],[Размер кредита]]-21824)/(789096-21824)</f>
        <v>0.12882784723018695</v>
      </c>
      <c r="T947" s="9">
        <f>(Таблица1[[#This Row],[Кредитный рейтинг]]-586)/(751-586)</f>
        <v>0.94545454545454544</v>
      </c>
      <c r="U947" s="9">
        <f>Таблица1[[#This Row],[Ежемесячный платеж]]/(Таблица1[[#This Row],[Годовой доход]]/12)</f>
        <v>0.11599918682659077</v>
      </c>
    </row>
    <row r="948" spans="1:21" x14ac:dyDescent="0.3">
      <c r="A948">
        <v>947</v>
      </c>
      <c r="B948">
        <v>0</v>
      </c>
      <c r="C948" s="9">
        <v>162932</v>
      </c>
      <c r="D948">
        <v>748</v>
      </c>
      <c r="E948" s="1">
        <v>844227</v>
      </c>
      <c r="F948">
        <v>0</v>
      </c>
      <c r="G948">
        <v>13380.94</v>
      </c>
      <c r="H948">
        <v>19.399999999999999</v>
      </c>
      <c r="I948">
        <v>8</v>
      </c>
      <c r="J948">
        <v>139555</v>
      </c>
      <c r="K948">
        <v>299244</v>
      </c>
      <c r="L948" t="s">
        <v>69</v>
      </c>
      <c r="M948" t="s">
        <v>989</v>
      </c>
      <c r="N948" t="s">
        <v>20</v>
      </c>
      <c r="O948" t="s">
        <v>21</v>
      </c>
      <c r="P948" t="s">
        <v>22</v>
      </c>
      <c r="Q948" t="s">
        <v>23</v>
      </c>
      <c r="R948" t="b">
        <f>OR(Таблица1[[#This Row],[Ежемесячный платеж]]&lt;$AC$5, Таблица1[[#This Row],[Ежемесячный платеж]]&gt;$AC$6)</f>
        <v>0</v>
      </c>
      <c r="S948" s="9">
        <f>(Таблица1[[#This Row],[Размер кредита]]-21824)/(789096-21824)</f>
        <v>0.18390870512673471</v>
      </c>
      <c r="T948" s="9">
        <f>(Таблица1[[#This Row],[Кредитный рейтинг]]-586)/(751-586)</f>
        <v>0.98181818181818181</v>
      </c>
      <c r="U948" s="9">
        <f>Таблица1[[#This Row],[Ежемесячный платеж]]/(Таблица1[[#This Row],[Годовой доход]]/12)</f>
        <v>0.19019917628789415</v>
      </c>
    </row>
    <row r="949" spans="1:21" x14ac:dyDescent="0.3">
      <c r="A949">
        <v>948</v>
      </c>
      <c r="B949">
        <v>0</v>
      </c>
      <c r="C949" s="9">
        <v>520542</v>
      </c>
      <c r="D949">
        <v>743</v>
      </c>
      <c r="E949" s="1">
        <v>1251435</v>
      </c>
      <c r="F949">
        <v>0</v>
      </c>
      <c r="G949">
        <v>25132.82</v>
      </c>
      <c r="H949">
        <v>15.7</v>
      </c>
      <c r="I949">
        <v>14</v>
      </c>
      <c r="J949">
        <v>593769</v>
      </c>
      <c r="K949">
        <v>887128</v>
      </c>
      <c r="L949" t="s">
        <v>47</v>
      </c>
      <c r="M949" t="s">
        <v>990</v>
      </c>
      <c r="N949" t="s">
        <v>26</v>
      </c>
      <c r="O949" t="s">
        <v>21</v>
      </c>
      <c r="P949" t="s">
        <v>22</v>
      </c>
      <c r="Q949" t="s">
        <v>23</v>
      </c>
      <c r="R949" t="b">
        <f>OR(Таблица1[[#This Row],[Ежемесячный платеж]]&lt;$AC$5, Таблица1[[#This Row],[Ежемесячный платеж]]&gt;$AC$6)</f>
        <v>0</v>
      </c>
      <c r="S949" s="9">
        <f>(Таблица1[[#This Row],[Размер кредита]]-21824)/(789096-21824)</f>
        <v>0.64998853079481589</v>
      </c>
      <c r="T949" s="9">
        <f>(Таблица1[[#This Row],[Кредитный рейтинг]]-586)/(751-586)</f>
        <v>0.95151515151515154</v>
      </c>
      <c r="U949" s="9">
        <f>Таблица1[[#This Row],[Ежемесячный платеж]]/(Таблица1[[#This Row],[Годовой доход]]/12)</f>
        <v>0.24099840583010704</v>
      </c>
    </row>
    <row r="950" spans="1:21" x14ac:dyDescent="0.3">
      <c r="A950">
        <v>949</v>
      </c>
      <c r="B950">
        <v>6</v>
      </c>
      <c r="C950" s="9">
        <v>298760</v>
      </c>
      <c r="D950">
        <f>$Y$13</f>
        <v>723</v>
      </c>
      <c r="E950">
        <f>$AB$13</f>
        <v>1168044</v>
      </c>
      <c r="F950">
        <v>63</v>
      </c>
      <c r="G950">
        <v>11952.14</v>
      </c>
      <c r="H950">
        <v>17.3</v>
      </c>
      <c r="I950">
        <v>9</v>
      </c>
      <c r="J950">
        <v>191786</v>
      </c>
      <c r="K950">
        <v>329494</v>
      </c>
      <c r="L950" t="s">
        <v>24</v>
      </c>
      <c r="M950" t="s">
        <v>991</v>
      </c>
      <c r="N950" t="s">
        <v>26</v>
      </c>
      <c r="O950" t="s">
        <v>34</v>
      </c>
      <c r="P950" t="s">
        <v>22</v>
      </c>
      <c r="Q950" t="s">
        <v>36</v>
      </c>
      <c r="R950" t="b">
        <f>OR(Таблица1[[#This Row],[Ежемесячный платеж]]&lt;$AC$5, Таблица1[[#This Row],[Ежемесячный платеж]]&gt;$AC$6)</f>
        <v>0</v>
      </c>
      <c r="S950" s="9">
        <f>(Таблица1[[#This Row],[Размер кредита]]-21824)/(789096-21824)</f>
        <v>0.36093588714302099</v>
      </c>
      <c r="T950" s="9">
        <f>(Таблица1[[#This Row],[Кредитный рейтинг]]-586)/(751-586)</f>
        <v>0.83030303030303032</v>
      </c>
      <c r="U950" s="9">
        <f>Таблица1[[#This Row],[Ежемесячный платеж]]/(Таблица1[[#This Row],[Годовой доход]]/12)</f>
        <v>0.12279133320320125</v>
      </c>
    </row>
    <row r="951" spans="1:21" x14ac:dyDescent="0.3">
      <c r="A951">
        <v>950</v>
      </c>
      <c r="B951">
        <v>0</v>
      </c>
      <c r="C951" s="9">
        <v>391248</v>
      </c>
      <c r="D951">
        <v>669</v>
      </c>
      <c r="E951" s="1">
        <v>1392719</v>
      </c>
      <c r="F951">
        <v>0</v>
      </c>
      <c r="G951">
        <v>33773.26</v>
      </c>
      <c r="H951">
        <v>14.9</v>
      </c>
      <c r="I951">
        <v>18</v>
      </c>
      <c r="J951">
        <v>336775</v>
      </c>
      <c r="K951">
        <v>432784</v>
      </c>
      <c r="L951" t="s">
        <v>24</v>
      </c>
      <c r="M951" t="s">
        <v>992</v>
      </c>
      <c r="N951" t="s">
        <v>20</v>
      </c>
      <c r="O951" t="s">
        <v>21</v>
      </c>
      <c r="P951" t="s">
        <v>31</v>
      </c>
      <c r="Q951" t="s">
        <v>36</v>
      </c>
      <c r="R951" t="b">
        <f>OR(Таблица1[[#This Row],[Ежемесячный платеж]]&lt;$AC$5, Таблица1[[#This Row],[Ежемесячный платеж]]&gt;$AC$6)</f>
        <v>0</v>
      </c>
      <c r="S951" s="9">
        <f>(Таблица1[[#This Row],[Размер кредита]]-21824)/(789096-21824)</f>
        <v>0.48147723362770961</v>
      </c>
      <c r="T951" s="9">
        <f>(Таблица1[[#This Row],[Кредитный рейтинг]]-586)/(751-586)</f>
        <v>0.50303030303030305</v>
      </c>
      <c r="U951" s="9">
        <f>Таблица1[[#This Row],[Ежемесячный платеж]]/(Таблица1[[#This Row],[Годовой доход]]/12)</f>
        <v>0.29099848569596598</v>
      </c>
    </row>
    <row r="952" spans="1:21" x14ac:dyDescent="0.3">
      <c r="A952">
        <v>951</v>
      </c>
      <c r="B952">
        <v>0</v>
      </c>
      <c r="C952" s="9">
        <v>523292</v>
      </c>
      <c r="D952">
        <f>$Y$13</f>
        <v>723</v>
      </c>
      <c r="E952">
        <f>$AB$13</f>
        <v>1168044</v>
      </c>
      <c r="F952">
        <v>82</v>
      </c>
      <c r="G952">
        <v>31635.95</v>
      </c>
      <c r="H952">
        <v>27.4</v>
      </c>
      <c r="I952">
        <v>15</v>
      </c>
      <c r="J952">
        <v>634334</v>
      </c>
      <c r="K952">
        <v>1268564</v>
      </c>
      <c r="L952" t="s">
        <v>24</v>
      </c>
      <c r="M952" t="s">
        <v>993</v>
      </c>
      <c r="N952" t="s">
        <v>26</v>
      </c>
      <c r="O952" t="s">
        <v>21</v>
      </c>
      <c r="P952" t="s">
        <v>31</v>
      </c>
      <c r="Q952" t="s">
        <v>23</v>
      </c>
      <c r="R952" t="b">
        <f>OR(Таблица1[[#This Row],[Ежемесячный платеж]]&lt;$AC$5, Таблица1[[#This Row],[Ежемесячный платеж]]&gt;$AC$6)</f>
        <v>0</v>
      </c>
      <c r="S952" s="9">
        <f>(Таблица1[[#This Row],[Размер кредита]]-21824)/(789096-21824)</f>
        <v>0.65357265741484116</v>
      </c>
      <c r="T952" s="9">
        <f>(Таблица1[[#This Row],[Кредитный рейтинг]]-586)/(751-586)</f>
        <v>0.83030303030303032</v>
      </c>
      <c r="U952" s="9">
        <f>Таблица1[[#This Row],[Ежемесячный платеж]]/(Таблица1[[#This Row],[Годовой доход]]/12)</f>
        <v>0.32501463985945733</v>
      </c>
    </row>
    <row r="953" spans="1:21" x14ac:dyDescent="0.3">
      <c r="A953">
        <v>952</v>
      </c>
      <c r="B953">
        <v>0</v>
      </c>
      <c r="C953" s="9">
        <v>108834</v>
      </c>
      <c r="D953">
        <v>704</v>
      </c>
      <c r="E953" s="1">
        <v>1447344</v>
      </c>
      <c r="F953">
        <v>31</v>
      </c>
      <c r="G953">
        <v>11168.58</v>
      </c>
      <c r="H953">
        <v>11</v>
      </c>
      <c r="I953">
        <v>4</v>
      </c>
      <c r="J953">
        <v>48868</v>
      </c>
      <c r="K953">
        <v>239778</v>
      </c>
      <c r="L953" t="s">
        <v>18</v>
      </c>
      <c r="M953" t="s">
        <v>994</v>
      </c>
      <c r="N953" t="s">
        <v>68</v>
      </c>
      <c r="O953" t="s">
        <v>34</v>
      </c>
      <c r="P953" t="s">
        <v>31</v>
      </c>
      <c r="Q953" t="s">
        <v>23</v>
      </c>
      <c r="R953" t="b">
        <f>OR(Таблица1[[#This Row],[Ежемесячный платеж]]&lt;$AC$5, Таблица1[[#This Row],[Ежемесячный платеж]]&gt;$AC$6)</f>
        <v>0</v>
      </c>
      <c r="S953" s="9">
        <f>(Таблица1[[#This Row],[Размер кредита]]-21824)/(789096-21824)</f>
        <v>0.11340176625759835</v>
      </c>
      <c r="T953" s="9">
        <f>(Таблица1[[#This Row],[Кредитный рейтинг]]-586)/(751-586)</f>
        <v>0.7151515151515152</v>
      </c>
      <c r="U953" s="9">
        <f>Таблица1[[#This Row],[Ежемесячный платеж]]/(Таблица1[[#This Row],[Годовой доход]]/12)</f>
        <v>9.2599243856332697E-2</v>
      </c>
    </row>
    <row r="954" spans="1:21" x14ac:dyDescent="0.3">
      <c r="A954">
        <v>953</v>
      </c>
      <c r="B954">
        <v>0</v>
      </c>
      <c r="C954" s="9">
        <v>333608</v>
      </c>
      <c r="D954">
        <f>$Y$13</f>
        <v>723</v>
      </c>
      <c r="E954">
        <f>$AB$13</f>
        <v>1168044</v>
      </c>
      <c r="F954">
        <v>0</v>
      </c>
      <c r="G954">
        <v>9243.5</v>
      </c>
      <c r="H954">
        <v>14.6</v>
      </c>
      <c r="I954">
        <v>9</v>
      </c>
      <c r="J954">
        <v>135394</v>
      </c>
      <c r="K954">
        <v>875798</v>
      </c>
      <c r="L954" t="s">
        <v>24</v>
      </c>
      <c r="M954" t="s">
        <v>995</v>
      </c>
      <c r="N954" t="s">
        <v>26</v>
      </c>
      <c r="O954" t="s">
        <v>21</v>
      </c>
      <c r="P954" t="s">
        <v>22</v>
      </c>
      <c r="Q954" t="s">
        <v>23</v>
      </c>
      <c r="R954" t="b">
        <f>OR(Таблица1[[#This Row],[Ежемесячный платеж]]&lt;$AC$5, Таблица1[[#This Row],[Ежемесячный платеж]]&gt;$AC$6)</f>
        <v>0</v>
      </c>
      <c r="S954" s="9">
        <f>(Таблица1[[#This Row],[Размер кредита]]-21824)/(789096-21824)</f>
        <v>0.40635393967198075</v>
      </c>
      <c r="T954" s="9">
        <f>(Таблица1[[#This Row],[Кредитный рейтинг]]-586)/(751-586)</f>
        <v>0.83030303030303032</v>
      </c>
      <c r="U954" s="9">
        <f>Таблица1[[#This Row],[Ежемесячный платеж]]/(Таблица1[[#This Row],[Годовой доход]]/12)</f>
        <v>9.4963888346671868E-2</v>
      </c>
    </row>
    <row r="955" spans="1:21" x14ac:dyDescent="0.3">
      <c r="A955">
        <v>954</v>
      </c>
      <c r="B955">
        <v>0</v>
      </c>
      <c r="C955" s="9">
        <v>264616</v>
      </c>
      <c r="D955">
        <v>731</v>
      </c>
      <c r="E955" s="1">
        <v>1333059</v>
      </c>
      <c r="F955">
        <v>0</v>
      </c>
      <c r="G955">
        <v>23995.1</v>
      </c>
      <c r="H955">
        <v>24</v>
      </c>
      <c r="I955">
        <v>8</v>
      </c>
      <c r="J955">
        <v>289864</v>
      </c>
      <c r="K955">
        <v>509300</v>
      </c>
      <c r="L955" t="s">
        <v>24</v>
      </c>
      <c r="M955" t="s">
        <v>996</v>
      </c>
      <c r="N955" t="s">
        <v>26</v>
      </c>
      <c r="O955" t="s">
        <v>21</v>
      </c>
      <c r="P955" t="s">
        <v>31</v>
      </c>
      <c r="Q955" t="s">
        <v>36</v>
      </c>
      <c r="R955" t="b">
        <f>OR(Таблица1[[#This Row],[Ежемесячный платеж]]&lt;$AC$5, Таблица1[[#This Row],[Ежемесячный платеж]]&gt;$AC$6)</f>
        <v>0</v>
      </c>
      <c r="S955" s="9">
        <f>(Таблица1[[#This Row],[Размер кредита]]-21824)/(789096-21824)</f>
        <v>0.31643537102878772</v>
      </c>
      <c r="T955" s="9">
        <f>(Таблица1[[#This Row],[Кредитный рейтинг]]-586)/(751-586)</f>
        <v>0.87878787878787878</v>
      </c>
      <c r="U955" s="9">
        <f>Таблица1[[#This Row],[Ежемесячный платеж]]/(Таблица1[[#This Row],[Годовой доход]]/12)</f>
        <v>0.21600034207038096</v>
      </c>
    </row>
    <row r="956" spans="1:21" x14ac:dyDescent="0.3">
      <c r="A956">
        <v>955</v>
      </c>
      <c r="B956">
        <v>0</v>
      </c>
      <c r="D956">
        <v>749</v>
      </c>
      <c r="E956" s="1">
        <v>677635</v>
      </c>
      <c r="F956">
        <v>0</v>
      </c>
      <c r="G956">
        <v>16302.95</v>
      </c>
      <c r="H956">
        <v>20.100000000000001</v>
      </c>
      <c r="I956">
        <v>8</v>
      </c>
      <c r="J956">
        <v>205428</v>
      </c>
      <c r="K956">
        <v>376948</v>
      </c>
      <c r="L956" t="s">
        <v>41</v>
      </c>
      <c r="M956" s="2" t="s">
        <v>997</v>
      </c>
      <c r="N956" t="s">
        <v>26</v>
      </c>
      <c r="O956" t="s">
        <v>21</v>
      </c>
      <c r="P956" t="s">
        <v>22</v>
      </c>
      <c r="Q956" t="s">
        <v>23</v>
      </c>
      <c r="R956" t="b">
        <f>OR(Таблица1[[#This Row],[Ежемесячный платеж]]&lt;$AC$5, Таблица1[[#This Row],[Ежемесячный платеж]]&gt;$AC$6)</f>
        <v>0</v>
      </c>
      <c r="T956" s="9">
        <f>(Таблица1[[#This Row],[Кредитный рейтинг]]-586)/(751-586)</f>
        <v>0.98787878787878791</v>
      </c>
      <c r="U956" s="9">
        <f>Таблица1[[#This Row],[Ежемесячный платеж]]/(Таблица1[[#This Row],[Годовой доход]]/12)</f>
        <v>0.28870321043039393</v>
      </c>
    </row>
    <row r="957" spans="1:21" x14ac:dyDescent="0.3">
      <c r="A957">
        <v>956</v>
      </c>
      <c r="B957">
        <v>0</v>
      </c>
      <c r="C957" s="9">
        <v>549516</v>
      </c>
      <c r="D957">
        <f>$Y$13</f>
        <v>723</v>
      </c>
      <c r="E957">
        <f>$AB$13</f>
        <v>1168044</v>
      </c>
      <c r="F957">
        <v>69</v>
      </c>
      <c r="G957">
        <v>30016.77</v>
      </c>
      <c r="H957">
        <v>22.3</v>
      </c>
      <c r="I957">
        <v>10</v>
      </c>
      <c r="J957">
        <v>481232</v>
      </c>
      <c r="K957">
        <v>1061390</v>
      </c>
      <c r="L957" t="s">
        <v>29</v>
      </c>
      <c r="M957" t="s">
        <v>998</v>
      </c>
      <c r="N957" t="s">
        <v>26</v>
      </c>
      <c r="O957" t="s">
        <v>21</v>
      </c>
      <c r="P957" t="s">
        <v>22</v>
      </c>
      <c r="Q957" t="s">
        <v>23</v>
      </c>
      <c r="R957" t="b">
        <f>OR(Таблица1[[#This Row],[Ежемесячный платеж]]&lt;$AC$5, Таблица1[[#This Row],[Ежемесячный платеж]]&gt;$AC$6)</f>
        <v>0</v>
      </c>
      <c r="S957" s="9">
        <f>(Таблица1[[#This Row],[Размер кредита]]-21824)/(789096-21824)</f>
        <v>0.68775088886340174</v>
      </c>
      <c r="T957" s="9">
        <f>(Таблица1[[#This Row],[Кредитный рейтинг]]-586)/(751-586)</f>
        <v>0.83030303030303032</v>
      </c>
      <c r="U957" s="9">
        <f>Таблица1[[#This Row],[Ежемесячный платеж]]/(Таблица1[[#This Row],[Годовой доход]]/12)</f>
        <v>0.30837985555338671</v>
      </c>
    </row>
    <row r="958" spans="1:21" x14ac:dyDescent="0.3">
      <c r="A958">
        <v>957</v>
      </c>
      <c r="B958">
        <v>0</v>
      </c>
      <c r="C958" s="9">
        <v>356290</v>
      </c>
      <c r="D958">
        <f>$Y$13</f>
        <v>723</v>
      </c>
      <c r="E958">
        <f>$AB$13</f>
        <v>1168044</v>
      </c>
      <c r="F958">
        <v>0</v>
      </c>
      <c r="G958">
        <v>26534.639999999999</v>
      </c>
      <c r="H958">
        <v>13.8</v>
      </c>
      <c r="I958">
        <v>9</v>
      </c>
      <c r="J958">
        <v>334343</v>
      </c>
      <c r="K958">
        <v>427768</v>
      </c>
      <c r="L958" t="s">
        <v>69</v>
      </c>
      <c r="M958" t="s">
        <v>999</v>
      </c>
      <c r="N958" t="s">
        <v>26</v>
      </c>
      <c r="O958" t="s">
        <v>21</v>
      </c>
      <c r="P958" t="s">
        <v>31</v>
      </c>
      <c r="Q958" t="s">
        <v>23</v>
      </c>
      <c r="R958" t="b">
        <f>OR(Таблица1[[#This Row],[Ежемесячный платеж]]&lt;$AC$5, Таблица1[[#This Row],[Ежемесячный платеж]]&gt;$AC$6)</f>
        <v>0</v>
      </c>
      <c r="S958" s="9">
        <f>(Таблица1[[#This Row],[Размер кредита]]-21824)/(789096-21824)</f>
        <v>0.43591581603394886</v>
      </c>
      <c r="T958" s="9">
        <f>(Таблица1[[#This Row],[Кредитный рейтинг]]-586)/(751-586)</f>
        <v>0.83030303030303032</v>
      </c>
      <c r="U958" s="9">
        <f>Таблица1[[#This Row],[Ежемесячный платеж]]/(Таблица1[[#This Row],[Годовой доход]]/12)</f>
        <v>0.27260589498340815</v>
      </c>
    </row>
    <row r="959" spans="1:21" x14ac:dyDescent="0.3">
      <c r="A959">
        <v>958</v>
      </c>
      <c r="B959">
        <v>1</v>
      </c>
      <c r="C959" s="9">
        <v>155254</v>
      </c>
      <c r="D959">
        <v>730</v>
      </c>
      <c r="E959" s="1">
        <v>1448028</v>
      </c>
      <c r="F959">
        <v>0</v>
      </c>
      <c r="G959">
        <v>15928.46</v>
      </c>
      <c r="H959">
        <v>18.7</v>
      </c>
      <c r="I959">
        <v>14</v>
      </c>
      <c r="J959">
        <v>282131</v>
      </c>
      <c r="K959">
        <v>540870</v>
      </c>
      <c r="L959" t="s">
        <v>24</v>
      </c>
      <c r="M959" t="s">
        <v>1000</v>
      </c>
      <c r="N959" t="s">
        <v>68</v>
      </c>
      <c r="O959" t="s">
        <v>21</v>
      </c>
      <c r="P959" t="s">
        <v>22</v>
      </c>
      <c r="Q959" t="s">
        <v>23</v>
      </c>
      <c r="R959" t="b">
        <f>OR(Таблица1[[#This Row],[Ежемесячный платеж]]&lt;$AC$5, Таблица1[[#This Row],[Ежемесячный платеж]]&gt;$AC$6)</f>
        <v>0</v>
      </c>
      <c r="S959" s="9">
        <f>(Таблица1[[#This Row],[Размер кредита]]-21824)/(789096-21824)</f>
        <v>0.17390182360362427</v>
      </c>
      <c r="T959" s="9">
        <f>(Таблица1[[#This Row],[Кредитный рейтинг]]-586)/(751-586)</f>
        <v>0.87272727272727268</v>
      </c>
      <c r="U959" s="9">
        <f>Таблица1[[#This Row],[Ежемесячный платеж]]/(Таблица1[[#This Row],[Годовой доход]]/12)</f>
        <v>0.13200125964415052</v>
      </c>
    </row>
    <row r="960" spans="1:21" x14ac:dyDescent="0.3">
      <c r="A960">
        <v>959</v>
      </c>
      <c r="B960">
        <v>0</v>
      </c>
      <c r="C960" s="9">
        <v>109692</v>
      </c>
      <c r="D960">
        <v>735</v>
      </c>
      <c r="E960" s="1">
        <v>625252</v>
      </c>
      <c r="F960">
        <v>71</v>
      </c>
      <c r="G960">
        <v>5679.29</v>
      </c>
      <c r="H960">
        <v>17.399999999999999</v>
      </c>
      <c r="I960">
        <v>9</v>
      </c>
      <c r="J960">
        <v>99180</v>
      </c>
      <c r="K960">
        <v>256916</v>
      </c>
      <c r="L960" t="s">
        <v>32</v>
      </c>
      <c r="M960" t="s">
        <v>1001</v>
      </c>
      <c r="N960" t="s">
        <v>26</v>
      </c>
      <c r="O960" t="s">
        <v>34</v>
      </c>
      <c r="P960" t="s">
        <v>22</v>
      </c>
      <c r="Q960" t="s">
        <v>36</v>
      </c>
      <c r="R960" t="b">
        <f>OR(Таблица1[[#This Row],[Ежемесячный платеж]]&lt;$AC$5, Таблица1[[#This Row],[Ежемесячный платеж]]&gt;$AC$6)</f>
        <v>0</v>
      </c>
      <c r="S960" s="9">
        <f>(Таблица1[[#This Row],[Размер кредита]]-21824)/(789096-21824)</f>
        <v>0.11452001376304623</v>
      </c>
      <c r="T960" s="9">
        <f>(Таблица1[[#This Row],[Кредитный рейтинг]]-586)/(751-586)</f>
        <v>0.90303030303030307</v>
      </c>
      <c r="U960" s="9">
        <f>Таблица1[[#This Row],[Ежемесячный платеж]]/(Таблица1[[#This Row],[Годовой доход]]/12)</f>
        <v>0.10899841983712166</v>
      </c>
    </row>
    <row r="961" spans="1:21" x14ac:dyDescent="0.3">
      <c r="A961">
        <v>960</v>
      </c>
      <c r="B961">
        <v>0</v>
      </c>
      <c r="C961" s="9">
        <v>312818</v>
      </c>
      <c r="D961">
        <v>740</v>
      </c>
      <c r="E961" s="1">
        <v>1088111</v>
      </c>
      <c r="F961">
        <v>0</v>
      </c>
      <c r="G961">
        <v>20220.75</v>
      </c>
      <c r="H961">
        <v>11.3</v>
      </c>
      <c r="I961">
        <v>6</v>
      </c>
      <c r="J961">
        <v>356117</v>
      </c>
      <c r="K961">
        <v>556468</v>
      </c>
      <c r="L961" t="s">
        <v>69</v>
      </c>
      <c r="M961" t="s">
        <v>1002</v>
      </c>
      <c r="N961" t="s">
        <v>26</v>
      </c>
      <c r="O961" t="s">
        <v>34</v>
      </c>
      <c r="P961" t="s">
        <v>22</v>
      </c>
      <c r="Q961" t="s">
        <v>23</v>
      </c>
      <c r="R961" t="b">
        <f>OR(Таблица1[[#This Row],[Ежемесячный платеж]]&lt;$AC$5, Таблица1[[#This Row],[Ежемесячный платеж]]&gt;$AC$6)</f>
        <v>0</v>
      </c>
      <c r="S961" s="9">
        <f>(Таблица1[[#This Row],[Размер кредита]]-21824)/(789096-21824)</f>
        <v>0.37925794242458999</v>
      </c>
      <c r="T961" s="9">
        <f>(Таблица1[[#This Row],[Кредитный рейтинг]]-586)/(751-586)</f>
        <v>0.93333333333333335</v>
      </c>
      <c r="U961" s="9">
        <f>Таблица1[[#This Row],[Ежемесячный платеж]]/(Таблица1[[#This Row],[Годовой доход]]/12)</f>
        <v>0.2230002269988999</v>
      </c>
    </row>
    <row r="962" spans="1:21" x14ac:dyDescent="0.3">
      <c r="A962">
        <v>961</v>
      </c>
      <c r="B962">
        <v>0</v>
      </c>
      <c r="C962" s="9">
        <v>414414</v>
      </c>
      <c r="D962">
        <v>740</v>
      </c>
      <c r="E962" s="1">
        <v>813732</v>
      </c>
      <c r="F962">
        <v>0</v>
      </c>
      <c r="G962">
        <v>4428.1400000000003</v>
      </c>
      <c r="H962">
        <v>9.1999999999999993</v>
      </c>
      <c r="I962">
        <v>9</v>
      </c>
      <c r="J962">
        <v>87286</v>
      </c>
      <c r="K962">
        <v>279202</v>
      </c>
      <c r="L962" t="s">
        <v>32</v>
      </c>
      <c r="M962" t="s">
        <v>1003</v>
      </c>
      <c r="N962" t="s">
        <v>26</v>
      </c>
      <c r="O962" t="s">
        <v>21</v>
      </c>
      <c r="P962" t="s">
        <v>22</v>
      </c>
      <c r="Q962" t="s">
        <v>36</v>
      </c>
      <c r="R962" t="b">
        <f>OR(Таблица1[[#This Row],[Ежемесячный платеж]]&lt;$AC$5, Таблица1[[#This Row],[Ежемесячный платеж]]&gt;$AC$6)</f>
        <v>0</v>
      </c>
      <c r="S962" s="9">
        <f>(Таблица1[[#This Row],[Размер кредита]]-21824)/(789096-21824)</f>
        <v>0.51166991627480218</v>
      </c>
      <c r="T962" s="9">
        <f>(Таблица1[[#This Row],[Кредитный рейтинг]]-586)/(751-586)</f>
        <v>0.93333333333333335</v>
      </c>
      <c r="U962" s="9">
        <f>Таблица1[[#This Row],[Ежемесячный платеж]]/(Таблица1[[#This Row],[Годовой доход]]/12)</f>
        <v>6.530120481927712E-2</v>
      </c>
    </row>
    <row r="963" spans="1:21" x14ac:dyDescent="0.3">
      <c r="A963">
        <v>962</v>
      </c>
      <c r="B963">
        <v>0</v>
      </c>
      <c r="C963" s="9">
        <v>43824</v>
      </c>
      <c r="D963">
        <v>720</v>
      </c>
      <c r="E963" s="1">
        <v>408709</v>
      </c>
      <c r="F963">
        <v>9</v>
      </c>
      <c r="G963">
        <v>8106.16</v>
      </c>
      <c r="H963">
        <v>26</v>
      </c>
      <c r="I963">
        <v>7</v>
      </c>
      <c r="J963">
        <v>227278</v>
      </c>
      <c r="K963">
        <v>359502</v>
      </c>
      <c r="L963" t="s">
        <v>24</v>
      </c>
      <c r="M963" t="s">
        <v>1004</v>
      </c>
      <c r="N963" t="s">
        <v>20</v>
      </c>
      <c r="O963" t="s">
        <v>21</v>
      </c>
      <c r="P963" t="s">
        <v>22</v>
      </c>
      <c r="Q963" t="s">
        <v>23</v>
      </c>
      <c r="R963" t="b">
        <f>OR(Таблица1[[#This Row],[Ежемесячный платеж]]&lt;$AC$5, Таблица1[[#This Row],[Ежемесячный платеж]]&gt;$AC$6)</f>
        <v>0</v>
      </c>
      <c r="S963" s="9">
        <f>(Таблица1[[#This Row],[Размер кредита]]-21824)/(789096-21824)</f>
        <v>2.8673012960201857E-2</v>
      </c>
      <c r="T963" s="9">
        <f>(Таблица1[[#This Row],[Кредитный рейтинг]]-586)/(751-586)</f>
        <v>0.81212121212121213</v>
      </c>
      <c r="U963" s="9">
        <f>Таблица1[[#This Row],[Ежемесячный платеж]]/(Таблица1[[#This Row],[Годовой доход]]/12)</f>
        <v>0.23800288224629257</v>
      </c>
    </row>
    <row r="964" spans="1:21" x14ac:dyDescent="0.3">
      <c r="A964">
        <v>963</v>
      </c>
      <c r="B964">
        <v>1</v>
      </c>
      <c r="C964" s="9">
        <v>172700</v>
      </c>
      <c r="D964">
        <v>723</v>
      </c>
      <c r="E964" s="1">
        <v>775542</v>
      </c>
      <c r="F964">
        <v>0</v>
      </c>
      <c r="G964">
        <v>19840.939999999999</v>
      </c>
      <c r="H964">
        <v>14.9</v>
      </c>
      <c r="I964">
        <v>12</v>
      </c>
      <c r="J964">
        <v>109269</v>
      </c>
      <c r="K964">
        <v>213708</v>
      </c>
      <c r="L964" t="s">
        <v>24</v>
      </c>
      <c r="M964" t="s">
        <v>1005</v>
      </c>
      <c r="N964" t="s">
        <v>26</v>
      </c>
      <c r="O964" t="s">
        <v>34</v>
      </c>
      <c r="P964" t="s">
        <v>22</v>
      </c>
      <c r="Q964" t="s">
        <v>23</v>
      </c>
      <c r="R964" t="b">
        <f>OR(Таблица1[[#This Row],[Ежемесячный платеж]]&lt;$AC$5, Таблица1[[#This Row],[Ежемесячный платеж]]&gt;$AC$6)</f>
        <v>0</v>
      </c>
      <c r="S964" s="9">
        <f>(Таблица1[[#This Row],[Размер кредита]]-21824)/(789096-21824)</f>
        <v>0.19663952288106434</v>
      </c>
      <c r="T964" s="9">
        <f>(Таблица1[[#This Row],[Кредитный рейтинг]]-586)/(751-586)</f>
        <v>0.83030303030303032</v>
      </c>
      <c r="U964" s="9">
        <f>Таблица1[[#This Row],[Ежемесячный платеж]]/(Таблица1[[#This Row],[Годовой доход]]/12)</f>
        <v>0.30699985300602672</v>
      </c>
    </row>
    <row r="965" spans="1:21" x14ac:dyDescent="0.3">
      <c r="A965">
        <v>964</v>
      </c>
      <c r="B965">
        <v>0</v>
      </c>
      <c r="C965" s="9">
        <v>64988</v>
      </c>
      <c r="D965">
        <f>$Y$13</f>
        <v>723</v>
      </c>
      <c r="E965">
        <f>$AB$13</f>
        <v>1168044</v>
      </c>
      <c r="F965">
        <v>0</v>
      </c>
      <c r="G965">
        <v>7577.96</v>
      </c>
      <c r="H965">
        <v>23.1</v>
      </c>
      <c r="I965">
        <v>9</v>
      </c>
      <c r="J965">
        <v>5833</v>
      </c>
      <c r="K965">
        <v>1126620</v>
      </c>
      <c r="L965" t="s">
        <v>24</v>
      </c>
      <c r="M965" t="s">
        <v>1006</v>
      </c>
      <c r="N965" t="s">
        <v>26</v>
      </c>
      <c r="O965" t="s">
        <v>34</v>
      </c>
      <c r="P965" t="s">
        <v>22</v>
      </c>
      <c r="Q965" t="s">
        <v>23</v>
      </c>
      <c r="R965" t="b">
        <f>OR(Таблица1[[#This Row],[Ежемесячный платеж]]&lt;$AC$5, Таблица1[[#This Row],[Ежемесячный платеж]]&gt;$AC$6)</f>
        <v>0</v>
      </c>
      <c r="S965" s="9">
        <f>(Таблица1[[#This Row],[Размер кредита]]-21824)/(789096-21824)</f>
        <v>5.6256451427916049E-2</v>
      </c>
      <c r="T965" s="9">
        <f>(Таблица1[[#This Row],[Кредитный рейтинг]]-586)/(751-586)</f>
        <v>0.83030303030303032</v>
      </c>
      <c r="U965" s="9">
        <f>Таблица1[[#This Row],[Ежемесячный платеж]]/(Таблица1[[#This Row],[Годовой доход]]/12)</f>
        <v>7.7852820612922119E-2</v>
      </c>
    </row>
    <row r="966" spans="1:21" x14ac:dyDescent="0.3">
      <c r="A966">
        <v>965</v>
      </c>
      <c r="B966">
        <v>1</v>
      </c>
      <c r="C966" s="9">
        <v>269104</v>
      </c>
      <c r="D966">
        <v>715</v>
      </c>
      <c r="E966" s="1">
        <v>1297567</v>
      </c>
      <c r="F966">
        <v>48</v>
      </c>
      <c r="G966">
        <v>13624.52</v>
      </c>
      <c r="H966">
        <v>20.3</v>
      </c>
      <c r="I966">
        <v>20</v>
      </c>
      <c r="J966">
        <v>182020</v>
      </c>
      <c r="K966">
        <v>609158</v>
      </c>
      <c r="L966" t="s">
        <v>24</v>
      </c>
      <c r="M966" t="s">
        <v>1007</v>
      </c>
      <c r="N966" t="s">
        <v>20</v>
      </c>
      <c r="O966" t="s">
        <v>21</v>
      </c>
      <c r="P966" t="s">
        <v>31</v>
      </c>
      <c r="Q966" t="s">
        <v>23</v>
      </c>
      <c r="R966" t="b">
        <f>OR(Таблица1[[#This Row],[Ежемесячный платеж]]&lt;$AC$5, Таблица1[[#This Row],[Ежемесячный платеж]]&gt;$AC$6)</f>
        <v>0</v>
      </c>
      <c r="S966" s="9">
        <f>(Таблица1[[#This Row],[Размер кредита]]-21824)/(789096-21824)</f>
        <v>0.32228466567266889</v>
      </c>
      <c r="T966" s="9">
        <f>(Таблица1[[#This Row],[Кредитный рейтинг]]-586)/(751-586)</f>
        <v>0.78181818181818186</v>
      </c>
      <c r="U966" s="9">
        <f>Таблица1[[#This Row],[Ежемесячный платеж]]/(Таблица1[[#This Row],[Годовой доход]]/12)</f>
        <v>0.12600061499714466</v>
      </c>
    </row>
    <row r="967" spans="1:21" x14ac:dyDescent="0.3">
      <c r="A967">
        <v>966</v>
      </c>
      <c r="B967">
        <v>2</v>
      </c>
      <c r="C967" s="9">
        <v>327096</v>
      </c>
      <c r="D967">
        <v>735</v>
      </c>
      <c r="E967" s="1">
        <v>903982</v>
      </c>
      <c r="F967">
        <v>0</v>
      </c>
      <c r="G967">
        <v>25612.57</v>
      </c>
      <c r="H967">
        <v>17.899999999999999</v>
      </c>
      <c r="I967">
        <v>17</v>
      </c>
      <c r="J967">
        <v>178524</v>
      </c>
      <c r="K967">
        <v>410124</v>
      </c>
      <c r="L967" t="s">
        <v>41</v>
      </c>
      <c r="M967" t="s">
        <v>1008</v>
      </c>
      <c r="N967" t="s">
        <v>26</v>
      </c>
      <c r="O967" t="s">
        <v>21</v>
      </c>
      <c r="P967" t="s">
        <v>22</v>
      </c>
      <c r="Q967" t="s">
        <v>23</v>
      </c>
      <c r="R967" t="b">
        <f>OR(Таблица1[[#This Row],[Ежемесячный платеж]]&lt;$AC$5, Таблица1[[#This Row],[Ежемесячный платеж]]&gt;$AC$6)</f>
        <v>0</v>
      </c>
      <c r="S967" s="9">
        <f>(Таблица1[[#This Row],[Размер кредита]]-21824)/(789096-21824)</f>
        <v>0.39786672783576099</v>
      </c>
      <c r="T967" s="9">
        <f>(Таблица1[[#This Row],[Кредитный рейтинг]]-586)/(751-586)</f>
        <v>0.90303030303030307</v>
      </c>
      <c r="U967" s="9">
        <f>Таблица1[[#This Row],[Ежемесячный платеж]]/(Таблица1[[#This Row],[Годовой доход]]/12)</f>
        <v>0.33999663710118122</v>
      </c>
    </row>
    <row r="968" spans="1:21" x14ac:dyDescent="0.3">
      <c r="A968">
        <v>967</v>
      </c>
      <c r="B968">
        <v>0</v>
      </c>
      <c r="C968" s="9">
        <v>449636</v>
      </c>
      <c r="D968">
        <v>721</v>
      </c>
      <c r="E968" s="1">
        <v>2524093</v>
      </c>
      <c r="F968">
        <v>0</v>
      </c>
      <c r="G968">
        <v>20339.88</v>
      </c>
      <c r="H968">
        <v>16.399999999999999</v>
      </c>
      <c r="I968">
        <v>17</v>
      </c>
      <c r="J968">
        <v>523697</v>
      </c>
      <c r="K968">
        <v>1295668</v>
      </c>
      <c r="L968" t="s">
        <v>37</v>
      </c>
      <c r="M968" t="s">
        <v>1009</v>
      </c>
      <c r="N968" t="s">
        <v>26</v>
      </c>
      <c r="O968" t="s">
        <v>34</v>
      </c>
      <c r="P968" t="s">
        <v>22</v>
      </c>
      <c r="Q968" t="s">
        <v>23</v>
      </c>
      <c r="R968" t="b">
        <f>OR(Таблица1[[#This Row],[Ежемесячный платеж]]&lt;$AC$5, Таблица1[[#This Row],[Ежемесячный платеж]]&gt;$AC$6)</f>
        <v>0</v>
      </c>
      <c r="S968" s="9">
        <f>(Таблица1[[#This Row],[Размер кредита]]-21824)/(789096-21824)</f>
        <v>0.55757541002408528</v>
      </c>
      <c r="T968" s="9">
        <f>(Таблица1[[#This Row],[Кредитный рейтинг]]-586)/(751-586)</f>
        <v>0.81818181818181823</v>
      </c>
      <c r="U968" s="9">
        <f>Таблица1[[#This Row],[Ежемесячный платеж]]/(Таблица1[[#This Row],[Годовой доход]]/12)</f>
        <v>9.6699511468079827E-2</v>
      </c>
    </row>
    <row r="969" spans="1:21" x14ac:dyDescent="0.3">
      <c r="A969">
        <v>968</v>
      </c>
      <c r="B969">
        <v>2</v>
      </c>
      <c r="D969">
        <v>689</v>
      </c>
      <c r="E969" s="1">
        <v>866799</v>
      </c>
      <c r="F969">
        <v>7</v>
      </c>
      <c r="G969">
        <v>3676.69</v>
      </c>
      <c r="H969">
        <v>14.1</v>
      </c>
      <c r="I969">
        <v>4</v>
      </c>
      <c r="J969">
        <v>86051</v>
      </c>
      <c r="K969">
        <v>167750</v>
      </c>
      <c r="L969" t="s">
        <v>50</v>
      </c>
      <c r="M969" t="s">
        <v>224</v>
      </c>
      <c r="N969" t="s">
        <v>26</v>
      </c>
      <c r="O969" t="s">
        <v>21</v>
      </c>
      <c r="P969" t="s">
        <v>31</v>
      </c>
      <c r="Q969" t="s">
        <v>23</v>
      </c>
      <c r="R969" t="b">
        <f>OR(Таблица1[[#This Row],[Ежемесячный платеж]]&lt;$AC$5, Таблица1[[#This Row],[Ежемесячный платеж]]&gt;$AC$6)</f>
        <v>0</v>
      </c>
      <c r="T969" s="9">
        <f>(Таблица1[[#This Row],[Кредитный рейтинг]]-586)/(751-586)</f>
        <v>0.62424242424242427</v>
      </c>
      <c r="U969" s="9">
        <f>Таблица1[[#This Row],[Ежемесячный платеж]]/(Таблица1[[#This Row],[Годовой доход]]/12)</f>
        <v>5.0900243309002433E-2</v>
      </c>
    </row>
    <row r="970" spans="1:21" x14ac:dyDescent="0.3">
      <c r="A970">
        <v>969</v>
      </c>
      <c r="B970">
        <v>1</v>
      </c>
      <c r="C970" s="9">
        <v>214566</v>
      </c>
      <c r="D970">
        <v>694</v>
      </c>
      <c r="E970" s="1">
        <v>965105</v>
      </c>
      <c r="F970">
        <v>0</v>
      </c>
      <c r="G970">
        <v>8525.11</v>
      </c>
      <c r="H970">
        <v>14.8</v>
      </c>
      <c r="I970">
        <v>5</v>
      </c>
      <c r="J970">
        <v>127452</v>
      </c>
      <c r="K970">
        <v>163064</v>
      </c>
      <c r="L970" t="s">
        <v>52</v>
      </c>
      <c r="M970" t="s">
        <v>1010</v>
      </c>
      <c r="N970" t="s">
        <v>26</v>
      </c>
      <c r="O970" t="s">
        <v>34</v>
      </c>
      <c r="P970" t="s">
        <v>22</v>
      </c>
      <c r="Q970" t="s">
        <v>23</v>
      </c>
      <c r="R970" t="b">
        <f>OR(Таблица1[[#This Row],[Ежемесячный платеж]]&lt;$AC$5, Таблица1[[#This Row],[Ежемесячный платеж]]&gt;$AC$6)</f>
        <v>0</v>
      </c>
      <c r="S970" s="9">
        <f>(Таблица1[[#This Row],[Размер кредита]]-21824)/(789096-21824)</f>
        <v>0.25120426654432848</v>
      </c>
      <c r="T970" s="9">
        <f>(Таблица1[[#This Row],[Кредитный рейтинг]]-586)/(751-586)</f>
        <v>0.65454545454545454</v>
      </c>
      <c r="U970" s="9">
        <f>Таблица1[[#This Row],[Ежемесячный платеж]]/(Таблица1[[#This Row],[Годовой доход]]/12)</f>
        <v>0.10600019686977065</v>
      </c>
    </row>
    <row r="971" spans="1:21" x14ac:dyDescent="0.3">
      <c r="A971">
        <v>970</v>
      </c>
      <c r="B971">
        <v>0</v>
      </c>
      <c r="C971" s="9">
        <v>306064</v>
      </c>
      <c r="D971">
        <f>$Y$13</f>
        <v>723</v>
      </c>
      <c r="E971">
        <f>$AB$13</f>
        <v>1168044</v>
      </c>
      <c r="F971">
        <v>0</v>
      </c>
      <c r="G971">
        <v>5997.92</v>
      </c>
      <c r="H971">
        <v>18.3</v>
      </c>
      <c r="I971">
        <v>3</v>
      </c>
      <c r="J971">
        <v>321784</v>
      </c>
      <c r="K971">
        <v>412610</v>
      </c>
      <c r="L971" t="s">
        <v>47</v>
      </c>
      <c r="M971" t="s">
        <v>1011</v>
      </c>
      <c r="N971" t="s">
        <v>68</v>
      </c>
      <c r="O971" t="s">
        <v>28</v>
      </c>
      <c r="P971" t="s">
        <v>22</v>
      </c>
      <c r="Q971" t="s">
        <v>23</v>
      </c>
      <c r="R971" t="b">
        <f>OR(Таблица1[[#This Row],[Ежемесячный платеж]]&lt;$AC$5, Таблица1[[#This Row],[Ежемесячный платеж]]&gt;$AC$6)</f>
        <v>0</v>
      </c>
      <c r="S971" s="9">
        <f>(Таблица1[[#This Row],[Размер кредита]]-21824)/(789096-21824)</f>
        <v>0.370455327445808</v>
      </c>
      <c r="T971" s="9">
        <f>(Таблица1[[#This Row],[Кредитный рейтинг]]-586)/(751-586)</f>
        <v>0.83030303030303032</v>
      </c>
      <c r="U971" s="9">
        <f>Таблица1[[#This Row],[Ежемесячный платеж]]/(Таблица1[[#This Row],[Годовой доход]]/12)</f>
        <v>6.1620144446613311E-2</v>
      </c>
    </row>
    <row r="972" spans="1:21" x14ac:dyDescent="0.3">
      <c r="A972">
        <v>971</v>
      </c>
      <c r="B972">
        <v>1</v>
      </c>
      <c r="C972" s="9">
        <v>438636</v>
      </c>
      <c r="D972">
        <f>$Y$13</f>
        <v>723</v>
      </c>
      <c r="E972">
        <f>$AB$13</f>
        <v>1168044</v>
      </c>
      <c r="F972">
        <v>0</v>
      </c>
      <c r="G972">
        <v>21876.98</v>
      </c>
      <c r="H972">
        <v>14</v>
      </c>
      <c r="I972">
        <v>18</v>
      </c>
      <c r="J972">
        <v>189601</v>
      </c>
      <c r="K972">
        <v>359898</v>
      </c>
      <c r="L972" t="s">
        <v>24</v>
      </c>
      <c r="M972" t="s">
        <v>1012</v>
      </c>
      <c r="N972" t="s">
        <v>26</v>
      </c>
      <c r="O972" t="s">
        <v>21</v>
      </c>
      <c r="P972" t="s">
        <v>31</v>
      </c>
      <c r="Q972" t="s">
        <v>36</v>
      </c>
      <c r="R972" t="b">
        <f>OR(Таблица1[[#This Row],[Ежемесячный платеж]]&lt;$AC$5, Таблица1[[#This Row],[Ежемесячный платеж]]&gt;$AC$6)</f>
        <v>0</v>
      </c>
      <c r="S972" s="9">
        <f>(Таблица1[[#This Row],[Размер кредита]]-21824)/(789096-21824)</f>
        <v>0.54323890354398441</v>
      </c>
      <c r="T972" s="9">
        <f>(Таблица1[[#This Row],[Кредитный рейтинг]]-586)/(751-586)</f>
        <v>0.83030303030303032</v>
      </c>
      <c r="U972" s="9">
        <f>Таблица1[[#This Row],[Ежемесячный платеж]]/(Таблица1[[#This Row],[Годовой доход]]/12)</f>
        <v>0.22475502635174702</v>
      </c>
    </row>
    <row r="973" spans="1:21" x14ac:dyDescent="0.3">
      <c r="A973">
        <v>972</v>
      </c>
      <c r="B973">
        <v>0</v>
      </c>
      <c r="C973" s="9">
        <v>87252</v>
      </c>
      <c r="D973">
        <v>746</v>
      </c>
      <c r="E973" s="1">
        <v>1789667</v>
      </c>
      <c r="F973">
        <v>0</v>
      </c>
      <c r="G973">
        <v>16121.88</v>
      </c>
      <c r="H973">
        <v>14.6</v>
      </c>
      <c r="I973">
        <v>9</v>
      </c>
      <c r="J973">
        <v>315609</v>
      </c>
      <c r="K973">
        <v>609070</v>
      </c>
      <c r="L973" t="s">
        <v>41</v>
      </c>
      <c r="M973" t="s">
        <v>1013</v>
      </c>
      <c r="N973" t="s">
        <v>26</v>
      </c>
      <c r="O973" t="s">
        <v>21</v>
      </c>
      <c r="P973" t="s">
        <v>22</v>
      </c>
      <c r="Q973" t="s">
        <v>23</v>
      </c>
      <c r="R973" t="b">
        <f>OR(Таблица1[[#This Row],[Ежемесячный платеж]]&lt;$AC$5, Таблица1[[#This Row],[Ежемесячный платеж]]&gt;$AC$6)</f>
        <v>0</v>
      </c>
      <c r="S973" s="9">
        <f>(Таблица1[[#This Row],[Размер кредита]]-21824)/(789096-21824)</f>
        <v>8.5273540543640322E-2</v>
      </c>
      <c r="T973" s="9">
        <f>(Таблица1[[#This Row],[Кредитный рейтинг]]-586)/(751-586)</f>
        <v>0.96969696969696972</v>
      </c>
      <c r="U973" s="9">
        <f>Таблица1[[#This Row],[Ежемесячный платеж]]/(Таблица1[[#This Row],[Годовой доход]]/12)</f>
        <v>0.10809975263554616</v>
      </c>
    </row>
    <row r="974" spans="1:21" x14ac:dyDescent="0.3">
      <c r="A974">
        <v>973</v>
      </c>
      <c r="B974">
        <v>1</v>
      </c>
      <c r="C974" s="9">
        <v>143506</v>
      </c>
      <c r="D974">
        <v>739</v>
      </c>
      <c r="E974" s="1">
        <v>896135</v>
      </c>
      <c r="F974">
        <v>0</v>
      </c>
      <c r="G974">
        <v>13740.61</v>
      </c>
      <c r="H974">
        <v>10.4</v>
      </c>
      <c r="I974">
        <v>12</v>
      </c>
      <c r="J974">
        <v>148504</v>
      </c>
      <c r="K974">
        <v>428824</v>
      </c>
      <c r="L974" t="s">
        <v>50</v>
      </c>
      <c r="M974" t="s">
        <v>1014</v>
      </c>
      <c r="N974" t="s">
        <v>26</v>
      </c>
      <c r="O974" t="s">
        <v>34</v>
      </c>
      <c r="P974" t="s">
        <v>22</v>
      </c>
      <c r="Q974" t="s">
        <v>23</v>
      </c>
      <c r="R974" t="b">
        <f>OR(Таблица1[[#This Row],[Ежемесячный платеж]]&lt;$AC$5, Таблица1[[#This Row],[Ежемесячный платеж]]&gt;$AC$6)</f>
        <v>0</v>
      </c>
      <c r="S974" s="9">
        <f>(Таблица1[[#This Row],[Размер кредита]]-21824)/(789096-21824)</f>
        <v>0.15859043468287648</v>
      </c>
      <c r="T974" s="9">
        <f>(Таблица1[[#This Row],[Кредитный рейтинг]]-586)/(751-586)</f>
        <v>0.92727272727272725</v>
      </c>
      <c r="U974" s="9">
        <f>Таблица1[[#This Row],[Ежемесячный платеж]]/(Таблица1[[#This Row],[Годовой доход]]/12)</f>
        <v>0.18399830382699034</v>
      </c>
    </row>
    <row r="975" spans="1:21" x14ac:dyDescent="0.3">
      <c r="A975">
        <v>974</v>
      </c>
      <c r="B975">
        <v>0</v>
      </c>
      <c r="C975" s="9">
        <v>183348</v>
      </c>
      <c r="D975">
        <f>$Y$13</f>
        <v>723</v>
      </c>
      <c r="E975">
        <f>$AB$13</f>
        <v>1168044</v>
      </c>
      <c r="F975">
        <v>0</v>
      </c>
      <c r="G975">
        <v>8708.65</v>
      </c>
      <c r="H975">
        <v>19.399999999999999</v>
      </c>
      <c r="I975">
        <v>5</v>
      </c>
      <c r="J975">
        <v>154470</v>
      </c>
      <c r="K975">
        <v>436260</v>
      </c>
      <c r="L975" t="s">
        <v>41</v>
      </c>
      <c r="M975" t="s">
        <v>1015</v>
      </c>
      <c r="N975" t="s">
        <v>26</v>
      </c>
      <c r="O975" t="s">
        <v>34</v>
      </c>
      <c r="P975" t="s">
        <v>22</v>
      </c>
      <c r="Q975" t="s">
        <v>23</v>
      </c>
      <c r="R975" t="b">
        <f>OR(Таблица1[[#This Row],[Ежемесячный платеж]]&lt;$AC$5, Таблица1[[#This Row],[Ежемесячный платеж]]&gt;$AC$6)</f>
        <v>0</v>
      </c>
      <c r="S975" s="9">
        <f>(Таблица1[[#This Row],[Размер кредита]]-21824)/(789096-21824)</f>
        <v>0.21051726115380204</v>
      </c>
      <c r="T975" s="9">
        <f>(Таблица1[[#This Row],[Кредитный рейтинг]]-586)/(751-586)</f>
        <v>0.83030303030303032</v>
      </c>
      <c r="U975" s="9">
        <f>Таблица1[[#This Row],[Ежемесячный платеж]]/(Таблица1[[#This Row],[Годовой доход]]/12)</f>
        <v>8.9469061097013469E-2</v>
      </c>
    </row>
    <row r="976" spans="1:21" x14ac:dyDescent="0.3">
      <c r="A976">
        <v>975</v>
      </c>
      <c r="B976">
        <v>0</v>
      </c>
      <c r="C976" s="9">
        <v>92642</v>
      </c>
      <c r="D976">
        <v>689</v>
      </c>
      <c r="E976" s="1">
        <v>571539</v>
      </c>
      <c r="F976">
        <v>10</v>
      </c>
      <c r="G976">
        <v>5924.96</v>
      </c>
      <c r="H976">
        <v>12.1</v>
      </c>
      <c r="I976">
        <v>6</v>
      </c>
      <c r="J976">
        <v>26961</v>
      </c>
      <c r="K976">
        <v>90464</v>
      </c>
      <c r="L976" t="s">
        <v>41</v>
      </c>
      <c r="M976" t="s">
        <v>1016</v>
      </c>
      <c r="N976" t="s">
        <v>20</v>
      </c>
      <c r="O976" t="s">
        <v>34</v>
      </c>
      <c r="P976" t="s">
        <v>31</v>
      </c>
      <c r="Q976" t="s">
        <v>23</v>
      </c>
      <c r="R976" t="b">
        <f>OR(Таблица1[[#This Row],[Ежемесячный платеж]]&lt;$AC$5, Таблица1[[#This Row],[Ежемесячный платеж]]&gt;$AC$6)</f>
        <v>0</v>
      </c>
      <c r="S976" s="9">
        <f>(Таблица1[[#This Row],[Размер кредита]]-21824)/(789096-21824)</f>
        <v>9.2298428718889783E-2</v>
      </c>
      <c r="T976" s="9">
        <f>(Таблица1[[#This Row],[Кредитный рейтинг]]-586)/(751-586)</f>
        <v>0.62424242424242427</v>
      </c>
      <c r="U976" s="9">
        <f>Таблица1[[#This Row],[Ежемесячный платеж]]/(Таблица1[[#This Row],[Годовой доход]]/12)</f>
        <v>0.12440011967687245</v>
      </c>
    </row>
    <row r="977" spans="1:21" x14ac:dyDescent="0.3">
      <c r="A977">
        <v>976</v>
      </c>
      <c r="B977">
        <v>0</v>
      </c>
      <c r="C977" s="9">
        <v>214874</v>
      </c>
      <c r="D977">
        <v>731</v>
      </c>
      <c r="E977" s="1">
        <v>1540254</v>
      </c>
      <c r="F977">
        <v>2</v>
      </c>
      <c r="G977">
        <v>19766.650000000001</v>
      </c>
      <c r="H977">
        <v>13.5</v>
      </c>
      <c r="I977">
        <v>10</v>
      </c>
      <c r="J977">
        <v>155477</v>
      </c>
      <c r="K977">
        <v>346214</v>
      </c>
      <c r="L977" t="s">
        <v>24</v>
      </c>
      <c r="M977" t="s">
        <v>1017</v>
      </c>
      <c r="N977" t="s">
        <v>26</v>
      </c>
      <c r="O977" t="s">
        <v>34</v>
      </c>
      <c r="P977" t="s">
        <v>31</v>
      </c>
      <c r="Q977" t="s">
        <v>23</v>
      </c>
      <c r="R977" t="b">
        <f>OR(Таблица1[[#This Row],[Ежемесячный платеж]]&lt;$AC$5, Таблица1[[#This Row],[Ежемесячный платеж]]&gt;$AC$6)</f>
        <v>0</v>
      </c>
      <c r="S977" s="9">
        <f>(Таблица1[[#This Row],[Размер кредита]]-21824)/(789096-21824)</f>
        <v>0.25160568872577133</v>
      </c>
      <c r="T977" s="9">
        <f>(Таблица1[[#This Row],[Кредитный рейтинг]]-586)/(751-586)</f>
        <v>0.87878787878787878</v>
      </c>
      <c r="U977" s="9">
        <f>Таблица1[[#This Row],[Ежемесячный платеж]]/(Таблица1[[#This Row],[Годовой доход]]/12)</f>
        <v>0.15400044408259939</v>
      </c>
    </row>
    <row r="978" spans="1:21" x14ac:dyDescent="0.3">
      <c r="A978">
        <v>977</v>
      </c>
      <c r="B978">
        <v>0</v>
      </c>
      <c r="C978" s="9">
        <v>372196</v>
      </c>
      <c r="D978">
        <v>665</v>
      </c>
      <c r="E978" s="1">
        <v>1243645</v>
      </c>
      <c r="F978">
        <v>0</v>
      </c>
      <c r="G978">
        <v>10778.13</v>
      </c>
      <c r="H978">
        <v>16</v>
      </c>
      <c r="I978">
        <v>6</v>
      </c>
      <c r="J978">
        <v>147269</v>
      </c>
      <c r="K978">
        <v>212608</v>
      </c>
      <c r="L978" t="s">
        <v>32</v>
      </c>
      <c r="M978" t="s">
        <v>1018</v>
      </c>
      <c r="N978" t="s">
        <v>26</v>
      </c>
      <c r="O978" t="s">
        <v>21</v>
      </c>
      <c r="P978" t="s">
        <v>31</v>
      </c>
      <c r="Q978" t="s">
        <v>23</v>
      </c>
      <c r="R978" t="b">
        <f>OR(Таблица1[[#This Row],[Ежемесячный платеж]]&lt;$AC$5, Таблица1[[#This Row],[Ежемесячный платеж]]&gt;$AC$6)</f>
        <v>0</v>
      </c>
      <c r="S978" s="9">
        <f>(Таблица1[[#This Row],[Размер кредита]]-21824)/(789096-21824)</f>
        <v>0.45664640440417481</v>
      </c>
      <c r="T978" s="9">
        <f>(Таблица1[[#This Row],[Кредитный рейтинг]]-586)/(751-586)</f>
        <v>0.47878787878787876</v>
      </c>
      <c r="U978" s="9">
        <f>Таблица1[[#This Row],[Ежемесячный платеж]]/(Таблица1[[#This Row],[Годовой доход]]/12)</f>
        <v>0.10399877778626537</v>
      </c>
    </row>
    <row r="979" spans="1:21" x14ac:dyDescent="0.3">
      <c r="A979">
        <v>978</v>
      </c>
      <c r="B979">
        <v>0</v>
      </c>
      <c r="C979" s="9">
        <v>153780</v>
      </c>
      <c r="D979">
        <v>710</v>
      </c>
      <c r="E979" s="1">
        <v>531202</v>
      </c>
      <c r="F979">
        <v>0</v>
      </c>
      <c r="G979">
        <v>8632.08</v>
      </c>
      <c r="H979">
        <v>18</v>
      </c>
      <c r="I979">
        <v>8</v>
      </c>
      <c r="J979">
        <v>72637</v>
      </c>
      <c r="K979">
        <v>426976</v>
      </c>
      <c r="L979" t="s">
        <v>29</v>
      </c>
      <c r="M979" t="s">
        <v>1019</v>
      </c>
      <c r="N979" t="s">
        <v>68</v>
      </c>
      <c r="O979" t="s">
        <v>28</v>
      </c>
      <c r="P979" t="s">
        <v>22</v>
      </c>
      <c r="Q979" t="s">
        <v>23</v>
      </c>
      <c r="R979" t="b">
        <f>OR(Таблица1[[#This Row],[Ежемесячный платеж]]&lt;$AC$5, Таблица1[[#This Row],[Ежемесячный платеж]]&gt;$AC$6)</f>
        <v>0</v>
      </c>
      <c r="S979" s="9">
        <f>(Таблица1[[#This Row],[Размер кредита]]-21824)/(789096-21824)</f>
        <v>0.17198073173529074</v>
      </c>
      <c r="T979" s="9">
        <f>(Таблица1[[#This Row],[Кредитный рейтинг]]-586)/(751-586)</f>
        <v>0.75151515151515147</v>
      </c>
      <c r="U979" s="9">
        <f>Таблица1[[#This Row],[Ежемесячный платеж]]/(Таблица1[[#This Row],[Годовой доход]]/12)</f>
        <v>0.19500107303812861</v>
      </c>
    </row>
    <row r="980" spans="1:21" x14ac:dyDescent="0.3">
      <c r="A980">
        <v>979</v>
      </c>
      <c r="B980">
        <v>0</v>
      </c>
      <c r="C980" s="9">
        <v>787644</v>
      </c>
      <c r="D980">
        <v>683</v>
      </c>
      <c r="E980" s="1">
        <v>1749159</v>
      </c>
      <c r="F980">
        <v>5</v>
      </c>
      <c r="G980">
        <v>24634.07</v>
      </c>
      <c r="H980">
        <v>22.1</v>
      </c>
      <c r="I980">
        <v>17</v>
      </c>
      <c r="J980">
        <v>362406</v>
      </c>
      <c r="K980">
        <v>670340</v>
      </c>
      <c r="L980" t="s">
        <v>24</v>
      </c>
      <c r="M980" t="s">
        <v>1020</v>
      </c>
      <c r="N980" t="s">
        <v>26</v>
      </c>
      <c r="O980" t="s">
        <v>21</v>
      </c>
      <c r="P980" t="s">
        <v>31</v>
      </c>
      <c r="Q980" t="s">
        <v>23</v>
      </c>
      <c r="R980" t="b">
        <f>OR(Таблица1[[#This Row],[Ежемесячный платеж]]&lt;$AC$5, Таблица1[[#This Row],[Ежемесячный платеж]]&gt;$AC$6)</f>
        <v>0</v>
      </c>
      <c r="S980" s="9">
        <f>(Таблица1[[#This Row],[Размер кредита]]-21824)/(789096-21824)</f>
        <v>0.99810758114462672</v>
      </c>
      <c r="T980" s="9">
        <f>(Таблица1[[#This Row],[Кредитный рейтинг]]-586)/(751-586)</f>
        <v>0.58787878787878789</v>
      </c>
      <c r="U980" s="9">
        <f>Таблица1[[#This Row],[Ежемесячный платеж]]/(Таблица1[[#This Row],[Годовой доход]]/12)</f>
        <v>0.16900055398051292</v>
      </c>
    </row>
    <row r="981" spans="1:21" x14ac:dyDescent="0.3">
      <c r="A981">
        <v>980</v>
      </c>
      <c r="B981">
        <v>1</v>
      </c>
      <c r="C981" s="9">
        <v>222816</v>
      </c>
      <c r="D981">
        <v>725</v>
      </c>
      <c r="E981" s="1">
        <v>1520209</v>
      </c>
      <c r="F981">
        <v>28</v>
      </c>
      <c r="G981">
        <v>12491.17</v>
      </c>
      <c r="H981">
        <v>17.5</v>
      </c>
      <c r="I981">
        <v>7</v>
      </c>
      <c r="J981">
        <v>71079</v>
      </c>
      <c r="K981">
        <v>104720</v>
      </c>
      <c r="L981" t="s">
        <v>52</v>
      </c>
      <c r="M981" t="s">
        <v>1021</v>
      </c>
      <c r="N981" t="s">
        <v>26</v>
      </c>
      <c r="O981" t="s">
        <v>34</v>
      </c>
      <c r="P981" t="s">
        <v>22</v>
      </c>
      <c r="Q981" t="s">
        <v>36</v>
      </c>
      <c r="R981" t="b">
        <f>OR(Таблица1[[#This Row],[Ежемесячный платеж]]&lt;$AC$5, Таблица1[[#This Row],[Ежемесячный платеж]]&gt;$AC$6)</f>
        <v>0</v>
      </c>
      <c r="S981" s="9">
        <f>(Таблица1[[#This Row],[Размер кредита]]-21824)/(789096-21824)</f>
        <v>0.26195664640440419</v>
      </c>
      <c r="T981" s="9">
        <f>(Таблица1[[#This Row],[Кредитный рейтинг]]-586)/(751-586)</f>
        <v>0.84242424242424241</v>
      </c>
      <c r="U981" s="9">
        <f>Таблица1[[#This Row],[Ежемесячный платеж]]/(Таблица1[[#This Row],[Годовой доход]]/12)</f>
        <v>9.8600942370424077E-2</v>
      </c>
    </row>
    <row r="982" spans="1:21" x14ac:dyDescent="0.3">
      <c r="A982">
        <v>981</v>
      </c>
      <c r="B982">
        <v>0</v>
      </c>
      <c r="D982">
        <v>718</v>
      </c>
      <c r="E982" s="1">
        <v>3186889</v>
      </c>
      <c r="F982">
        <v>2</v>
      </c>
      <c r="G982">
        <v>30540.98</v>
      </c>
      <c r="H982">
        <v>26.9</v>
      </c>
      <c r="I982">
        <v>14</v>
      </c>
      <c r="J982">
        <v>598139</v>
      </c>
      <c r="K982">
        <v>872256</v>
      </c>
      <c r="L982" t="s">
        <v>24</v>
      </c>
      <c r="M982" s="2" t="s">
        <v>1022</v>
      </c>
      <c r="N982" t="s">
        <v>26</v>
      </c>
      <c r="O982" t="s">
        <v>21</v>
      </c>
      <c r="P982" t="s">
        <v>31</v>
      </c>
      <c r="Q982" t="s">
        <v>23</v>
      </c>
      <c r="R982" t="b">
        <f>OR(Таблица1[[#This Row],[Ежемесячный платеж]]&lt;$AC$5, Таблица1[[#This Row],[Ежемесячный платеж]]&gt;$AC$6)</f>
        <v>0</v>
      </c>
      <c r="T982" s="9">
        <f>(Таблица1[[#This Row],[Кредитный рейтинг]]-586)/(751-586)</f>
        <v>0.8</v>
      </c>
      <c r="U982" s="9">
        <f>Таблица1[[#This Row],[Ежемесячный платеж]]/(Таблица1[[#This Row],[Годовой доход]]/12)</f>
        <v>0.11499985095182168</v>
      </c>
    </row>
    <row r="983" spans="1:21" x14ac:dyDescent="0.3">
      <c r="A983">
        <v>982</v>
      </c>
      <c r="B983">
        <v>0</v>
      </c>
      <c r="C983" s="9">
        <v>268730</v>
      </c>
      <c r="D983">
        <v>681</v>
      </c>
      <c r="E983" s="1">
        <v>1218432</v>
      </c>
      <c r="F983">
        <v>0</v>
      </c>
      <c r="G983">
        <v>19819.66</v>
      </c>
      <c r="H983">
        <v>16.3</v>
      </c>
      <c r="I983">
        <v>6</v>
      </c>
      <c r="J983">
        <v>265677</v>
      </c>
      <c r="K983">
        <v>383086</v>
      </c>
      <c r="L983" t="s">
        <v>41</v>
      </c>
      <c r="M983" t="s">
        <v>1023</v>
      </c>
      <c r="N983" t="s">
        <v>26</v>
      </c>
      <c r="O983" t="s">
        <v>34</v>
      </c>
      <c r="P983" t="s">
        <v>31</v>
      </c>
      <c r="Q983" t="s">
        <v>36</v>
      </c>
      <c r="R983" t="b">
        <f>OR(Таблица1[[#This Row],[Ежемесячный платеж]]&lt;$AC$5, Таблица1[[#This Row],[Ежемесячный платеж]]&gt;$AC$6)</f>
        <v>0</v>
      </c>
      <c r="S983" s="9">
        <f>(Таблица1[[#This Row],[Размер кредита]]-21824)/(789096-21824)</f>
        <v>0.32179722445234543</v>
      </c>
      <c r="T983" s="9">
        <f>(Таблица1[[#This Row],[Кредитный рейтинг]]-586)/(751-586)</f>
        <v>0.5757575757575758</v>
      </c>
      <c r="U983" s="9">
        <f>Таблица1[[#This Row],[Ежемесячный платеж]]/(Таблица1[[#This Row],[Годовой доход]]/12)</f>
        <v>0.19519835329341317</v>
      </c>
    </row>
    <row r="984" spans="1:21" x14ac:dyDescent="0.3">
      <c r="A984">
        <v>983</v>
      </c>
      <c r="B984">
        <v>0</v>
      </c>
      <c r="C984" s="9">
        <v>225214</v>
      </c>
      <c r="D984">
        <f>$Y$13</f>
        <v>723</v>
      </c>
      <c r="E984">
        <f>$AB$13</f>
        <v>1168044</v>
      </c>
      <c r="F984">
        <v>0</v>
      </c>
      <c r="G984">
        <v>18186.04</v>
      </c>
      <c r="H984">
        <v>12.9</v>
      </c>
      <c r="I984">
        <v>10</v>
      </c>
      <c r="J984">
        <v>131917</v>
      </c>
      <c r="K984">
        <v>669922</v>
      </c>
      <c r="L984" t="s">
        <v>69</v>
      </c>
      <c r="M984" t="s">
        <v>1024</v>
      </c>
      <c r="N984" t="s">
        <v>26</v>
      </c>
      <c r="O984" t="s">
        <v>34</v>
      </c>
      <c r="P984" t="s">
        <v>22</v>
      </c>
      <c r="Q984" t="s">
        <v>23</v>
      </c>
      <c r="R984" t="b">
        <f>OR(Таблица1[[#This Row],[Ежемесячный платеж]]&lt;$AC$5, Таблица1[[#This Row],[Ежемесячный платеж]]&gt;$AC$6)</f>
        <v>0</v>
      </c>
      <c r="S984" s="9">
        <f>(Таблица1[[#This Row],[Размер кредита]]-21824)/(789096-21824)</f>
        <v>0.26508200481706617</v>
      </c>
      <c r="T984" s="9">
        <f>(Таблица1[[#This Row],[Кредитный рейтинг]]-586)/(751-586)</f>
        <v>0.83030303030303032</v>
      </c>
      <c r="U984" s="9">
        <f>Таблица1[[#This Row],[Ежемесячный платеж]]/(Таблица1[[#This Row],[Годовой доход]]/12)</f>
        <v>0.18683583837595161</v>
      </c>
    </row>
    <row r="985" spans="1:21" x14ac:dyDescent="0.3">
      <c r="A985">
        <v>984</v>
      </c>
      <c r="B985">
        <v>0</v>
      </c>
      <c r="C985" s="9">
        <v>179432</v>
      </c>
      <c r="D985">
        <f>$Y$13</f>
        <v>723</v>
      </c>
      <c r="E985">
        <f>$AB$13</f>
        <v>1168044</v>
      </c>
      <c r="F985">
        <v>68</v>
      </c>
      <c r="G985">
        <v>22775.11</v>
      </c>
      <c r="H985">
        <v>15.7</v>
      </c>
      <c r="I985">
        <v>27</v>
      </c>
      <c r="J985">
        <v>307154</v>
      </c>
      <c r="K985">
        <v>545468</v>
      </c>
      <c r="L985" t="s">
        <v>50</v>
      </c>
      <c r="M985" t="s">
        <v>1025</v>
      </c>
      <c r="N985" t="s">
        <v>26</v>
      </c>
      <c r="O985" t="s">
        <v>21</v>
      </c>
      <c r="P985" t="s">
        <v>22</v>
      </c>
      <c r="Q985" t="s">
        <v>36</v>
      </c>
      <c r="R985" t="b">
        <f>OR(Таблица1[[#This Row],[Ежемесячный платеж]]&lt;$AC$5, Таблица1[[#This Row],[Ежемесячный платеж]]&gt;$AC$6)</f>
        <v>0</v>
      </c>
      <c r="S985" s="9">
        <f>(Таблица1[[#This Row],[Размер кредита]]-21824)/(789096-21824)</f>
        <v>0.20541346484688611</v>
      </c>
      <c r="T985" s="9">
        <f>(Таблица1[[#This Row],[Кредитный рейтинг]]-586)/(751-586)</f>
        <v>0.83030303030303032</v>
      </c>
      <c r="U985" s="9">
        <f>Таблица1[[#This Row],[Ежемесячный платеж]]/(Таблица1[[#This Row],[Годовой доход]]/12)</f>
        <v>0.23398204177239898</v>
      </c>
    </row>
    <row r="986" spans="1:21" x14ac:dyDescent="0.3">
      <c r="A986">
        <v>985</v>
      </c>
      <c r="B986">
        <v>0</v>
      </c>
      <c r="C986" s="9">
        <v>479490</v>
      </c>
      <c r="D986">
        <v>680</v>
      </c>
      <c r="E986" s="1">
        <v>2032924</v>
      </c>
      <c r="F986">
        <v>0</v>
      </c>
      <c r="G986">
        <v>29477.360000000001</v>
      </c>
      <c r="H986">
        <v>12.8</v>
      </c>
      <c r="I986">
        <v>16</v>
      </c>
      <c r="J986">
        <v>674956</v>
      </c>
      <c r="K986">
        <v>1289640</v>
      </c>
      <c r="L986" t="s">
        <v>24</v>
      </c>
      <c r="M986" t="s">
        <v>1026</v>
      </c>
      <c r="N986" t="s">
        <v>26</v>
      </c>
      <c r="O986" t="s">
        <v>28</v>
      </c>
      <c r="P986" t="s">
        <v>31</v>
      </c>
      <c r="Q986" t="s">
        <v>23</v>
      </c>
      <c r="R986" t="b">
        <f>OR(Таблица1[[#This Row],[Ежемесячный платеж]]&lt;$AC$5, Таблица1[[#This Row],[Ежемесячный платеж]]&gt;$AC$6)</f>
        <v>0</v>
      </c>
      <c r="S986" s="9">
        <f>(Таблица1[[#This Row],[Размер кредита]]-21824)/(789096-21824)</f>
        <v>0.59648468861107928</v>
      </c>
      <c r="T986" s="9">
        <f>(Таблица1[[#This Row],[Кредитный рейтинг]]-586)/(751-586)</f>
        <v>0.5696969696969697</v>
      </c>
      <c r="U986" s="9">
        <f>Таблица1[[#This Row],[Ежемесячный платеж]]/(Таблица1[[#This Row],[Годовой доход]]/12)</f>
        <v>0.17399977569254924</v>
      </c>
    </row>
    <row r="987" spans="1:21" x14ac:dyDescent="0.3">
      <c r="A987">
        <v>986</v>
      </c>
      <c r="B987">
        <v>0</v>
      </c>
      <c r="C987" s="9">
        <v>464904</v>
      </c>
      <c r="D987">
        <f>$Y$13</f>
        <v>723</v>
      </c>
      <c r="E987">
        <f>$AB$13</f>
        <v>1168044</v>
      </c>
      <c r="F987">
        <v>0</v>
      </c>
      <c r="G987">
        <v>19700.53</v>
      </c>
      <c r="H987">
        <v>32.1</v>
      </c>
      <c r="I987">
        <v>12</v>
      </c>
      <c r="J987">
        <v>402173</v>
      </c>
      <c r="K987">
        <v>1065592</v>
      </c>
      <c r="L987" t="s">
        <v>37</v>
      </c>
      <c r="M987" t="s">
        <v>1027</v>
      </c>
      <c r="N987" t="s">
        <v>26</v>
      </c>
      <c r="O987" t="s">
        <v>21</v>
      </c>
      <c r="P987" t="s">
        <v>31</v>
      </c>
      <c r="Q987" t="s">
        <v>36</v>
      </c>
      <c r="R987" t="b">
        <f>OR(Таблица1[[#This Row],[Ежемесячный платеж]]&lt;$AC$5, Таблица1[[#This Row],[Ежемесячный платеж]]&gt;$AC$6)</f>
        <v>0</v>
      </c>
      <c r="S987" s="9">
        <f>(Таблица1[[#This Row],[Размер кредита]]-21824)/(789096-21824)</f>
        <v>0.57747448101846544</v>
      </c>
      <c r="T987" s="9">
        <f>(Таблица1[[#This Row],[Кредитный рейтинг]]-586)/(751-586)</f>
        <v>0.83030303030303032</v>
      </c>
      <c r="U987" s="9">
        <f>Таблица1[[#This Row],[Ежемесячный платеж]]/(Таблица1[[#This Row],[Годовой доход]]/12)</f>
        <v>0.20239508100722231</v>
      </c>
    </row>
    <row r="988" spans="1:21" x14ac:dyDescent="0.3">
      <c r="A988">
        <v>987</v>
      </c>
      <c r="B988">
        <v>1</v>
      </c>
      <c r="C988" s="9">
        <v>458700</v>
      </c>
      <c r="D988">
        <f>$Y$13</f>
        <v>723</v>
      </c>
      <c r="E988">
        <f>$AB$13</f>
        <v>1168044</v>
      </c>
      <c r="F988">
        <v>28</v>
      </c>
      <c r="G988">
        <v>13455.99</v>
      </c>
      <c r="H988">
        <v>35.4</v>
      </c>
      <c r="I988">
        <v>10</v>
      </c>
      <c r="J988">
        <v>212173</v>
      </c>
      <c r="K988">
        <v>486508</v>
      </c>
      <c r="L988" t="s">
        <v>52</v>
      </c>
      <c r="M988" s="2" t="s">
        <v>1028</v>
      </c>
      <c r="N988" t="s">
        <v>26</v>
      </c>
      <c r="O988" t="s">
        <v>21</v>
      </c>
      <c r="P988" t="s">
        <v>31</v>
      </c>
      <c r="Q988" t="s">
        <v>23</v>
      </c>
      <c r="R988" t="b">
        <f>OR(Таблица1[[#This Row],[Ежемесячный платеж]]&lt;$AC$5, Таблица1[[#This Row],[Ежемесячный платеж]]&gt;$AC$6)</f>
        <v>0</v>
      </c>
      <c r="S988" s="9">
        <f>(Таблица1[[#This Row],[Размер кредита]]-21824)/(789096-21824)</f>
        <v>0.56938869136368853</v>
      </c>
      <c r="T988" s="9">
        <f>(Таблица1[[#This Row],[Кредитный рейтинг]]-586)/(751-586)</f>
        <v>0.83030303030303032</v>
      </c>
      <c r="U988" s="9">
        <f>Таблица1[[#This Row],[Ежемесячный платеж]]/(Таблица1[[#This Row],[Годовой доход]]/12)</f>
        <v>0.1382412648838571</v>
      </c>
    </row>
    <row r="989" spans="1:21" x14ac:dyDescent="0.3">
      <c r="A989">
        <v>988</v>
      </c>
      <c r="B989">
        <v>0</v>
      </c>
      <c r="D989">
        <v>726</v>
      </c>
      <c r="E989" s="1">
        <v>1058167</v>
      </c>
      <c r="F989">
        <v>5</v>
      </c>
      <c r="G989">
        <v>14285.34</v>
      </c>
      <c r="H989">
        <v>12</v>
      </c>
      <c r="I989">
        <v>14</v>
      </c>
      <c r="J989">
        <v>192584</v>
      </c>
      <c r="K989">
        <v>665676</v>
      </c>
      <c r="L989" t="s">
        <v>47</v>
      </c>
      <c r="M989" t="s">
        <v>1029</v>
      </c>
      <c r="N989" t="s">
        <v>26</v>
      </c>
      <c r="O989" t="s">
        <v>21</v>
      </c>
      <c r="P989" t="s">
        <v>22</v>
      </c>
      <c r="Q989" t="s">
        <v>23</v>
      </c>
      <c r="R989" t="b">
        <f>OR(Таблица1[[#This Row],[Ежемесячный платеж]]&lt;$AC$5, Таблица1[[#This Row],[Ежемесячный платеж]]&gt;$AC$6)</f>
        <v>0</v>
      </c>
      <c r="T989" s="9">
        <f>(Таблица1[[#This Row],[Кредитный рейтинг]]-586)/(751-586)</f>
        <v>0.84848484848484851</v>
      </c>
      <c r="U989" s="9">
        <f>Таблица1[[#This Row],[Ежемесячный платеж]]/(Таблица1[[#This Row],[Годовой доход]]/12)</f>
        <v>0.16200096960120663</v>
      </c>
    </row>
    <row r="990" spans="1:21" x14ac:dyDescent="0.3">
      <c r="A990">
        <v>989</v>
      </c>
      <c r="B990">
        <v>0</v>
      </c>
      <c r="C990" s="9">
        <v>760298</v>
      </c>
      <c r="D990">
        <v>654</v>
      </c>
      <c r="E990" s="1">
        <v>2251272</v>
      </c>
      <c r="F990">
        <v>0</v>
      </c>
      <c r="G990">
        <v>20261.41</v>
      </c>
      <c r="H990">
        <v>14.7</v>
      </c>
      <c r="I990">
        <v>10</v>
      </c>
      <c r="J990">
        <v>651358</v>
      </c>
      <c r="K990">
        <v>836132</v>
      </c>
      <c r="L990" t="s">
        <v>32</v>
      </c>
      <c r="M990" t="s">
        <v>1030</v>
      </c>
      <c r="N990" t="s">
        <v>68</v>
      </c>
      <c r="O990" t="s">
        <v>34</v>
      </c>
      <c r="P990" t="s">
        <v>31</v>
      </c>
      <c r="Q990" t="s">
        <v>36</v>
      </c>
      <c r="R990" t="b">
        <f>OR(Таблица1[[#This Row],[Ежемесячный платеж]]&lt;$AC$5, Таблица1[[#This Row],[Ежемесячный платеж]]&gt;$AC$6)</f>
        <v>0</v>
      </c>
      <c r="S990" s="9">
        <f>(Таблица1[[#This Row],[Размер кредита]]-21824)/(789096-21824)</f>
        <v>0.96246702603509582</v>
      </c>
      <c r="T990" s="9">
        <f>(Таблица1[[#This Row],[Кредитный рейтинг]]-586)/(751-586)</f>
        <v>0.41212121212121211</v>
      </c>
      <c r="U990" s="9">
        <f>Таблица1[[#This Row],[Ежемесячный платеж]]/(Таблица1[[#This Row],[Годовой доход]]/12)</f>
        <v>0.10799979744784281</v>
      </c>
    </row>
    <row r="991" spans="1:21" x14ac:dyDescent="0.3">
      <c r="A991">
        <v>990</v>
      </c>
      <c r="B991">
        <v>0</v>
      </c>
      <c r="C991" s="9">
        <v>151822</v>
      </c>
      <c r="D991">
        <v>723</v>
      </c>
      <c r="E991" s="1">
        <v>936605</v>
      </c>
      <c r="F991">
        <v>28</v>
      </c>
      <c r="G991">
        <v>7625.46</v>
      </c>
      <c r="H991">
        <v>12.1</v>
      </c>
      <c r="I991">
        <v>3</v>
      </c>
      <c r="J991">
        <v>49495</v>
      </c>
      <c r="K991">
        <v>119372</v>
      </c>
      <c r="L991" t="s">
        <v>47</v>
      </c>
      <c r="M991" t="s">
        <v>1031</v>
      </c>
      <c r="N991" t="s">
        <v>26</v>
      </c>
      <c r="O991" t="s">
        <v>34</v>
      </c>
      <c r="P991" t="s">
        <v>22</v>
      </c>
      <c r="Q991" t="s">
        <v>23</v>
      </c>
      <c r="R991" t="b">
        <f>OR(Таблица1[[#This Row],[Ежемесячный платеж]]&lt;$AC$5, Таблица1[[#This Row],[Ежемесячный платеж]]&gt;$AC$6)</f>
        <v>0</v>
      </c>
      <c r="S991" s="9">
        <f>(Таблица1[[#This Row],[Размер кредита]]-21824)/(789096-21824)</f>
        <v>0.16942883358183278</v>
      </c>
      <c r="T991" s="9">
        <f>(Таблица1[[#This Row],[Кредитный рейтинг]]-586)/(751-586)</f>
        <v>0.83030303030303032</v>
      </c>
      <c r="U991" s="9">
        <f>Таблица1[[#This Row],[Ежемесячный платеж]]/(Таблица1[[#This Row],[Годовой доход]]/12)</f>
        <v>9.7699158129627747E-2</v>
      </c>
    </row>
    <row r="992" spans="1:21" x14ac:dyDescent="0.3">
      <c r="A992">
        <v>991</v>
      </c>
      <c r="B992">
        <v>0</v>
      </c>
      <c r="C992" s="9">
        <v>46486</v>
      </c>
      <c r="D992">
        <v>747</v>
      </c>
      <c r="E992" s="1">
        <v>420679</v>
      </c>
      <c r="F992">
        <v>0</v>
      </c>
      <c r="G992">
        <v>8974.27</v>
      </c>
      <c r="H992">
        <v>26.1</v>
      </c>
      <c r="I992">
        <v>16</v>
      </c>
      <c r="J992">
        <v>240103</v>
      </c>
      <c r="K992">
        <v>476080</v>
      </c>
      <c r="L992" t="s">
        <v>63</v>
      </c>
      <c r="M992" t="s">
        <v>1032</v>
      </c>
      <c r="N992" t="s">
        <v>26</v>
      </c>
      <c r="O992" t="s">
        <v>21</v>
      </c>
      <c r="P992" t="s">
        <v>22</v>
      </c>
      <c r="Q992" t="s">
        <v>23</v>
      </c>
      <c r="R992" t="b">
        <f>OR(Таблица1[[#This Row],[Ежемесячный платеж]]&lt;$AC$5, Таблица1[[#This Row],[Ежемесячный платеж]]&gt;$AC$6)</f>
        <v>0</v>
      </c>
      <c r="S992" s="9">
        <f>(Таблица1[[#This Row],[Размер кредита]]-21824)/(789096-21824)</f>
        <v>3.2142447528386284E-2</v>
      </c>
      <c r="T992" s="9">
        <f>(Таблица1[[#This Row],[Кредитный рейтинг]]-586)/(751-586)</f>
        <v>0.97575757575757571</v>
      </c>
      <c r="U992" s="9">
        <f>Таблица1[[#This Row],[Ежемесячный платеж]]/(Таблица1[[#This Row],[Годовой доход]]/12)</f>
        <v>0.25599385754934284</v>
      </c>
    </row>
    <row r="993" spans="1:21" x14ac:dyDescent="0.3">
      <c r="A993">
        <v>992</v>
      </c>
      <c r="B993">
        <v>0</v>
      </c>
      <c r="D993">
        <v>735</v>
      </c>
      <c r="E993" s="1">
        <v>1575575</v>
      </c>
      <c r="F993">
        <v>27</v>
      </c>
      <c r="G993">
        <v>12000.59</v>
      </c>
      <c r="H993">
        <v>14</v>
      </c>
      <c r="I993">
        <v>16</v>
      </c>
      <c r="J993">
        <v>137864</v>
      </c>
      <c r="K993">
        <v>232364</v>
      </c>
      <c r="L993" t="s">
        <v>32</v>
      </c>
      <c r="M993" t="s">
        <v>1033</v>
      </c>
      <c r="N993" t="s">
        <v>26</v>
      </c>
      <c r="O993" t="s">
        <v>21</v>
      </c>
      <c r="P993" t="s">
        <v>22</v>
      </c>
      <c r="Q993" t="s">
        <v>23</v>
      </c>
      <c r="R993" t="b">
        <f>OR(Таблица1[[#This Row],[Ежемесячный платеж]]&lt;$AC$5, Таблица1[[#This Row],[Ежемесячный платеж]]&gt;$AC$6)</f>
        <v>0</v>
      </c>
      <c r="T993" s="9">
        <f>(Таблица1[[#This Row],[Кредитный рейтинг]]-586)/(751-586)</f>
        <v>0.90303030303030307</v>
      </c>
      <c r="U993" s="9">
        <f>Таблица1[[#This Row],[Ежемесячный платеж]]/(Таблица1[[#This Row],[Годовой доход]]/12)</f>
        <v>9.1399698522761544E-2</v>
      </c>
    </row>
    <row r="994" spans="1:21" x14ac:dyDescent="0.3">
      <c r="A994">
        <v>993</v>
      </c>
      <c r="B994">
        <v>0</v>
      </c>
      <c r="C994" s="9">
        <v>562826</v>
      </c>
      <c r="D994">
        <v>699</v>
      </c>
      <c r="E994" s="1">
        <v>1060884</v>
      </c>
      <c r="F994">
        <v>14</v>
      </c>
      <c r="G994">
        <v>25107.74</v>
      </c>
      <c r="H994">
        <v>21.4</v>
      </c>
      <c r="I994">
        <v>12</v>
      </c>
      <c r="J994">
        <v>442757</v>
      </c>
      <c r="K994">
        <v>845988</v>
      </c>
      <c r="L994" t="s">
        <v>24</v>
      </c>
      <c r="M994" t="s">
        <v>1034</v>
      </c>
      <c r="N994" t="s">
        <v>26</v>
      </c>
      <c r="O994" t="s">
        <v>21</v>
      </c>
      <c r="P994" t="s">
        <v>31</v>
      </c>
      <c r="Q994" t="s">
        <v>36</v>
      </c>
      <c r="R994" t="b">
        <f>OR(Таблица1[[#This Row],[Ежемесячный платеж]]&lt;$AC$5, Таблица1[[#This Row],[Ежемесячный платеж]]&gt;$AC$6)</f>
        <v>0</v>
      </c>
      <c r="S994" s="9">
        <f>(Таблица1[[#This Row],[Размер кредита]]-21824)/(789096-21824)</f>
        <v>0.70509806170432388</v>
      </c>
      <c r="T994" s="9">
        <f>(Таблица1[[#This Row],[Кредитный рейтинг]]-586)/(751-586)</f>
        <v>0.68484848484848482</v>
      </c>
      <c r="U994" s="9">
        <f>Таблица1[[#This Row],[Ежемесячный платеж]]/(Таблица1[[#This Row],[Годовой доход]]/12)</f>
        <v>0.28400171932086826</v>
      </c>
    </row>
    <row r="995" spans="1:21" x14ac:dyDescent="0.3">
      <c r="A995">
        <v>994</v>
      </c>
      <c r="B995">
        <v>0</v>
      </c>
      <c r="C995" s="9">
        <v>168102</v>
      </c>
      <c r="D995">
        <v>714</v>
      </c>
      <c r="E995" s="1">
        <v>427272</v>
      </c>
      <c r="F995">
        <v>14</v>
      </c>
      <c r="G995">
        <v>13815.28</v>
      </c>
      <c r="H995">
        <v>9.9</v>
      </c>
      <c r="I995">
        <v>18</v>
      </c>
      <c r="J995">
        <v>122227</v>
      </c>
      <c r="K995">
        <v>550660</v>
      </c>
      <c r="L995" t="s">
        <v>32</v>
      </c>
      <c r="M995" t="s">
        <v>1035</v>
      </c>
      <c r="N995" t="s">
        <v>26</v>
      </c>
      <c r="O995" t="s">
        <v>34</v>
      </c>
      <c r="P995" t="s">
        <v>22</v>
      </c>
      <c r="Q995" t="s">
        <v>23</v>
      </c>
      <c r="R995" t="b">
        <f>OR(Таблица1[[#This Row],[Ежемесячный платеж]]&lt;$AC$5, Таблица1[[#This Row],[Ежемесячный платеж]]&gt;$AC$6)</f>
        <v>0</v>
      </c>
      <c r="S995" s="9">
        <f>(Таблица1[[#This Row],[Размер кредита]]-21824)/(789096-21824)</f>
        <v>0.19064686317238216</v>
      </c>
      <c r="T995" s="9">
        <f>(Таблица1[[#This Row],[Кредитный рейтинг]]-586)/(751-586)</f>
        <v>0.77575757575757576</v>
      </c>
      <c r="U995" s="9">
        <f>Таблица1[[#This Row],[Ежемесячный платеж]]/(Таблица1[[#This Row],[Годовой доход]]/12)</f>
        <v>0.38800426894343654</v>
      </c>
    </row>
    <row r="996" spans="1:21" x14ac:dyDescent="0.3">
      <c r="A996">
        <v>995</v>
      </c>
      <c r="B996">
        <v>0</v>
      </c>
      <c r="D996">
        <v>719</v>
      </c>
      <c r="E996" s="1">
        <v>613415</v>
      </c>
      <c r="F996">
        <v>0</v>
      </c>
      <c r="G996">
        <v>14210.67</v>
      </c>
      <c r="H996">
        <v>16.5</v>
      </c>
      <c r="I996">
        <v>10</v>
      </c>
      <c r="J996">
        <v>271928</v>
      </c>
      <c r="K996">
        <v>511148</v>
      </c>
      <c r="L996" t="s">
        <v>50</v>
      </c>
      <c r="M996" t="s">
        <v>1036</v>
      </c>
      <c r="N996" t="s">
        <v>26</v>
      </c>
      <c r="O996" t="s">
        <v>34</v>
      </c>
      <c r="P996" t="s">
        <v>22</v>
      </c>
      <c r="Q996" t="s">
        <v>23</v>
      </c>
      <c r="R996" t="b">
        <f>OR(Таблица1[[#This Row],[Ежемесячный платеж]]&lt;$AC$5, Таблица1[[#This Row],[Ежемесячный платеж]]&gt;$AC$6)</f>
        <v>0</v>
      </c>
      <c r="T996" s="9">
        <f>(Таблица1[[#This Row],[Кредитный рейтинг]]-586)/(751-586)</f>
        <v>0.80606060606060603</v>
      </c>
      <c r="U996" s="9">
        <f>Таблица1[[#This Row],[Ежемесячный платеж]]/(Таблица1[[#This Row],[Годовой доход]]/12)</f>
        <v>0.2779978318104383</v>
      </c>
    </row>
    <row r="997" spans="1:21" x14ac:dyDescent="0.3">
      <c r="A997">
        <v>996</v>
      </c>
      <c r="B997">
        <v>0</v>
      </c>
      <c r="D997">
        <v>726</v>
      </c>
      <c r="E997" s="1">
        <v>742824</v>
      </c>
      <c r="F997">
        <v>11</v>
      </c>
      <c r="G997">
        <v>19127.68</v>
      </c>
      <c r="H997">
        <v>18.899999999999999</v>
      </c>
      <c r="I997">
        <v>15</v>
      </c>
      <c r="J997">
        <v>265867</v>
      </c>
      <c r="K997">
        <v>354662</v>
      </c>
      <c r="L997" t="s">
        <v>24</v>
      </c>
      <c r="M997" t="s">
        <v>1037</v>
      </c>
      <c r="N997" t="s">
        <v>20</v>
      </c>
      <c r="O997" t="s">
        <v>21</v>
      </c>
      <c r="P997" t="s">
        <v>22</v>
      </c>
      <c r="Q997" t="s">
        <v>23</v>
      </c>
      <c r="R997" t="b">
        <f>OR(Таблица1[[#This Row],[Ежемесячный платеж]]&lt;$AC$5, Таблица1[[#This Row],[Ежемесячный платеж]]&gt;$AC$6)</f>
        <v>0</v>
      </c>
      <c r="T997" s="9">
        <f>(Таблица1[[#This Row],[Кредитный рейтинг]]-586)/(751-586)</f>
        <v>0.84848484848484851</v>
      </c>
      <c r="U997" s="9">
        <f>Таблица1[[#This Row],[Ежемесячный платеж]]/(Таблица1[[#This Row],[Годовой доход]]/12)</f>
        <v>0.30899938612645794</v>
      </c>
    </row>
    <row r="998" spans="1:21" x14ac:dyDescent="0.3">
      <c r="A998">
        <v>997</v>
      </c>
      <c r="B998">
        <v>0</v>
      </c>
      <c r="C998" s="9">
        <v>218284</v>
      </c>
      <c r="D998">
        <v>721</v>
      </c>
      <c r="E998" s="1">
        <v>1319626</v>
      </c>
      <c r="F998">
        <v>0</v>
      </c>
      <c r="G998">
        <v>13086.44</v>
      </c>
      <c r="H998">
        <v>14.6</v>
      </c>
      <c r="I998">
        <v>4</v>
      </c>
      <c r="J998">
        <v>436012</v>
      </c>
      <c r="K998">
        <v>873444</v>
      </c>
      <c r="L998" t="s">
        <v>24</v>
      </c>
      <c r="M998" t="s">
        <v>1038</v>
      </c>
      <c r="N998" t="s">
        <v>26</v>
      </c>
      <c r="O998" t="s">
        <v>34</v>
      </c>
      <c r="P998" t="s">
        <v>31</v>
      </c>
      <c r="Q998" t="s">
        <v>36</v>
      </c>
      <c r="R998" t="b">
        <f>OR(Таблица1[[#This Row],[Ежемесячный платеж]]&lt;$AC$5, Таблица1[[#This Row],[Ежемесячный платеж]]&gt;$AC$6)</f>
        <v>0</v>
      </c>
      <c r="S998" s="9">
        <f>(Таблица1[[#This Row],[Размер кредита]]-21824)/(789096-21824)</f>
        <v>0.25605000573460257</v>
      </c>
      <c r="T998" s="9">
        <f>(Таблица1[[#This Row],[Кредитный рейтинг]]-586)/(751-586)</f>
        <v>0.81818181818181823</v>
      </c>
      <c r="U998" s="9">
        <f>Таблица1[[#This Row],[Ежемесячный платеж]]/(Таблица1[[#This Row],[Годовой доход]]/12)</f>
        <v>0.11900135341377027</v>
      </c>
    </row>
    <row r="999" spans="1:21" x14ac:dyDescent="0.3">
      <c r="A999">
        <v>998</v>
      </c>
      <c r="B999">
        <v>0</v>
      </c>
      <c r="C999" s="9">
        <v>387310</v>
      </c>
      <c r="D999">
        <v>708</v>
      </c>
      <c r="E999" s="1">
        <v>1368418</v>
      </c>
      <c r="F999">
        <v>24</v>
      </c>
      <c r="G999">
        <v>14368.37</v>
      </c>
      <c r="H999">
        <v>22.9</v>
      </c>
      <c r="I999">
        <v>3</v>
      </c>
      <c r="J999">
        <v>234422</v>
      </c>
      <c r="K999">
        <v>380688</v>
      </c>
      <c r="L999" t="s">
        <v>24</v>
      </c>
      <c r="M999" t="s">
        <v>1039</v>
      </c>
      <c r="N999" t="s">
        <v>26</v>
      </c>
      <c r="O999" t="s">
        <v>34</v>
      </c>
      <c r="P999" t="s">
        <v>31</v>
      </c>
      <c r="Q999" t="s">
        <v>23</v>
      </c>
      <c r="R999" t="b">
        <f>OR(Таблица1[[#This Row],[Ежемесячный платеж]]&lt;$AC$5, Таблица1[[#This Row],[Ежемесячный платеж]]&gt;$AC$6)</f>
        <v>0</v>
      </c>
      <c r="S999" s="9">
        <f>(Таблица1[[#This Row],[Размер кредита]]-21824)/(789096-21824)</f>
        <v>0.47634476430783346</v>
      </c>
      <c r="T999" s="9">
        <f>(Таблица1[[#This Row],[Кредитный рейтинг]]-586)/(751-586)</f>
        <v>0.73939393939393938</v>
      </c>
      <c r="U999" s="9">
        <f>Таблица1[[#This Row],[Ежемесячный платеж]]/(Таблица1[[#This Row],[Годовой доход]]/12)</f>
        <v>0.12599983338424373</v>
      </c>
    </row>
    <row r="1000" spans="1:21" x14ac:dyDescent="0.3">
      <c r="A1000">
        <v>999</v>
      </c>
      <c r="B1000">
        <v>0</v>
      </c>
      <c r="D1000">
        <v>733</v>
      </c>
      <c r="E1000" s="1">
        <v>1383599</v>
      </c>
      <c r="F1000">
        <v>17</v>
      </c>
      <c r="G1000">
        <v>22944.59</v>
      </c>
      <c r="H1000">
        <v>17</v>
      </c>
      <c r="I1000">
        <v>9</v>
      </c>
      <c r="J1000">
        <v>108661</v>
      </c>
      <c r="K1000">
        <v>149072</v>
      </c>
      <c r="L1000" t="s">
        <v>24</v>
      </c>
      <c r="M1000" t="s">
        <v>1040</v>
      </c>
      <c r="N1000" t="s">
        <v>26</v>
      </c>
      <c r="O1000" t="s">
        <v>34</v>
      </c>
      <c r="P1000" t="s">
        <v>22</v>
      </c>
      <c r="Q1000" t="s">
        <v>23</v>
      </c>
      <c r="R1000" t="b">
        <f>OR(Таблица1[[#This Row],[Ежемесячный платеж]]&lt;$AC$5, Таблица1[[#This Row],[Ежемесячный платеж]]&gt;$AC$6)</f>
        <v>0</v>
      </c>
      <c r="T1000" s="9">
        <f>(Таблица1[[#This Row],[Кредитный рейтинг]]-586)/(751-586)</f>
        <v>0.89090909090909087</v>
      </c>
      <c r="U1000" s="9">
        <f>Таблица1[[#This Row],[Ежемесячный платеж]]/(Таблица1[[#This Row],[Годовой доход]]/12)</f>
        <v>0.19899918979415279</v>
      </c>
    </row>
    <row r="1001" spans="1:21" x14ac:dyDescent="0.3">
      <c r="A1001">
        <v>1000</v>
      </c>
      <c r="B1001">
        <v>0</v>
      </c>
      <c r="C1001" s="9">
        <v>334092</v>
      </c>
      <c r="D1001">
        <v>737</v>
      </c>
      <c r="E1001" s="1">
        <v>1442670</v>
      </c>
      <c r="F1001">
        <v>21</v>
      </c>
      <c r="G1001">
        <v>16350.26</v>
      </c>
      <c r="H1001">
        <v>26.5</v>
      </c>
      <c r="I1001">
        <v>10</v>
      </c>
      <c r="J1001">
        <v>95950</v>
      </c>
      <c r="K1001">
        <v>178310</v>
      </c>
      <c r="L1001" t="s">
        <v>24</v>
      </c>
      <c r="M1001" t="s">
        <v>1041</v>
      </c>
      <c r="N1001" t="s">
        <v>20</v>
      </c>
      <c r="O1001" t="s">
        <v>21</v>
      </c>
      <c r="P1001" t="s">
        <v>22</v>
      </c>
      <c r="Q1001" t="s">
        <v>23</v>
      </c>
      <c r="R1001" t="b">
        <f>OR(Таблица1[[#This Row],[Ежемесячный платеж]]&lt;$AC$5, Таблица1[[#This Row],[Ежемесячный платеж]]&gt;$AC$6)</f>
        <v>0</v>
      </c>
      <c r="S1001" s="9">
        <f>(Таблица1[[#This Row],[Размер кредита]]-21824)/(789096-21824)</f>
        <v>0.40698474595710515</v>
      </c>
      <c r="T1001" s="9">
        <f>(Таблица1[[#This Row],[Кредитный рейтинг]]-586)/(751-586)</f>
        <v>0.91515151515151516</v>
      </c>
      <c r="U1001" s="9">
        <f>Таблица1[[#This Row],[Ежемесячный платеж]]/(Таблица1[[#This Row],[Годовой доход]]/12)</f>
        <v>0.13600000000000001</v>
      </c>
    </row>
    <row r="1002" spans="1:21" x14ac:dyDescent="0.3">
      <c r="A1002">
        <v>1001</v>
      </c>
      <c r="B1002">
        <v>0</v>
      </c>
      <c r="C1002" s="9">
        <v>776776</v>
      </c>
      <c r="D1002">
        <v>702</v>
      </c>
      <c r="E1002" s="1">
        <v>2491736</v>
      </c>
      <c r="F1002">
        <v>33</v>
      </c>
      <c r="G1002">
        <v>42774.89</v>
      </c>
      <c r="H1002">
        <v>29.9</v>
      </c>
      <c r="I1002">
        <v>14</v>
      </c>
      <c r="J1002">
        <v>941963</v>
      </c>
      <c r="K1002">
        <v>1076702</v>
      </c>
      <c r="L1002" t="s">
        <v>24</v>
      </c>
      <c r="M1002" t="s">
        <v>1042</v>
      </c>
      <c r="N1002" t="s">
        <v>26</v>
      </c>
      <c r="O1002" t="s">
        <v>21</v>
      </c>
      <c r="P1002" t="s">
        <v>31</v>
      </c>
      <c r="Q1002" t="s">
        <v>23</v>
      </c>
      <c r="R1002" t="b">
        <f>OR(Таблица1[[#This Row],[Ежемесячный платеж]]&lt;$AC$5, Таблица1[[#This Row],[Ежемесячный платеж]]&gt;$AC$6)</f>
        <v>0</v>
      </c>
      <c r="S1002" s="9">
        <f>(Таблица1[[#This Row],[Размер кредита]]-21824)/(789096-21824)</f>
        <v>0.98394311274228696</v>
      </c>
      <c r="T1002" s="9">
        <f>(Таблица1[[#This Row],[Кредитный рейтинг]]-586)/(751-586)</f>
        <v>0.70303030303030301</v>
      </c>
      <c r="U1002" s="9">
        <f>Таблица1[[#This Row],[Ежемесячный платеж]]/(Таблица1[[#This Row],[Годовой доход]]/12)</f>
        <v>0.20600042701152932</v>
      </c>
    </row>
    <row r="1003" spans="1:21" x14ac:dyDescent="0.3">
      <c r="A1003">
        <v>1002</v>
      </c>
      <c r="B1003">
        <v>0</v>
      </c>
      <c r="C1003" s="9">
        <v>274274</v>
      </c>
      <c r="D1003">
        <v>747</v>
      </c>
      <c r="E1003" s="1">
        <v>1540672</v>
      </c>
      <c r="F1003">
        <v>0</v>
      </c>
      <c r="G1003">
        <v>8640.6299999999992</v>
      </c>
      <c r="H1003">
        <v>7.8</v>
      </c>
      <c r="I1003">
        <v>10</v>
      </c>
      <c r="J1003">
        <v>104538</v>
      </c>
      <c r="K1003">
        <v>500170</v>
      </c>
      <c r="L1003" t="s">
        <v>29</v>
      </c>
      <c r="M1003" t="s">
        <v>1043</v>
      </c>
      <c r="N1003" t="s">
        <v>26</v>
      </c>
      <c r="O1003" t="s">
        <v>34</v>
      </c>
      <c r="P1003" t="s">
        <v>22</v>
      </c>
      <c r="Q1003" t="s">
        <v>23</v>
      </c>
      <c r="R1003" t="b">
        <f>OR(Таблица1[[#This Row],[Ежемесячный платеж]]&lt;$AC$5, Таблица1[[#This Row],[Ежемесячный платеж]]&gt;$AC$6)</f>
        <v>0</v>
      </c>
      <c r="S1003" s="9">
        <f>(Таблица1[[#This Row],[Размер кредита]]-21824)/(789096-21824)</f>
        <v>0.32902282371831632</v>
      </c>
      <c r="T1003" s="9">
        <f>(Таблица1[[#This Row],[Кредитный рейтинг]]-586)/(751-586)</f>
        <v>0.97575757575757571</v>
      </c>
      <c r="U1003" s="9">
        <f>Таблица1[[#This Row],[Ежемесячный платеж]]/(Таблица1[[#This Row],[Годовой доход]]/12)</f>
        <v>6.7300217048145219E-2</v>
      </c>
    </row>
    <row r="1004" spans="1:21" x14ac:dyDescent="0.3">
      <c r="A1004">
        <v>1003</v>
      </c>
      <c r="B1004">
        <v>0</v>
      </c>
      <c r="C1004" s="9">
        <v>268928</v>
      </c>
      <c r="D1004">
        <f>$Y$13</f>
        <v>723</v>
      </c>
      <c r="E1004">
        <f>$AB$13</f>
        <v>1168044</v>
      </c>
      <c r="F1004">
        <v>88</v>
      </c>
      <c r="G1004">
        <v>16369.83</v>
      </c>
      <c r="H1004">
        <v>25</v>
      </c>
      <c r="I1004">
        <v>14</v>
      </c>
      <c r="J1004">
        <v>253688</v>
      </c>
      <c r="K1004">
        <v>551122</v>
      </c>
      <c r="L1004" t="s">
        <v>32</v>
      </c>
      <c r="M1004" t="s">
        <v>1044</v>
      </c>
      <c r="N1004" t="s">
        <v>26</v>
      </c>
      <c r="O1004" t="s">
        <v>28</v>
      </c>
      <c r="P1004" t="s">
        <v>31</v>
      </c>
      <c r="Q1004" t="s">
        <v>23</v>
      </c>
      <c r="R1004" t="b">
        <f>OR(Таблица1[[#This Row],[Ежемесячный платеж]]&lt;$AC$5, Таблица1[[#This Row],[Ежемесячный платеж]]&gt;$AC$6)</f>
        <v>0</v>
      </c>
      <c r="S1004" s="9">
        <f>(Таблица1[[#This Row],[Размер кредита]]-21824)/(789096-21824)</f>
        <v>0.32205528156898727</v>
      </c>
      <c r="T1004" s="9">
        <f>(Таблица1[[#This Row],[Кредитный рейтинг]]-586)/(751-586)</f>
        <v>0.83030303030303032</v>
      </c>
      <c r="U1004" s="9">
        <f>Таблица1[[#This Row],[Ежемесячный платеж]]/(Таблица1[[#This Row],[Годовой доход]]/12)</f>
        <v>0.16817684950224479</v>
      </c>
    </row>
    <row r="1005" spans="1:21" x14ac:dyDescent="0.3">
      <c r="A1005">
        <v>1004</v>
      </c>
      <c r="B1005">
        <v>2</v>
      </c>
      <c r="C1005" s="9">
        <v>448712</v>
      </c>
      <c r="D1005">
        <v>696</v>
      </c>
      <c r="E1005" s="1">
        <v>1264602</v>
      </c>
      <c r="F1005">
        <v>22</v>
      </c>
      <c r="G1005">
        <v>33722.910000000003</v>
      </c>
      <c r="H1005">
        <v>16.7</v>
      </c>
      <c r="I1005">
        <v>28</v>
      </c>
      <c r="J1005">
        <v>328054</v>
      </c>
      <c r="K1005">
        <v>895906</v>
      </c>
      <c r="L1005" t="s">
        <v>24</v>
      </c>
      <c r="M1005" t="s">
        <v>356</v>
      </c>
      <c r="N1005" t="s">
        <v>26</v>
      </c>
      <c r="O1005" t="s">
        <v>21</v>
      </c>
      <c r="P1005" t="s">
        <v>31</v>
      </c>
      <c r="Q1005" t="s">
        <v>23</v>
      </c>
      <c r="R1005" t="b">
        <f>OR(Таблица1[[#This Row],[Ежемесячный платеж]]&lt;$AC$5, Таблица1[[#This Row],[Ежемесячный платеж]]&gt;$AC$6)</f>
        <v>0</v>
      </c>
      <c r="S1005" s="9">
        <f>(Таблица1[[#This Row],[Размер кредита]]-21824)/(789096-21824)</f>
        <v>0.5563711434797568</v>
      </c>
      <c r="T1005" s="9">
        <f>(Таблица1[[#This Row],[Кредитный рейтинг]]-586)/(751-586)</f>
        <v>0.66666666666666663</v>
      </c>
      <c r="U1005" s="9">
        <f>Таблица1[[#This Row],[Ежемесячный платеж]]/(Таблица1[[#This Row],[Годовой доход]]/12)</f>
        <v>0.32000180293879027</v>
      </c>
    </row>
    <row r="1006" spans="1:21" x14ac:dyDescent="0.3">
      <c r="A1006">
        <v>1005</v>
      </c>
      <c r="B1006">
        <v>0</v>
      </c>
      <c r="C1006" s="9">
        <v>172040</v>
      </c>
      <c r="D1006">
        <v>705</v>
      </c>
      <c r="E1006" s="1">
        <v>722988</v>
      </c>
      <c r="F1006">
        <v>22</v>
      </c>
      <c r="G1006">
        <v>5850.1</v>
      </c>
      <c r="H1006">
        <v>11.4</v>
      </c>
      <c r="I1006">
        <v>8</v>
      </c>
      <c r="J1006">
        <v>142082</v>
      </c>
      <c r="K1006">
        <v>413358</v>
      </c>
      <c r="L1006" t="s">
        <v>29</v>
      </c>
      <c r="M1006" t="s">
        <v>1045</v>
      </c>
      <c r="N1006" t="s">
        <v>26</v>
      </c>
      <c r="O1006" t="s">
        <v>34</v>
      </c>
      <c r="P1006" t="s">
        <v>22</v>
      </c>
      <c r="Q1006" t="s">
        <v>23</v>
      </c>
      <c r="R1006" t="b">
        <f>OR(Таблица1[[#This Row],[Ежемесячный платеж]]&lt;$AC$5, Таблица1[[#This Row],[Ежемесячный платеж]]&gt;$AC$6)</f>
        <v>0</v>
      </c>
      <c r="S1006" s="9">
        <f>(Таблица1[[#This Row],[Размер кредита]]-21824)/(789096-21824)</f>
        <v>0.19577933249225829</v>
      </c>
      <c r="T1006" s="9">
        <f>(Таблица1[[#This Row],[Кредитный рейтинг]]-586)/(751-586)</f>
        <v>0.72121212121212119</v>
      </c>
      <c r="U1006" s="9">
        <f>Таблица1[[#This Row],[Ежемесячный платеж]]/(Таблица1[[#This Row],[Годовой доход]]/12)</f>
        <v>9.7098707032481871E-2</v>
      </c>
    </row>
    <row r="1007" spans="1:21" x14ac:dyDescent="0.3">
      <c r="A1007">
        <v>1006</v>
      </c>
      <c r="B1007">
        <v>0</v>
      </c>
      <c r="C1007" s="9">
        <v>67584</v>
      </c>
      <c r="D1007">
        <v>716</v>
      </c>
      <c r="E1007" s="1">
        <v>856140</v>
      </c>
      <c r="F1007">
        <v>48</v>
      </c>
      <c r="G1007">
        <v>9417.5400000000009</v>
      </c>
      <c r="H1007">
        <v>12.3</v>
      </c>
      <c r="I1007">
        <v>9</v>
      </c>
      <c r="J1007">
        <v>198265</v>
      </c>
      <c r="K1007">
        <v>565422</v>
      </c>
      <c r="L1007" t="s">
        <v>24</v>
      </c>
      <c r="M1007" t="s">
        <v>1046</v>
      </c>
      <c r="N1007" t="s">
        <v>26</v>
      </c>
      <c r="O1007" t="s">
        <v>21</v>
      </c>
      <c r="P1007" t="s">
        <v>22</v>
      </c>
      <c r="Q1007" t="s">
        <v>23</v>
      </c>
      <c r="R1007" t="b">
        <f>OR(Таблица1[[#This Row],[Ежемесячный платеж]]&lt;$AC$5, Таблица1[[#This Row],[Ежемесячный платеж]]&gt;$AC$6)</f>
        <v>0</v>
      </c>
      <c r="S1007" s="9">
        <f>(Таблица1[[#This Row],[Размер кредита]]-21824)/(789096-21824)</f>
        <v>5.9639866957219866E-2</v>
      </c>
      <c r="T1007" s="9">
        <f>(Таблица1[[#This Row],[Кредитный рейтинг]]-586)/(751-586)</f>
        <v>0.78787878787878785</v>
      </c>
      <c r="U1007" s="9">
        <f>Таблица1[[#This Row],[Ежемесячный платеж]]/(Таблица1[[#This Row],[Годовой доход]]/12)</f>
        <v>0.13200000000000001</v>
      </c>
    </row>
    <row r="1008" spans="1:21" x14ac:dyDescent="0.3">
      <c r="A1008">
        <v>1007</v>
      </c>
      <c r="B1008">
        <v>2</v>
      </c>
      <c r="C1008" s="9">
        <v>258060</v>
      </c>
      <c r="D1008">
        <v>695</v>
      </c>
      <c r="E1008" s="1">
        <v>1634380</v>
      </c>
      <c r="F1008">
        <v>20</v>
      </c>
      <c r="G1008">
        <v>3895.19</v>
      </c>
      <c r="H1008">
        <v>19.399999999999999</v>
      </c>
      <c r="I1008">
        <v>8</v>
      </c>
      <c r="J1008">
        <v>50787</v>
      </c>
      <c r="K1008">
        <v>187308</v>
      </c>
      <c r="L1008" t="s">
        <v>24</v>
      </c>
      <c r="M1008" t="s">
        <v>1047</v>
      </c>
      <c r="N1008" t="s">
        <v>20</v>
      </c>
      <c r="O1008" t="s">
        <v>21</v>
      </c>
      <c r="P1008" t="s">
        <v>22</v>
      </c>
      <c r="Q1008" t="s">
        <v>23</v>
      </c>
      <c r="R1008" t="b">
        <f>OR(Таблица1[[#This Row],[Ежемесячный платеж]]&lt;$AC$5, Таблица1[[#This Row],[Ежемесячный платеж]]&gt;$AC$6)</f>
        <v>0</v>
      </c>
      <c r="S1008" s="9">
        <f>(Таблица1[[#This Row],[Размер кредита]]-21824)/(789096-21824)</f>
        <v>0.30789081316664757</v>
      </c>
      <c r="T1008" s="9">
        <f>(Таблица1[[#This Row],[Кредитный рейтинг]]-586)/(751-586)</f>
        <v>0.66060606060606064</v>
      </c>
      <c r="U1008" s="9">
        <f>Таблица1[[#This Row],[Ежемесячный платеж]]/(Таблица1[[#This Row],[Годовой доход]]/12)</f>
        <v>2.8599395489421062E-2</v>
      </c>
    </row>
    <row r="1009" spans="1:21" x14ac:dyDescent="0.3">
      <c r="A1009">
        <v>1008</v>
      </c>
      <c r="B1009">
        <v>0</v>
      </c>
      <c r="C1009" s="9">
        <v>188606</v>
      </c>
      <c r="D1009">
        <f>$Y$13</f>
        <v>723</v>
      </c>
      <c r="E1009">
        <f>$AB$13</f>
        <v>1168044</v>
      </c>
      <c r="F1009">
        <v>59</v>
      </c>
      <c r="G1009">
        <v>24487.01</v>
      </c>
      <c r="H1009">
        <v>26.3</v>
      </c>
      <c r="I1009">
        <v>11</v>
      </c>
      <c r="J1009">
        <v>638552</v>
      </c>
      <c r="K1009">
        <v>885456</v>
      </c>
      <c r="L1009" t="s">
        <v>18</v>
      </c>
      <c r="M1009" t="s">
        <v>1048</v>
      </c>
      <c r="N1009" t="s">
        <v>26</v>
      </c>
      <c r="O1009" t="s">
        <v>21</v>
      </c>
      <c r="P1009" t="s">
        <v>22</v>
      </c>
      <c r="Q1009" t="s">
        <v>23</v>
      </c>
      <c r="R1009" t="b">
        <f>OR(Таблица1[[#This Row],[Ежемесячный платеж]]&lt;$AC$5, Таблица1[[#This Row],[Ежемесячный платеж]]&gt;$AC$6)</f>
        <v>0</v>
      </c>
      <c r="S1009" s="9">
        <f>(Таблица1[[#This Row],[Размер кредита]]-21824)/(789096-21824)</f>
        <v>0.2173701112512903</v>
      </c>
      <c r="T1009" s="9">
        <f>(Таблица1[[#This Row],[Кредитный рейтинг]]-586)/(751-586)</f>
        <v>0.83030303030303032</v>
      </c>
      <c r="U1009" s="9">
        <f>Таблица1[[#This Row],[Ежемесячный платеж]]/(Таблица1[[#This Row],[Годовой доход]]/12)</f>
        <v>0.2515693929338278</v>
      </c>
    </row>
    <row r="1010" spans="1:21" x14ac:dyDescent="0.3">
      <c r="A1010">
        <v>1009</v>
      </c>
      <c r="B1010">
        <v>0</v>
      </c>
      <c r="C1010" s="9">
        <v>196658</v>
      </c>
      <c r="D1010">
        <v>732</v>
      </c>
      <c r="E1010" s="1">
        <v>650655</v>
      </c>
      <c r="F1010">
        <v>0</v>
      </c>
      <c r="G1010">
        <v>15073.46</v>
      </c>
      <c r="H1010">
        <v>15</v>
      </c>
      <c r="I1010">
        <v>7</v>
      </c>
      <c r="J1010">
        <v>190684</v>
      </c>
      <c r="K1010">
        <v>307934</v>
      </c>
      <c r="L1010" t="s">
        <v>37</v>
      </c>
      <c r="M1010" t="s">
        <v>1049</v>
      </c>
      <c r="N1010" t="s">
        <v>26</v>
      </c>
      <c r="O1010" t="s">
        <v>34</v>
      </c>
      <c r="P1010" t="s">
        <v>22</v>
      </c>
      <c r="Q1010" t="s">
        <v>23</v>
      </c>
      <c r="R1010" t="b">
        <f>OR(Таблица1[[#This Row],[Ежемесячный платеж]]&lt;$AC$5, Таблица1[[#This Row],[Ежемесячный платеж]]&gt;$AC$6)</f>
        <v>0</v>
      </c>
      <c r="S1010" s="9">
        <f>(Таблица1[[#This Row],[Размер кредита]]-21824)/(789096-21824)</f>
        <v>0.22786443399472417</v>
      </c>
      <c r="T1010" s="9">
        <f>(Таблица1[[#This Row],[Кредитный рейтинг]]-586)/(751-586)</f>
        <v>0.88484848484848488</v>
      </c>
      <c r="U1010" s="9">
        <f>Таблица1[[#This Row],[Ежемесячный платеж]]/(Таблица1[[#This Row],[Годовой доход]]/12)</f>
        <v>0.27799912395970211</v>
      </c>
    </row>
    <row r="1011" spans="1:21" x14ac:dyDescent="0.3">
      <c r="A1011">
        <v>1010</v>
      </c>
      <c r="B1011">
        <v>0</v>
      </c>
      <c r="C1011" s="9">
        <v>552442</v>
      </c>
      <c r="D1011">
        <f>$Y$13</f>
        <v>723</v>
      </c>
      <c r="E1011">
        <f>$AB$13</f>
        <v>1168044</v>
      </c>
      <c r="F1011">
        <v>0</v>
      </c>
      <c r="G1011">
        <v>17821.240000000002</v>
      </c>
      <c r="H1011">
        <v>13.8</v>
      </c>
      <c r="I1011">
        <v>8</v>
      </c>
      <c r="J1011">
        <v>596486</v>
      </c>
      <c r="K1011">
        <v>845394</v>
      </c>
      <c r="L1011" t="s">
        <v>24</v>
      </c>
      <c r="M1011" t="s">
        <v>1050</v>
      </c>
      <c r="N1011" t="s">
        <v>26</v>
      </c>
      <c r="O1011" t="s">
        <v>21</v>
      </c>
      <c r="P1011" t="s">
        <v>31</v>
      </c>
      <c r="Q1011" t="s">
        <v>36</v>
      </c>
      <c r="R1011" t="b">
        <f>OR(Таблица1[[#This Row],[Ежемесячный платеж]]&lt;$AC$5, Таблица1[[#This Row],[Ежемесячный платеж]]&gt;$AC$6)</f>
        <v>0</v>
      </c>
      <c r="S1011" s="9">
        <f>(Таблица1[[#This Row],[Размер кредита]]-21824)/(789096-21824)</f>
        <v>0.69156439958710858</v>
      </c>
      <c r="T1011" s="9">
        <f>(Таблица1[[#This Row],[Кредитный рейтинг]]-586)/(751-586)</f>
        <v>0.83030303030303032</v>
      </c>
      <c r="U1011" s="9">
        <f>Таблица1[[#This Row],[Ежемесячный платеж]]/(Таблица1[[#This Row],[Годовой доход]]/12)</f>
        <v>0.1830880343548702</v>
      </c>
    </row>
    <row r="1012" spans="1:21" x14ac:dyDescent="0.3">
      <c r="A1012">
        <v>1011</v>
      </c>
      <c r="B1012">
        <v>1</v>
      </c>
      <c r="C1012" s="9">
        <v>267652</v>
      </c>
      <c r="D1012">
        <f>$Y$13</f>
        <v>723</v>
      </c>
      <c r="E1012">
        <f>$AB$13</f>
        <v>1168044</v>
      </c>
      <c r="F1012">
        <v>0</v>
      </c>
      <c r="G1012">
        <v>1035.31</v>
      </c>
      <c r="H1012">
        <v>14.5</v>
      </c>
      <c r="I1012">
        <v>5</v>
      </c>
      <c r="J1012">
        <v>40945</v>
      </c>
      <c r="K1012">
        <v>338712</v>
      </c>
      <c r="L1012" t="s">
        <v>47</v>
      </c>
      <c r="M1012" t="s">
        <v>1051</v>
      </c>
      <c r="N1012" t="s">
        <v>68</v>
      </c>
      <c r="O1012" t="s">
        <v>21</v>
      </c>
      <c r="P1012" t="s">
        <v>22</v>
      </c>
      <c r="Q1012" t="s">
        <v>23</v>
      </c>
      <c r="R1012" t="b">
        <f>OR(Таблица1[[#This Row],[Ежемесячный платеж]]&lt;$AC$5, Таблица1[[#This Row],[Ежемесячный платеж]]&gt;$AC$6)</f>
        <v>0</v>
      </c>
      <c r="S1012" s="9">
        <f>(Таблица1[[#This Row],[Размер кредита]]-21824)/(789096-21824)</f>
        <v>0.32039224681729556</v>
      </c>
      <c r="T1012" s="9">
        <f>(Таблица1[[#This Row],[Кредитный рейтинг]]-586)/(751-586)</f>
        <v>0.83030303030303032</v>
      </c>
      <c r="U1012" s="9">
        <f>Таблица1[[#This Row],[Ежемесячный платеж]]/(Таблица1[[#This Row],[Годовой доход]]/12)</f>
        <v>1.0636345891079445E-2</v>
      </c>
    </row>
    <row r="1013" spans="1:21" x14ac:dyDescent="0.3">
      <c r="A1013">
        <v>1012</v>
      </c>
      <c r="B1013">
        <v>0</v>
      </c>
      <c r="D1013">
        <v>743</v>
      </c>
      <c r="E1013" s="1">
        <v>774060</v>
      </c>
      <c r="F1013">
        <v>0</v>
      </c>
      <c r="G1013">
        <v>17093.73</v>
      </c>
      <c r="H1013">
        <v>16.7</v>
      </c>
      <c r="I1013">
        <v>12</v>
      </c>
      <c r="J1013">
        <v>486647</v>
      </c>
      <c r="K1013">
        <v>1006236</v>
      </c>
      <c r="L1013" t="s">
        <v>29</v>
      </c>
      <c r="M1013" t="s">
        <v>1052</v>
      </c>
      <c r="N1013" t="s">
        <v>26</v>
      </c>
      <c r="O1013" t="s">
        <v>21</v>
      </c>
      <c r="P1013" t="s">
        <v>22</v>
      </c>
      <c r="Q1013" t="s">
        <v>23</v>
      </c>
      <c r="R1013" t="b">
        <f>OR(Таблица1[[#This Row],[Ежемесячный платеж]]&lt;$AC$5, Таблица1[[#This Row],[Ежемесячный платеж]]&gt;$AC$6)</f>
        <v>0</v>
      </c>
      <c r="T1013" s="9">
        <f>(Таблица1[[#This Row],[Кредитный рейтинг]]-586)/(751-586)</f>
        <v>0.95151515151515154</v>
      </c>
      <c r="U1013" s="9">
        <f>Таблица1[[#This Row],[Ежемесячный платеж]]/(Таблица1[[#This Row],[Годовой доход]]/12)</f>
        <v>0.26499852724594991</v>
      </c>
    </row>
    <row r="1014" spans="1:21" x14ac:dyDescent="0.3">
      <c r="A1014">
        <v>1013</v>
      </c>
      <c r="B1014">
        <v>0</v>
      </c>
      <c r="C1014" s="9">
        <v>335720</v>
      </c>
      <c r="D1014">
        <v>728</v>
      </c>
      <c r="E1014" s="1">
        <v>966435</v>
      </c>
      <c r="F1014">
        <v>30</v>
      </c>
      <c r="G1014">
        <v>9181.18</v>
      </c>
      <c r="H1014">
        <v>8.6999999999999993</v>
      </c>
      <c r="I1014">
        <v>12</v>
      </c>
      <c r="J1014">
        <v>226974</v>
      </c>
      <c r="K1014">
        <v>722018</v>
      </c>
      <c r="L1014" t="s">
        <v>18</v>
      </c>
      <c r="M1014" t="s">
        <v>1053</v>
      </c>
      <c r="N1014" t="s">
        <v>26</v>
      </c>
      <c r="O1014" t="s">
        <v>34</v>
      </c>
      <c r="P1014" t="s">
        <v>22</v>
      </c>
      <c r="Q1014" t="s">
        <v>23</v>
      </c>
      <c r="R1014" t="b">
        <f>OR(Таблица1[[#This Row],[Ежемесячный платеж]]&lt;$AC$5, Таблица1[[#This Row],[Ежемесячный платеж]]&gt;$AC$6)</f>
        <v>0</v>
      </c>
      <c r="S1014" s="9">
        <f>(Таблица1[[#This Row],[Размер кредита]]-21824)/(789096-21824)</f>
        <v>0.40910654891616011</v>
      </c>
      <c r="T1014" s="9">
        <f>(Таблица1[[#This Row],[Кредитный рейтинг]]-586)/(751-586)</f>
        <v>0.8606060606060606</v>
      </c>
      <c r="U1014" s="9">
        <f>Таблица1[[#This Row],[Ежемесячный платеж]]/(Таблица1[[#This Row],[Годовой доход]]/12)</f>
        <v>0.11400058979652021</v>
      </c>
    </row>
    <row r="1015" spans="1:21" x14ac:dyDescent="0.3">
      <c r="A1015">
        <v>1014</v>
      </c>
      <c r="B1015">
        <v>0</v>
      </c>
      <c r="C1015" s="9">
        <v>178508</v>
      </c>
      <c r="D1015">
        <v>739</v>
      </c>
      <c r="E1015" s="1">
        <v>2312604</v>
      </c>
      <c r="F1015">
        <v>18</v>
      </c>
      <c r="G1015">
        <v>21777.040000000001</v>
      </c>
      <c r="H1015">
        <v>21.3</v>
      </c>
      <c r="I1015">
        <v>9</v>
      </c>
      <c r="J1015">
        <v>134216</v>
      </c>
      <c r="K1015">
        <v>636878</v>
      </c>
      <c r="L1015" t="s">
        <v>63</v>
      </c>
      <c r="M1015" t="s">
        <v>1054</v>
      </c>
      <c r="N1015" t="s">
        <v>26</v>
      </c>
      <c r="O1015" t="s">
        <v>28</v>
      </c>
      <c r="P1015" t="s">
        <v>22</v>
      </c>
      <c r="Q1015" t="s">
        <v>23</v>
      </c>
      <c r="R1015" t="b">
        <f>OR(Таблица1[[#This Row],[Ежемесячный платеж]]&lt;$AC$5, Таблица1[[#This Row],[Ежемесячный платеж]]&gt;$AC$6)</f>
        <v>0</v>
      </c>
      <c r="S1015" s="9">
        <f>(Таблица1[[#This Row],[Размер кредита]]-21824)/(789096-21824)</f>
        <v>0.20420919830255763</v>
      </c>
      <c r="T1015" s="9">
        <f>(Таблица1[[#This Row],[Кредитный рейтинг]]-586)/(751-586)</f>
        <v>0.92727272727272725</v>
      </c>
      <c r="U1015" s="9">
        <f>Таблица1[[#This Row],[Ежемесячный платеж]]/(Таблица1[[#This Row],[Годовой доход]]/12)</f>
        <v>0.11300009859016071</v>
      </c>
    </row>
    <row r="1016" spans="1:21" x14ac:dyDescent="0.3">
      <c r="A1016">
        <v>1015</v>
      </c>
      <c r="B1016">
        <v>0</v>
      </c>
      <c r="C1016" s="9">
        <v>346258</v>
      </c>
      <c r="D1016">
        <v>742</v>
      </c>
      <c r="E1016" s="1">
        <v>1626058</v>
      </c>
      <c r="F1016">
        <v>74</v>
      </c>
      <c r="G1016">
        <v>4634.29</v>
      </c>
      <c r="H1016">
        <v>15</v>
      </c>
      <c r="I1016">
        <v>8</v>
      </c>
      <c r="J1016">
        <v>307724</v>
      </c>
      <c r="K1016">
        <v>525514</v>
      </c>
      <c r="L1016" t="s">
        <v>24</v>
      </c>
      <c r="M1016" t="s">
        <v>1055</v>
      </c>
      <c r="N1016" t="s">
        <v>26</v>
      </c>
      <c r="O1016" t="s">
        <v>21</v>
      </c>
      <c r="P1016" t="s">
        <v>22</v>
      </c>
      <c r="Q1016" t="s">
        <v>23</v>
      </c>
      <c r="R1016" t="b">
        <f>OR(Таблица1[[#This Row],[Ежемесячный платеж]]&lt;$AC$5, Таблица1[[#This Row],[Ежемесячный платеж]]&gt;$AC$6)</f>
        <v>0</v>
      </c>
      <c r="S1016" s="9">
        <f>(Таблица1[[#This Row],[Размер кредита]]-21824)/(789096-21824)</f>
        <v>0.4228409221240968</v>
      </c>
      <c r="T1016" s="9">
        <f>(Таблица1[[#This Row],[Кредитный рейтинг]]-586)/(751-586)</f>
        <v>0.94545454545454544</v>
      </c>
      <c r="U1016" s="9">
        <f>Таблица1[[#This Row],[Ежемесячный платеж]]/(Таблица1[[#This Row],[Годовой доход]]/12)</f>
        <v>3.4200182281320837E-2</v>
      </c>
    </row>
    <row r="1017" spans="1:21" x14ac:dyDescent="0.3">
      <c r="A1017">
        <v>1016</v>
      </c>
      <c r="B1017">
        <v>1</v>
      </c>
      <c r="C1017" s="9">
        <v>132968</v>
      </c>
      <c r="D1017">
        <v>728</v>
      </c>
      <c r="E1017" s="1">
        <v>880460</v>
      </c>
      <c r="F1017">
        <v>0</v>
      </c>
      <c r="G1017">
        <v>9465.0400000000009</v>
      </c>
      <c r="H1017">
        <v>21.9</v>
      </c>
      <c r="I1017">
        <v>9</v>
      </c>
      <c r="J1017">
        <v>107578</v>
      </c>
      <c r="K1017">
        <v>177936</v>
      </c>
      <c r="L1017" t="s">
        <v>24</v>
      </c>
      <c r="M1017" t="s">
        <v>1056</v>
      </c>
      <c r="N1017" t="s">
        <v>26</v>
      </c>
      <c r="O1017" t="s">
        <v>34</v>
      </c>
      <c r="P1017" t="s">
        <v>22</v>
      </c>
      <c r="Q1017" t="s">
        <v>23</v>
      </c>
      <c r="R1017" t="b">
        <f>OR(Таблица1[[#This Row],[Ежемесячный платеж]]&lt;$AC$5, Таблица1[[#This Row],[Ежемесячный платеж]]&gt;$AC$6)</f>
        <v>0</v>
      </c>
      <c r="S1017" s="9">
        <f>(Таблица1[[#This Row],[Размер кредита]]-21824)/(789096-21824)</f>
        <v>0.14485606147493979</v>
      </c>
      <c r="T1017" s="9">
        <f>(Таблица1[[#This Row],[Кредитный рейтинг]]-586)/(751-586)</f>
        <v>0.8606060606060606</v>
      </c>
      <c r="U1017" s="9">
        <f>Таблица1[[#This Row],[Ежемесячный платеж]]/(Таблица1[[#This Row],[Годовой доход]]/12)</f>
        <v>0.12900129477772981</v>
      </c>
    </row>
    <row r="1018" spans="1:21" x14ac:dyDescent="0.3">
      <c r="A1018">
        <v>1017</v>
      </c>
      <c r="B1018">
        <v>0</v>
      </c>
      <c r="C1018" s="9">
        <v>218900</v>
      </c>
      <c r="D1018">
        <v>748</v>
      </c>
      <c r="E1018" s="1">
        <v>1890500</v>
      </c>
      <c r="F1018">
        <v>39</v>
      </c>
      <c r="G1018">
        <v>12745.2</v>
      </c>
      <c r="H1018">
        <v>10.8</v>
      </c>
      <c r="I1018">
        <v>9</v>
      </c>
      <c r="J1018">
        <v>171551</v>
      </c>
      <c r="K1018">
        <v>928180</v>
      </c>
      <c r="L1018" t="s">
        <v>63</v>
      </c>
      <c r="M1018" t="s">
        <v>1057</v>
      </c>
      <c r="N1018" t="s">
        <v>26</v>
      </c>
      <c r="O1018" t="s">
        <v>34</v>
      </c>
      <c r="P1018" t="s">
        <v>22</v>
      </c>
      <c r="Q1018" t="s">
        <v>23</v>
      </c>
      <c r="R1018" t="b">
        <f>OR(Таблица1[[#This Row],[Ежемесячный платеж]]&lt;$AC$5, Таблица1[[#This Row],[Ежемесячный платеж]]&gt;$AC$6)</f>
        <v>0</v>
      </c>
      <c r="S1018" s="9">
        <f>(Таблица1[[#This Row],[Размер кредита]]-21824)/(789096-21824)</f>
        <v>0.25685285009748826</v>
      </c>
      <c r="T1018" s="9">
        <f>(Таблица1[[#This Row],[Кредитный рейтинг]]-586)/(751-586)</f>
        <v>0.98181818181818181</v>
      </c>
      <c r="U1018" s="9">
        <f>Таблица1[[#This Row],[Ежемесячный платеж]]/(Таблица1[[#This Row],[Годовой доход]]/12)</f>
        <v>8.0900502512562825E-2</v>
      </c>
    </row>
    <row r="1019" spans="1:21" x14ac:dyDescent="0.3">
      <c r="A1019">
        <v>1018</v>
      </c>
      <c r="B1019">
        <v>0</v>
      </c>
      <c r="C1019" s="9">
        <v>510334</v>
      </c>
      <c r="D1019">
        <v>718</v>
      </c>
      <c r="E1019" s="1">
        <v>900239</v>
      </c>
      <c r="F1019">
        <v>0</v>
      </c>
      <c r="G1019">
        <v>15266.5</v>
      </c>
      <c r="H1019">
        <v>23.6</v>
      </c>
      <c r="I1019">
        <v>8</v>
      </c>
      <c r="J1019">
        <v>361665</v>
      </c>
      <c r="K1019">
        <v>549582</v>
      </c>
      <c r="L1019" t="s">
        <v>63</v>
      </c>
      <c r="M1019" t="s">
        <v>1058</v>
      </c>
      <c r="N1019" t="s">
        <v>26</v>
      </c>
      <c r="O1019" t="s">
        <v>34</v>
      </c>
      <c r="P1019" t="s">
        <v>31</v>
      </c>
      <c r="Q1019" t="s">
        <v>23</v>
      </c>
      <c r="R1019" t="b">
        <f>OR(Таблица1[[#This Row],[Ежемесячный платеж]]&lt;$AC$5, Таблица1[[#This Row],[Ежемесячный платеж]]&gt;$AC$6)</f>
        <v>0</v>
      </c>
      <c r="S1019" s="9">
        <f>(Таблица1[[#This Row],[Размер кредита]]-21824)/(789096-21824)</f>
        <v>0.63668425278128227</v>
      </c>
      <c r="T1019" s="9">
        <f>(Таблица1[[#This Row],[Кредитный рейтинг]]-586)/(751-586)</f>
        <v>0.8</v>
      </c>
      <c r="U1019" s="9">
        <f>Таблица1[[#This Row],[Ежемесячный платеж]]/(Таблица1[[#This Row],[Годовой доход]]/12)</f>
        <v>0.20349929296553471</v>
      </c>
    </row>
    <row r="1020" spans="1:21" x14ac:dyDescent="0.3">
      <c r="A1020">
        <v>1019</v>
      </c>
      <c r="B1020">
        <v>0</v>
      </c>
      <c r="C1020" s="9">
        <v>759308</v>
      </c>
      <c r="D1020">
        <v>680</v>
      </c>
      <c r="E1020" s="1">
        <v>2950909</v>
      </c>
      <c r="F1020">
        <v>0</v>
      </c>
      <c r="G1020">
        <v>30738.77</v>
      </c>
      <c r="H1020">
        <v>28.3</v>
      </c>
      <c r="I1020">
        <v>14</v>
      </c>
      <c r="J1020">
        <v>692075</v>
      </c>
      <c r="K1020">
        <v>1282138</v>
      </c>
      <c r="L1020" t="s">
        <v>37</v>
      </c>
      <c r="M1020" t="s">
        <v>1059</v>
      </c>
      <c r="N1020" t="s">
        <v>20</v>
      </c>
      <c r="O1020" t="s">
        <v>21</v>
      </c>
      <c r="P1020" t="s">
        <v>22</v>
      </c>
      <c r="Q1020" t="s">
        <v>23</v>
      </c>
      <c r="R1020" t="b">
        <f>OR(Таблица1[[#This Row],[Ежемесячный платеж]]&lt;$AC$5, Таблица1[[#This Row],[Ежемесячный платеж]]&gt;$AC$6)</f>
        <v>0</v>
      </c>
      <c r="S1020" s="9">
        <f>(Таблица1[[#This Row],[Размер кредита]]-21824)/(789096-21824)</f>
        <v>0.96117674045188672</v>
      </c>
      <c r="T1020" s="9">
        <f>(Таблица1[[#This Row],[Кредитный рейтинг]]-586)/(751-586)</f>
        <v>0.5696969696969697</v>
      </c>
      <c r="U1020" s="9">
        <f>Таблица1[[#This Row],[Ежемесячный платеж]]/(Таблица1[[#This Row],[Годовой доход]]/12)</f>
        <v>0.12500054728898791</v>
      </c>
    </row>
    <row r="1021" spans="1:21" x14ac:dyDescent="0.3">
      <c r="A1021">
        <v>1020</v>
      </c>
      <c r="B1021">
        <v>1</v>
      </c>
      <c r="C1021" s="9">
        <v>132550</v>
      </c>
      <c r="D1021">
        <v>654</v>
      </c>
      <c r="E1021" s="1">
        <v>622478</v>
      </c>
      <c r="F1021">
        <v>19</v>
      </c>
      <c r="G1021">
        <v>14213.14</v>
      </c>
      <c r="H1021">
        <v>15.6</v>
      </c>
      <c r="I1021">
        <v>14</v>
      </c>
      <c r="J1021">
        <v>178391</v>
      </c>
      <c r="K1021">
        <v>320760</v>
      </c>
      <c r="L1021" t="s">
        <v>32</v>
      </c>
      <c r="M1021" t="s">
        <v>1060</v>
      </c>
      <c r="N1021" t="s">
        <v>26</v>
      </c>
      <c r="O1021" t="s">
        <v>34</v>
      </c>
      <c r="P1021" t="s">
        <v>22</v>
      </c>
      <c r="Q1021" t="s">
        <v>23</v>
      </c>
      <c r="R1021" t="b">
        <f>OR(Таблица1[[#This Row],[Ежемесячный платеж]]&lt;$AC$5, Таблица1[[#This Row],[Ежемесячный платеж]]&gt;$AC$6)</f>
        <v>0</v>
      </c>
      <c r="S1021" s="9">
        <f>(Таблица1[[#This Row],[Размер кредита]]-21824)/(789096-21824)</f>
        <v>0.14431127422869594</v>
      </c>
      <c r="T1021" s="9">
        <f>(Таблица1[[#This Row],[Кредитный рейтинг]]-586)/(751-586)</f>
        <v>0.41212121212121211</v>
      </c>
      <c r="U1021" s="9">
        <f>Таблица1[[#This Row],[Ежемесячный платеж]]/(Таблица1[[#This Row],[Годовой доход]]/12)</f>
        <v>0.27399792442463833</v>
      </c>
    </row>
    <row r="1022" spans="1:21" x14ac:dyDescent="0.3">
      <c r="A1022">
        <v>1021</v>
      </c>
      <c r="B1022">
        <v>0</v>
      </c>
      <c r="C1022" s="9">
        <v>307538</v>
      </c>
      <c r="D1022">
        <v>739</v>
      </c>
      <c r="E1022" s="1">
        <v>1043442</v>
      </c>
      <c r="F1022">
        <v>0</v>
      </c>
      <c r="G1022">
        <v>22259.83</v>
      </c>
      <c r="H1022">
        <v>9</v>
      </c>
      <c r="I1022">
        <v>10</v>
      </c>
      <c r="J1022">
        <v>170525</v>
      </c>
      <c r="K1022">
        <v>399674</v>
      </c>
      <c r="L1022" t="s">
        <v>69</v>
      </c>
      <c r="M1022" t="s">
        <v>1061</v>
      </c>
      <c r="N1022" t="s">
        <v>26</v>
      </c>
      <c r="O1022" t="s">
        <v>34</v>
      </c>
      <c r="P1022" t="s">
        <v>22</v>
      </c>
      <c r="Q1022" t="s">
        <v>23</v>
      </c>
      <c r="R1022" t="b">
        <f>OR(Таблица1[[#This Row],[Ежемесячный платеж]]&lt;$AC$5, Таблица1[[#This Row],[Ежемесячный платеж]]&gt;$AC$6)</f>
        <v>0</v>
      </c>
      <c r="S1022" s="9">
        <f>(Таблица1[[#This Row],[Размер кредита]]-21824)/(789096-21824)</f>
        <v>0.3723764193141415</v>
      </c>
      <c r="T1022" s="9">
        <f>(Таблица1[[#This Row],[Кредитный рейтинг]]-586)/(751-586)</f>
        <v>0.92727272727272725</v>
      </c>
      <c r="U1022" s="9">
        <f>Таблица1[[#This Row],[Ежемесячный платеж]]/(Таблица1[[#This Row],[Годовой доход]]/12)</f>
        <v>0.25599694089369607</v>
      </c>
    </row>
    <row r="1023" spans="1:21" x14ac:dyDescent="0.3">
      <c r="A1023">
        <v>1022</v>
      </c>
      <c r="B1023">
        <v>0</v>
      </c>
      <c r="C1023" s="9">
        <v>582912</v>
      </c>
      <c r="D1023">
        <v>685</v>
      </c>
      <c r="E1023" s="1">
        <v>1411472</v>
      </c>
      <c r="F1023">
        <v>48</v>
      </c>
      <c r="G1023">
        <v>10162.530000000001</v>
      </c>
      <c r="H1023">
        <v>14.7</v>
      </c>
      <c r="I1023">
        <v>12</v>
      </c>
      <c r="J1023">
        <v>373255</v>
      </c>
      <c r="K1023">
        <v>1445422</v>
      </c>
      <c r="L1023" t="s">
        <v>69</v>
      </c>
      <c r="M1023" t="s">
        <v>1062</v>
      </c>
      <c r="N1023" t="s">
        <v>26</v>
      </c>
      <c r="O1023" t="s">
        <v>21</v>
      </c>
      <c r="P1023" t="s">
        <v>31</v>
      </c>
      <c r="Q1023" t="s">
        <v>36</v>
      </c>
      <c r="R1023" t="b">
        <f>OR(Таблица1[[#This Row],[Ежемесячный платеж]]&lt;$AC$5, Таблица1[[#This Row],[Ежемесячный платеж]]&gt;$AC$6)</f>
        <v>0</v>
      </c>
      <c r="S1023" s="9">
        <f>(Таблица1[[#This Row],[Размер кредита]]-21824)/(789096-21824)</f>
        <v>0.73127652253698816</v>
      </c>
      <c r="T1023" s="9">
        <f>(Таблица1[[#This Row],[Кредитный рейтинг]]-586)/(751-586)</f>
        <v>0.6</v>
      </c>
      <c r="U1023" s="9">
        <f>Таблица1[[#This Row],[Ежемесячный платеж]]/(Таблица1[[#This Row],[Годовой доход]]/12)</f>
        <v>8.6399418479431403E-2</v>
      </c>
    </row>
    <row r="1024" spans="1:21" x14ac:dyDescent="0.3">
      <c r="A1024">
        <v>1023</v>
      </c>
      <c r="B1024">
        <v>0</v>
      </c>
      <c r="C1024" s="9">
        <v>98252</v>
      </c>
      <c r="D1024">
        <v>725</v>
      </c>
      <c r="E1024" s="1">
        <v>1602897</v>
      </c>
      <c r="F1024">
        <v>0</v>
      </c>
      <c r="G1024">
        <v>34328.629999999997</v>
      </c>
      <c r="H1024">
        <v>34.299999999999997</v>
      </c>
      <c r="I1024">
        <v>15</v>
      </c>
      <c r="J1024">
        <v>335825</v>
      </c>
      <c r="K1024">
        <v>430144</v>
      </c>
      <c r="L1024" t="s">
        <v>24</v>
      </c>
      <c r="M1024" t="s">
        <v>1063</v>
      </c>
      <c r="N1024" t="s">
        <v>20</v>
      </c>
      <c r="O1024" t="s">
        <v>21</v>
      </c>
      <c r="P1024" t="s">
        <v>22</v>
      </c>
      <c r="Q1024" t="s">
        <v>23</v>
      </c>
      <c r="R1024" t="b">
        <f>OR(Таблица1[[#This Row],[Ежемесячный платеж]]&lt;$AC$5, Таблица1[[#This Row],[Ежемесячный платеж]]&gt;$AC$6)</f>
        <v>0</v>
      </c>
      <c r="S1024" s="9">
        <f>(Таблица1[[#This Row],[Размер кредита]]-21824)/(789096-21824)</f>
        <v>9.9610047023741252E-2</v>
      </c>
      <c r="T1024" s="9">
        <f>(Таблица1[[#This Row],[Кредитный рейтинг]]-586)/(751-586)</f>
        <v>0.84242424242424241</v>
      </c>
      <c r="U1024" s="9">
        <f>Таблица1[[#This Row],[Ежемесячный платеж]]/(Таблица1[[#This Row],[Годовой доход]]/12)</f>
        <v>0.2569993954695779</v>
      </c>
    </row>
    <row r="1025" spans="1:21" x14ac:dyDescent="0.3">
      <c r="A1025">
        <v>1024</v>
      </c>
      <c r="B1025">
        <v>0</v>
      </c>
      <c r="C1025" s="9">
        <v>241538</v>
      </c>
      <c r="D1025">
        <f>$Y$13</f>
        <v>723</v>
      </c>
      <c r="E1025">
        <f>$AB$13</f>
        <v>1168044</v>
      </c>
      <c r="F1025">
        <v>0</v>
      </c>
      <c r="G1025">
        <v>12057.02</v>
      </c>
      <c r="H1025">
        <v>38.5</v>
      </c>
      <c r="I1025">
        <v>18</v>
      </c>
      <c r="J1025">
        <v>391837</v>
      </c>
      <c r="K1025">
        <v>790438</v>
      </c>
      <c r="L1025" t="s">
        <v>47</v>
      </c>
      <c r="M1025" t="s">
        <v>1064</v>
      </c>
      <c r="N1025" t="s">
        <v>26</v>
      </c>
      <c r="O1025" t="s">
        <v>21</v>
      </c>
      <c r="P1025" t="s">
        <v>22</v>
      </c>
      <c r="Q1025" t="s">
        <v>36</v>
      </c>
      <c r="R1025" t="b">
        <f>OR(Таблица1[[#This Row],[Ежемесячный платеж]]&lt;$AC$5, Таблица1[[#This Row],[Ежемесячный платеж]]&gt;$AC$6)</f>
        <v>0</v>
      </c>
      <c r="S1025" s="9">
        <f>(Таблица1[[#This Row],[Размер кредита]]-21824)/(789096-21824)</f>
        <v>0.28635738043353598</v>
      </c>
      <c r="T1025" s="9">
        <f>(Таблица1[[#This Row],[Кредитный рейтинг]]-586)/(751-586)</f>
        <v>0.83030303030303032</v>
      </c>
      <c r="U1025" s="9">
        <f>Таблица1[[#This Row],[Ежемесячный платеж]]/(Таблица1[[#This Row],[Годовой доход]]/12)</f>
        <v>0.12386882685926215</v>
      </c>
    </row>
    <row r="1026" spans="1:21" x14ac:dyDescent="0.3">
      <c r="A1026">
        <v>1025</v>
      </c>
      <c r="B1026">
        <v>0</v>
      </c>
      <c r="C1026" s="9">
        <v>751300</v>
      </c>
      <c r="D1026">
        <v>716</v>
      </c>
      <c r="E1026" s="1">
        <v>3614978</v>
      </c>
      <c r="F1026">
        <v>69</v>
      </c>
      <c r="G1026">
        <v>72600.710000000006</v>
      </c>
      <c r="H1026">
        <v>11.9</v>
      </c>
      <c r="I1026">
        <v>29</v>
      </c>
      <c r="J1026">
        <v>957752</v>
      </c>
      <c r="K1026">
        <v>2128522</v>
      </c>
      <c r="L1026" t="s">
        <v>69</v>
      </c>
      <c r="M1026" t="s">
        <v>1065</v>
      </c>
      <c r="N1026" t="s">
        <v>26</v>
      </c>
      <c r="O1026" t="s">
        <v>21</v>
      </c>
      <c r="P1026" t="s">
        <v>22</v>
      </c>
      <c r="Q1026" t="s">
        <v>23</v>
      </c>
      <c r="R1026" t="b">
        <f>OR(Таблица1[[#This Row],[Ежемесячный платеж]]&lt;$AC$5, Таблица1[[#This Row],[Ежемесячный платеж]]&gt;$AC$6)</f>
        <v>1</v>
      </c>
      <c r="S1026" s="9">
        <f>(Таблица1[[#This Row],[Размер кредита]]-21824)/(789096-21824)</f>
        <v>0.95073976373437319</v>
      </c>
      <c r="T1026" s="9">
        <f>(Таблица1[[#This Row],[Кредитный рейтинг]]-586)/(751-586)</f>
        <v>0.78787878787878785</v>
      </c>
      <c r="U1026" s="9">
        <f>Таблица1[[#This Row],[Ежемесячный платеж]]/(Таблица1[[#This Row],[Годовой доход]]/12)</f>
        <v>0.24099967413356319</v>
      </c>
    </row>
    <row r="1027" spans="1:21" x14ac:dyDescent="0.3">
      <c r="A1027">
        <v>1026</v>
      </c>
      <c r="B1027">
        <v>0</v>
      </c>
      <c r="C1027" s="9">
        <v>248248</v>
      </c>
      <c r="D1027">
        <v>710</v>
      </c>
      <c r="E1027" s="1">
        <v>618089</v>
      </c>
      <c r="F1027">
        <v>77</v>
      </c>
      <c r="G1027">
        <v>6953.62</v>
      </c>
      <c r="H1027">
        <v>12.8</v>
      </c>
      <c r="I1027">
        <v>6</v>
      </c>
      <c r="J1027">
        <v>51585</v>
      </c>
      <c r="K1027">
        <v>136378</v>
      </c>
      <c r="L1027" t="s">
        <v>24</v>
      </c>
      <c r="M1027" t="s">
        <v>1066</v>
      </c>
      <c r="N1027" t="s">
        <v>68</v>
      </c>
      <c r="O1027" t="s">
        <v>34</v>
      </c>
      <c r="P1027" t="s">
        <v>22</v>
      </c>
      <c r="Q1027" t="s">
        <v>23</v>
      </c>
      <c r="R1027" t="b">
        <f>OR(Таблица1[[#This Row],[Ежемесячный платеж]]&lt;$AC$5, Таблица1[[#This Row],[Ежемесячный платеж]]&gt;$AC$6)</f>
        <v>0</v>
      </c>
      <c r="S1027" s="9">
        <f>(Таблица1[[#This Row],[Размер кредита]]-21824)/(789096-21824)</f>
        <v>0.29510264938639752</v>
      </c>
      <c r="T1027" s="9">
        <f>(Таблица1[[#This Row],[Кредитный рейтинг]]-586)/(751-586)</f>
        <v>0.75151515151515147</v>
      </c>
      <c r="U1027" s="9">
        <f>Таблица1[[#This Row],[Ежемесячный платеж]]/(Таблица1[[#This Row],[Годовой доход]]/12)</f>
        <v>0.13500230549322184</v>
      </c>
    </row>
    <row r="1028" spans="1:21" x14ac:dyDescent="0.3">
      <c r="A1028">
        <v>1027</v>
      </c>
      <c r="B1028">
        <v>0</v>
      </c>
      <c r="C1028" s="9">
        <v>82126</v>
      </c>
      <c r="D1028">
        <v>717</v>
      </c>
      <c r="E1028" s="1">
        <v>2015672</v>
      </c>
      <c r="F1028">
        <v>0</v>
      </c>
      <c r="G1028">
        <v>23180.38</v>
      </c>
      <c r="H1028">
        <v>24</v>
      </c>
      <c r="I1028">
        <v>8</v>
      </c>
      <c r="J1028">
        <v>157016</v>
      </c>
      <c r="K1028">
        <v>242088</v>
      </c>
      <c r="L1028" t="s">
        <v>63</v>
      </c>
      <c r="M1028" t="s">
        <v>1067</v>
      </c>
      <c r="N1028" t="s">
        <v>26</v>
      </c>
      <c r="O1028" t="s">
        <v>34</v>
      </c>
      <c r="P1028" t="s">
        <v>22</v>
      </c>
      <c r="Q1028" t="s">
        <v>23</v>
      </c>
      <c r="R1028" t="b">
        <f>OR(Таблица1[[#This Row],[Ежемесячный платеж]]&lt;$AC$5, Таблица1[[#This Row],[Ежемесячный платеж]]&gt;$AC$6)</f>
        <v>0</v>
      </c>
      <c r="S1028" s="9">
        <f>(Таблица1[[#This Row],[Размер кредита]]-21824)/(789096-21824)</f>
        <v>7.8592728523913288E-2</v>
      </c>
      <c r="T1028" s="9">
        <f>(Таблица1[[#This Row],[Кредитный рейтинг]]-586)/(751-586)</f>
        <v>0.79393939393939394</v>
      </c>
      <c r="U1028" s="9">
        <f>Таблица1[[#This Row],[Ежемесячный платеж]]/(Таблица1[[#This Row],[Годовой доход]]/12)</f>
        <v>0.13800090490913205</v>
      </c>
    </row>
    <row r="1029" spans="1:21" x14ac:dyDescent="0.3">
      <c r="A1029">
        <v>1028</v>
      </c>
      <c r="B1029">
        <v>0</v>
      </c>
      <c r="C1029" s="9">
        <v>108834</v>
      </c>
      <c r="D1029">
        <f>$Y$13</f>
        <v>723</v>
      </c>
      <c r="E1029">
        <f>$AB$13</f>
        <v>1168044</v>
      </c>
      <c r="F1029">
        <v>0</v>
      </c>
      <c r="G1029">
        <v>13392.72</v>
      </c>
      <c r="H1029">
        <v>16</v>
      </c>
      <c r="I1029">
        <v>10</v>
      </c>
      <c r="J1029">
        <v>224428</v>
      </c>
      <c r="K1029">
        <v>315766</v>
      </c>
      <c r="L1029" t="s">
        <v>37</v>
      </c>
      <c r="M1029" t="s">
        <v>1068</v>
      </c>
      <c r="N1029" t="s">
        <v>26</v>
      </c>
      <c r="O1029" t="s">
        <v>34</v>
      </c>
      <c r="P1029" t="s">
        <v>22</v>
      </c>
      <c r="Q1029" t="s">
        <v>36</v>
      </c>
      <c r="R1029" t="b">
        <f>OR(Таблица1[[#This Row],[Ежемесячный платеж]]&lt;$AC$5, Таблица1[[#This Row],[Ежемесячный платеж]]&gt;$AC$6)</f>
        <v>0</v>
      </c>
      <c r="S1029" s="9">
        <f>(Таблица1[[#This Row],[Размер кредита]]-21824)/(789096-21824)</f>
        <v>0.11340176625759835</v>
      </c>
      <c r="T1029" s="9">
        <f>(Таблица1[[#This Row],[Кредитный рейтинг]]-586)/(751-586)</f>
        <v>0.83030303030303032</v>
      </c>
      <c r="U1029" s="9">
        <f>Таблица1[[#This Row],[Ежемесячный платеж]]/(Таблица1[[#This Row],[Годовой доход]]/12)</f>
        <v>0.13759125512395079</v>
      </c>
    </row>
    <row r="1030" spans="1:21" x14ac:dyDescent="0.3">
      <c r="A1030">
        <v>1029</v>
      </c>
      <c r="B1030">
        <v>0</v>
      </c>
      <c r="C1030" s="9">
        <v>523204</v>
      </c>
      <c r="D1030">
        <v>739</v>
      </c>
      <c r="E1030" s="1">
        <v>1694439</v>
      </c>
      <c r="F1030">
        <v>0</v>
      </c>
      <c r="G1030">
        <v>28240.65</v>
      </c>
      <c r="H1030">
        <v>19.600000000000001</v>
      </c>
      <c r="I1030">
        <v>10</v>
      </c>
      <c r="J1030">
        <v>339055</v>
      </c>
      <c r="K1030">
        <v>594836</v>
      </c>
      <c r="L1030" t="s">
        <v>24</v>
      </c>
      <c r="M1030" t="s">
        <v>1069</v>
      </c>
      <c r="N1030" t="s">
        <v>26</v>
      </c>
      <c r="O1030" t="s">
        <v>21</v>
      </c>
      <c r="P1030" t="s">
        <v>31</v>
      </c>
      <c r="Q1030" t="s">
        <v>36</v>
      </c>
      <c r="R1030" t="b">
        <f>OR(Таблица1[[#This Row],[Ежемесячный платеж]]&lt;$AC$5, Таблица1[[#This Row],[Ежемесячный платеж]]&gt;$AC$6)</f>
        <v>0</v>
      </c>
      <c r="S1030" s="9">
        <f>(Таблица1[[#This Row],[Размер кредита]]-21824)/(789096-21824)</f>
        <v>0.65345796536300038</v>
      </c>
      <c r="T1030" s="9">
        <f>(Таблица1[[#This Row],[Кредитный рейтинг]]-586)/(751-586)</f>
        <v>0.92727272727272725</v>
      </c>
      <c r="U1030" s="9">
        <f>Таблица1[[#This Row],[Ежемесячный платеж]]/(Таблица1[[#This Row],[Годовой доход]]/12)</f>
        <v>0.2</v>
      </c>
    </row>
    <row r="1031" spans="1:21" x14ac:dyDescent="0.3">
      <c r="A1031">
        <v>1030</v>
      </c>
      <c r="B1031">
        <v>0</v>
      </c>
      <c r="C1031" s="9">
        <v>150744</v>
      </c>
      <c r="D1031">
        <f>$Y$13</f>
        <v>723</v>
      </c>
      <c r="E1031">
        <f>$AB$13</f>
        <v>1168044</v>
      </c>
      <c r="F1031">
        <v>76</v>
      </c>
      <c r="G1031">
        <v>17297.22</v>
      </c>
      <c r="H1031">
        <v>14.5</v>
      </c>
      <c r="I1031">
        <v>9</v>
      </c>
      <c r="J1031">
        <v>171893</v>
      </c>
      <c r="K1031">
        <v>318956</v>
      </c>
      <c r="L1031" t="s">
        <v>29</v>
      </c>
      <c r="M1031" t="s">
        <v>1070</v>
      </c>
      <c r="N1031" t="s">
        <v>26</v>
      </c>
      <c r="O1031" t="s">
        <v>34</v>
      </c>
      <c r="P1031" t="s">
        <v>22</v>
      </c>
      <c r="Q1031" t="s">
        <v>23</v>
      </c>
      <c r="R1031" t="b">
        <f>OR(Таблица1[[#This Row],[Ежемесячный платеж]]&lt;$AC$5, Таблица1[[#This Row],[Ежемесячный платеж]]&gt;$AC$6)</f>
        <v>0</v>
      </c>
      <c r="S1031" s="9">
        <f>(Таблица1[[#This Row],[Размер кредита]]-21824)/(789096-21824)</f>
        <v>0.1680238559467829</v>
      </c>
      <c r="T1031" s="9">
        <f>(Таблица1[[#This Row],[Кредитный рейтинг]]-586)/(751-586)</f>
        <v>0.83030303030303032</v>
      </c>
      <c r="U1031" s="9">
        <f>Таблица1[[#This Row],[Ежемесячный платеж]]/(Таблица1[[#This Row],[Годовой доход]]/12)</f>
        <v>0.17770447003708767</v>
      </c>
    </row>
    <row r="1032" spans="1:21" x14ac:dyDescent="0.3">
      <c r="A1032">
        <v>1031</v>
      </c>
      <c r="B1032">
        <v>0</v>
      </c>
      <c r="D1032">
        <v>749</v>
      </c>
      <c r="E1032" s="1">
        <v>800280</v>
      </c>
      <c r="F1032">
        <v>0</v>
      </c>
      <c r="G1032">
        <v>8336.06</v>
      </c>
      <c r="H1032">
        <v>16.899999999999999</v>
      </c>
      <c r="I1032">
        <v>7</v>
      </c>
      <c r="J1032">
        <v>288895</v>
      </c>
      <c r="K1032">
        <v>899228</v>
      </c>
      <c r="L1032" t="s">
        <v>24</v>
      </c>
      <c r="M1032" t="s">
        <v>1071</v>
      </c>
      <c r="N1032" t="s">
        <v>26</v>
      </c>
      <c r="O1032" t="s">
        <v>34</v>
      </c>
      <c r="P1032" t="s">
        <v>22</v>
      </c>
      <c r="Q1032" t="s">
        <v>23</v>
      </c>
      <c r="R1032" t="b">
        <f>OR(Таблица1[[#This Row],[Ежемесячный платеж]]&lt;$AC$5, Таблица1[[#This Row],[Ежемесячный платеж]]&gt;$AC$6)</f>
        <v>0</v>
      </c>
      <c r="T1032" s="9">
        <f>(Таблица1[[#This Row],[Кредитный рейтинг]]-586)/(751-586)</f>
        <v>0.98787878787878791</v>
      </c>
      <c r="U1032" s="9">
        <f>Таблица1[[#This Row],[Ежемесячный платеж]]/(Таблица1[[#This Row],[Годовой доход]]/12)</f>
        <v>0.12499715099715099</v>
      </c>
    </row>
    <row r="1033" spans="1:21" x14ac:dyDescent="0.3">
      <c r="A1033">
        <v>1032</v>
      </c>
      <c r="B1033">
        <v>0</v>
      </c>
      <c r="C1033" s="9">
        <v>223784</v>
      </c>
      <c r="D1033">
        <f>$Y$13</f>
        <v>723</v>
      </c>
      <c r="E1033">
        <f>$AB$13</f>
        <v>1168044</v>
      </c>
      <c r="F1033">
        <v>14</v>
      </c>
      <c r="G1033">
        <v>18060.07</v>
      </c>
      <c r="H1033">
        <v>31</v>
      </c>
      <c r="I1033">
        <v>14</v>
      </c>
      <c r="J1033">
        <v>399000</v>
      </c>
      <c r="K1033">
        <v>1279784</v>
      </c>
      <c r="L1033" t="s">
        <v>18</v>
      </c>
      <c r="M1033" t="s">
        <v>1072</v>
      </c>
      <c r="N1033" t="s">
        <v>26</v>
      </c>
      <c r="O1033" t="s">
        <v>28</v>
      </c>
      <c r="P1033" t="s">
        <v>22</v>
      </c>
      <c r="Q1033" t="s">
        <v>23</v>
      </c>
      <c r="R1033" t="b">
        <f>OR(Таблица1[[#This Row],[Ежемесячный платеж]]&lt;$AC$5, Таблица1[[#This Row],[Ежемесячный платеж]]&gt;$AC$6)</f>
        <v>0</v>
      </c>
      <c r="S1033" s="9">
        <f>(Таблица1[[#This Row],[Размер кредита]]-21824)/(789096-21824)</f>
        <v>0.26321825897465306</v>
      </c>
      <c r="T1033" s="9">
        <f>(Таблица1[[#This Row],[Кредитный рейтинг]]-586)/(751-586)</f>
        <v>0.83030303030303032</v>
      </c>
      <c r="U1033" s="9">
        <f>Таблица1[[#This Row],[Ежемесячный платеж]]/(Таблица1[[#This Row],[Годовой доход]]/12)</f>
        <v>0.18554167479992192</v>
      </c>
    </row>
    <row r="1034" spans="1:21" x14ac:dyDescent="0.3">
      <c r="A1034">
        <v>1033</v>
      </c>
      <c r="B1034">
        <v>0</v>
      </c>
      <c r="C1034" s="9">
        <v>477818</v>
      </c>
      <c r="D1034">
        <f>$Y$13</f>
        <v>723</v>
      </c>
      <c r="E1034">
        <f>$AB$13</f>
        <v>1168044</v>
      </c>
      <c r="F1034">
        <v>0</v>
      </c>
      <c r="G1034">
        <v>8310.41</v>
      </c>
      <c r="H1034">
        <v>21.3</v>
      </c>
      <c r="I1034">
        <v>12</v>
      </c>
      <c r="J1034">
        <v>65265</v>
      </c>
      <c r="K1034">
        <v>469348</v>
      </c>
      <c r="L1034" t="s">
        <v>24</v>
      </c>
      <c r="M1034" t="s">
        <v>1073</v>
      </c>
      <c r="N1034" t="s">
        <v>68</v>
      </c>
      <c r="O1034" t="s">
        <v>34</v>
      </c>
      <c r="P1034" t="s">
        <v>31</v>
      </c>
      <c r="Q1034" t="s">
        <v>36</v>
      </c>
      <c r="R1034" t="b">
        <f>OR(Таблица1[[#This Row],[Ежемесячный платеж]]&lt;$AC$5, Таблица1[[#This Row],[Ежемесячный платеж]]&gt;$AC$6)</f>
        <v>0</v>
      </c>
      <c r="S1034" s="9">
        <f>(Таблица1[[#This Row],[Размер кредита]]-21824)/(789096-21824)</f>
        <v>0.59430553962610388</v>
      </c>
      <c r="T1034" s="9">
        <f>(Таблица1[[#This Row],[Кредитный рейтинг]]-586)/(751-586)</f>
        <v>0.83030303030303032</v>
      </c>
      <c r="U1034" s="9">
        <f>Таблица1[[#This Row],[Ежемесячный платеж]]/(Таблица1[[#This Row],[Годовой доход]]/12)</f>
        <v>8.5377708373999606E-2</v>
      </c>
    </row>
    <row r="1035" spans="1:21" x14ac:dyDescent="0.3">
      <c r="A1035">
        <v>1034</v>
      </c>
      <c r="B1035">
        <v>0</v>
      </c>
      <c r="D1035">
        <v>740</v>
      </c>
      <c r="E1035" s="1">
        <v>2128152</v>
      </c>
      <c r="F1035">
        <v>0</v>
      </c>
      <c r="G1035">
        <v>43449.77</v>
      </c>
      <c r="H1035">
        <v>28.6</v>
      </c>
      <c r="I1035">
        <v>8</v>
      </c>
      <c r="J1035">
        <v>521759</v>
      </c>
      <c r="K1035">
        <v>808764</v>
      </c>
      <c r="L1035" t="s">
        <v>24</v>
      </c>
      <c r="M1035" t="s">
        <v>1074</v>
      </c>
      <c r="N1035" t="s">
        <v>26</v>
      </c>
      <c r="O1035" t="s">
        <v>34</v>
      </c>
      <c r="P1035" t="s">
        <v>22</v>
      </c>
      <c r="Q1035" t="s">
        <v>23</v>
      </c>
      <c r="R1035" t="b">
        <f>OR(Таблица1[[#This Row],[Ежемесячный платеж]]&lt;$AC$5, Таблица1[[#This Row],[Ежемесячный платеж]]&gt;$AC$6)</f>
        <v>0</v>
      </c>
      <c r="T1035" s="9">
        <f>(Таблица1[[#This Row],[Кредитный рейтинг]]-586)/(751-586)</f>
        <v>0.93333333333333335</v>
      </c>
      <c r="U1035" s="9">
        <f>Таблица1[[#This Row],[Ежемесячный платеж]]/(Таблица1[[#This Row],[Годовой доход]]/12)</f>
        <v>0.245</v>
      </c>
    </row>
    <row r="1036" spans="1:21" x14ac:dyDescent="0.3">
      <c r="A1036">
        <v>1035</v>
      </c>
      <c r="B1036">
        <v>0</v>
      </c>
      <c r="C1036" s="9">
        <v>332970</v>
      </c>
      <c r="D1036">
        <v>723</v>
      </c>
      <c r="E1036" s="1">
        <v>996892</v>
      </c>
      <c r="F1036">
        <v>0</v>
      </c>
      <c r="G1036">
        <v>19190.189999999999</v>
      </c>
      <c r="H1036">
        <v>12.8</v>
      </c>
      <c r="I1036">
        <v>14</v>
      </c>
      <c r="J1036">
        <v>209836</v>
      </c>
      <c r="K1036">
        <v>310684</v>
      </c>
      <c r="L1036" t="s">
        <v>37</v>
      </c>
      <c r="M1036" t="s">
        <v>1075</v>
      </c>
      <c r="N1036" t="s">
        <v>26</v>
      </c>
      <c r="O1036" t="s">
        <v>34</v>
      </c>
      <c r="P1036" t="s">
        <v>31</v>
      </c>
      <c r="Q1036" t="s">
        <v>23</v>
      </c>
      <c r="R1036" t="b">
        <f>OR(Таблица1[[#This Row],[Ежемесячный платеж]]&lt;$AC$5, Таблица1[[#This Row],[Ежемесячный платеж]]&gt;$AC$6)</f>
        <v>0</v>
      </c>
      <c r="S1036" s="9">
        <f>(Таблица1[[#This Row],[Размер кредита]]-21824)/(789096-21824)</f>
        <v>0.40552242229613489</v>
      </c>
      <c r="T1036" s="9">
        <f>(Таблица1[[#This Row],[Кредитный рейтинг]]-586)/(751-586)</f>
        <v>0.83030303030303032</v>
      </c>
      <c r="U1036" s="9">
        <f>Таблица1[[#This Row],[Ежемесячный платеж]]/(Таблица1[[#This Row],[Годовой доход]]/12)</f>
        <v>0.23100022871083326</v>
      </c>
    </row>
    <row r="1037" spans="1:21" x14ac:dyDescent="0.3">
      <c r="A1037">
        <v>1036</v>
      </c>
      <c r="B1037">
        <v>0</v>
      </c>
      <c r="C1037" s="9">
        <v>267608</v>
      </c>
      <c r="D1037">
        <f>$Y$13</f>
        <v>723</v>
      </c>
      <c r="E1037">
        <f>$AB$13</f>
        <v>1168044</v>
      </c>
      <c r="F1037">
        <v>16</v>
      </c>
      <c r="G1037">
        <v>49354.59</v>
      </c>
      <c r="H1037">
        <v>16.2</v>
      </c>
      <c r="I1037">
        <v>12</v>
      </c>
      <c r="J1037">
        <v>374224</v>
      </c>
      <c r="K1037">
        <v>743270</v>
      </c>
      <c r="L1037" t="s">
        <v>29</v>
      </c>
      <c r="M1037" t="s">
        <v>1076</v>
      </c>
      <c r="N1037" t="s">
        <v>26</v>
      </c>
      <c r="O1037" t="s">
        <v>34</v>
      </c>
      <c r="P1037" t="s">
        <v>22</v>
      </c>
      <c r="Q1037" t="s">
        <v>23</v>
      </c>
      <c r="R1037" t="b">
        <f>OR(Таблица1[[#This Row],[Ежемесячный платеж]]&lt;$AC$5, Таблица1[[#This Row],[Ежемесячный платеж]]&gt;$AC$6)</f>
        <v>1</v>
      </c>
      <c r="S1037" s="9">
        <f>(Таблица1[[#This Row],[Размер кредита]]-21824)/(789096-21824)</f>
        <v>0.32033490079137517</v>
      </c>
      <c r="T1037" s="9">
        <f>(Таблица1[[#This Row],[Кредитный рейтинг]]-586)/(751-586)</f>
        <v>0.83030303030303032</v>
      </c>
      <c r="U1037" s="9">
        <f>Таблица1[[#This Row],[Ежемесячный платеж]]/(Таблица1[[#This Row],[Годовой доход]]/12)</f>
        <v>0.50704860433339838</v>
      </c>
    </row>
    <row r="1038" spans="1:21" x14ac:dyDescent="0.3">
      <c r="A1038">
        <v>1037</v>
      </c>
      <c r="B1038">
        <v>0</v>
      </c>
      <c r="C1038" s="9">
        <v>216238</v>
      </c>
      <c r="D1038">
        <f>$Y$13</f>
        <v>723</v>
      </c>
      <c r="E1038">
        <f>$AB$13</f>
        <v>1168044</v>
      </c>
      <c r="F1038">
        <v>0</v>
      </c>
      <c r="G1038">
        <v>5168.38</v>
      </c>
      <c r="H1038">
        <v>31.7</v>
      </c>
      <c r="I1038">
        <v>2</v>
      </c>
      <c r="J1038">
        <v>155629</v>
      </c>
      <c r="K1038">
        <v>237710</v>
      </c>
      <c r="L1038" t="s">
        <v>24</v>
      </c>
      <c r="M1038" t="s">
        <v>1077</v>
      </c>
      <c r="N1038" t="s">
        <v>26</v>
      </c>
      <c r="O1038" t="s">
        <v>21</v>
      </c>
      <c r="P1038" t="s">
        <v>22</v>
      </c>
      <c r="Q1038" t="s">
        <v>36</v>
      </c>
      <c r="R1038" t="b">
        <f>OR(Таблица1[[#This Row],[Ежемесячный платеж]]&lt;$AC$5, Таблица1[[#This Row],[Ежемесячный платеж]]&gt;$AC$6)</f>
        <v>0</v>
      </c>
      <c r="S1038" s="9">
        <f>(Таблица1[[#This Row],[Размер кредита]]-21824)/(789096-21824)</f>
        <v>0.25338341552930382</v>
      </c>
      <c r="T1038" s="9">
        <f>(Таблица1[[#This Row],[Кредитный рейтинг]]-586)/(751-586)</f>
        <v>0.83030303030303032</v>
      </c>
      <c r="U1038" s="9">
        <f>Таблица1[[#This Row],[Ежемесячный платеж]]/(Таблица1[[#This Row],[Годовой доход]]/12)</f>
        <v>5.3097794261175092E-2</v>
      </c>
    </row>
    <row r="1039" spans="1:21" x14ac:dyDescent="0.3">
      <c r="A1039">
        <v>1038</v>
      </c>
      <c r="B1039">
        <v>0</v>
      </c>
      <c r="C1039" s="9">
        <v>351516</v>
      </c>
      <c r="D1039">
        <f>$Y$13</f>
        <v>723</v>
      </c>
      <c r="E1039">
        <f>$AB$13</f>
        <v>1168044</v>
      </c>
      <c r="F1039">
        <v>0</v>
      </c>
      <c r="G1039">
        <v>38737.39</v>
      </c>
      <c r="H1039">
        <v>16</v>
      </c>
      <c r="I1039">
        <v>26</v>
      </c>
      <c r="J1039">
        <v>562419</v>
      </c>
      <c r="K1039">
        <v>1528736</v>
      </c>
      <c r="L1039" t="s">
        <v>50</v>
      </c>
      <c r="M1039" t="s">
        <v>1078</v>
      </c>
      <c r="N1039" t="s">
        <v>20</v>
      </c>
      <c r="O1039" t="s">
        <v>21</v>
      </c>
      <c r="P1039" t="s">
        <v>22</v>
      </c>
      <c r="Q1039" t="s">
        <v>23</v>
      </c>
      <c r="R1039" t="b">
        <f>OR(Таблица1[[#This Row],[Ежемесячный платеж]]&lt;$AC$5, Таблица1[[#This Row],[Ежемесячный платеж]]&gt;$AC$6)</f>
        <v>0</v>
      </c>
      <c r="S1039" s="9">
        <f>(Таблица1[[#This Row],[Размер кредита]]-21824)/(789096-21824)</f>
        <v>0.42969377222158506</v>
      </c>
      <c r="T1039" s="9">
        <f>(Таблица1[[#This Row],[Кредитный рейтинг]]-586)/(751-586)</f>
        <v>0.83030303030303032</v>
      </c>
      <c r="U1039" s="9">
        <f>Таблица1[[#This Row],[Ежемесячный платеж]]/(Таблица1[[#This Row],[Годовой доход]]/12)</f>
        <v>0.39797189146984191</v>
      </c>
    </row>
    <row r="1040" spans="1:21" x14ac:dyDescent="0.3">
      <c r="A1040">
        <v>1039</v>
      </c>
      <c r="B1040">
        <v>0</v>
      </c>
      <c r="C1040" s="9">
        <v>481470</v>
      </c>
      <c r="D1040">
        <v>722</v>
      </c>
      <c r="E1040" s="1">
        <v>717630</v>
      </c>
      <c r="F1040">
        <v>0</v>
      </c>
      <c r="G1040">
        <v>13850.43</v>
      </c>
      <c r="H1040">
        <v>18.5</v>
      </c>
      <c r="I1040">
        <v>13</v>
      </c>
      <c r="J1040">
        <v>326097</v>
      </c>
      <c r="K1040">
        <v>733172</v>
      </c>
      <c r="L1040" t="s">
        <v>47</v>
      </c>
      <c r="M1040" t="s">
        <v>1079</v>
      </c>
      <c r="N1040" t="s">
        <v>71</v>
      </c>
      <c r="O1040" t="s">
        <v>21</v>
      </c>
      <c r="P1040" t="s">
        <v>31</v>
      </c>
      <c r="Q1040" t="s">
        <v>36</v>
      </c>
      <c r="R1040" t="b">
        <f>OR(Таблица1[[#This Row],[Ежемесячный платеж]]&lt;$AC$5, Таблица1[[#This Row],[Ежемесячный платеж]]&gt;$AC$6)</f>
        <v>0</v>
      </c>
      <c r="S1040" s="9">
        <f>(Таблица1[[#This Row],[Размер кредита]]-21824)/(789096-21824)</f>
        <v>0.59906525977749747</v>
      </c>
      <c r="T1040" s="9">
        <f>(Таблица1[[#This Row],[Кредитный рейтинг]]-586)/(751-586)</f>
        <v>0.82424242424242422</v>
      </c>
      <c r="U1040" s="9">
        <f>Таблица1[[#This Row],[Ежемесячный платеж]]/(Таблица1[[#This Row],[Годовой доход]]/12)</f>
        <v>0.23160285941223194</v>
      </c>
    </row>
    <row r="1041" spans="1:21" x14ac:dyDescent="0.3">
      <c r="A1041">
        <v>1040</v>
      </c>
      <c r="B1041">
        <v>0</v>
      </c>
      <c r="C1041" s="9">
        <v>215468</v>
      </c>
      <c r="D1041">
        <f>$Y$13</f>
        <v>723</v>
      </c>
      <c r="E1041">
        <f>$AB$13</f>
        <v>1168044</v>
      </c>
      <c r="F1041">
        <v>0</v>
      </c>
      <c r="G1041">
        <v>19353.02</v>
      </c>
      <c r="H1041">
        <v>14.5</v>
      </c>
      <c r="I1041">
        <v>10</v>
      </c>
      <c r="J1041">
        <v>235334</v>
      </c>
      <c r="K1041">
        <v>318714</v>
      </c>
      <c r="L1041" t="s">
        <v>29</v>
      </c>
      <c r="M1041" t="s">
        <v>1080</v>
      </c>
      <c r="N1041" t="s">
        <v>26</v>
      </c>
      <c r="O1041" t="s">
        <v>34</v>
      </c>
      <c r="P1041" t="s">
        <v>22</v>
      </c>
      <c r="Q1041" t="s">
        <v>23</v>
      </c>
      <c r="R1041" t="b">
        <f>OR(Таблица1[[#This Row],[Ежемесячный платеж]]&lt;$AC$5, Таблица1[[#This Row],[Ежемесячный платеж]]&gt;$AC$6)</f>
        <v>0</v>
      </c>
      <c r="S1041" s="9">
        <f>(Таблица1[[#This Row],[Размер кредита]]-21824)/(789096-21824)</f>
        <v>0.25237986007569674</v>
      </c>
      <c r="T1041" s="9">
        <f>(Таблица1[[#This Row],[Кредитный рейтинг]]-586)/(751-586)</f>
        <v>0.83030303030303032</v>
      </c>
      <c r="U1041" s="9">
        <f>Таблица1[[#This Row],[Ежемесячный платеж]]/(Таблица1[[#This Row],[Годовой доход]]/12)</f>
        <v>0.19882490728089011</v>
      </c>
    </row>
    <row r="1042" spans="1:21" x14ac:dyDescent="0.3">
      <c r="A1042">
        <v>1041</v>
      </c>
      <c r="B1042">
        <v>2</v>
      </c>
      <c r="C1042" s="9">
        <v>154594</v>
      </c>
      <c r="D1042">
        <v>722</v>
      </c>
      <c r="E1042" s="1">
        <v>434853</v>
      </c>
      <c r="F1042">
        <v>23</v>
      </c>
      <c r="G1042">
        <v>2290.2600000000002</v>
      </c>
      <c r="H1042">
        <v>33.700000000000003</v>
      </c>
      <c r="I1042">
        <v>8</v>
      </c>
      <c r="J1042">
        <v>67792</v>
      </c>
      <c r="K1042">
        <v>130372</v>
      </c>
      <c r="L1042" t="s">
        <v>24</v>
      </c>
      <c r="M1042" t="s">
        <v>1081</v>
      </c>
      <c r="N1042" t="s">
        <v>26</v>
      </c>
      <c r="O1042" t="s">
        <v>21</v>
      </c>
      <c r="P1042" t="s">
        <v>22</v>
      </c>
      <c r="Q1042" t="s">
        <v>23</v>
      </c>
      <c r="R1042" t="b">
        <f>OR(Таблица1[[#This Row],[Ежемесячный платеж]]&lt;$AC$5, Таблица1[[#This Row],[Ежемесячный платеж]]&gt;$AC$6)</f>
        <v>0</v>
      </c>
      <c r="S1042" s="9">
        <f>(Таблица1[[#This Row],[Размер кредита]]-21824)/(789096-21824)</f>
        <v>0.17304163321481822</v>
      </c>
      <c r="T1042" s="9">
        <f>(Таблица1[[#This Row],[Кредитный рейтинг]]-586)/(751-586)</f>
        <v>0.82424242424242422</v>
      </c>
      <c r="U1042" s="9">
        <f>Таблица1[[#This Row],[Ежемесячный платеж]]/(Таблица1[[#This Row],[Годовой доход]]/12)</f>
        <v>6.3200943767204101E-2</v>
      </c>
    </row>
    <row r="1043" spans="1:21" x14ac:dyDescent="0.3">
      <c r="A1043">
        <v>1042</v>
      </c>
      <c r="B1043">
        <v>0</v>
      </c>
      <c r="C1043" s="9">
        <v>367796</v>
      </c>
      <c r="D1043">
        <v>710</v>
      </c>
      <c r="E1043" s="1">
        <v>1172566</v>
      </c>
      <c r="F1043">
        <v>0</v>
      </c>
      <c r="G1043">
        <v>34101.96</v>
      </c>
      <c r="H1043">
        <v>11.5</v>
      </c>
      <c r="I1043">
        <v>12</v>
      </c>
      <c r="J1043">
        <v>338352</v>
      </c>
      <c r="K1043">
        <v>590018</v>
      </c>
      <c r="L1043" t="s">
        <v>32</v>
      </c>
      <c r="M1043" t="s">
        <v>1082</v>
      </c>
      <c r="N1043" t="s">
        <v>26</v>
      </c>
      <c r="O1043" t="s">
        <v>21</v>
      </c>
      <c r="P1043" t="s">
        <v>22</v>
      </c>
      <c r="Q1043" t="s">
        <v>36</v>
      </c>
      <c r="R1043" t="b">
        <f>OR(Таблица1[[#This Row],[Ежемесячный платеж]]&lt;$AC$5, Таблица1[[#This Row],[Ежемесячный платеж]]&gt;$AC$6)</f>
        <v>0</v>
      </c>
      <c r="S1043" s="9">
        <f>(Таблица1[[#This Row],[Размер кредита]]-21824)/(789096-21824)</f>
        <v>0.45091180181213442</v>
      </c>
      <c r="T1043" s="9">
        <f>(Таблица1[[#This Row],[Кредитный рейтинг]]-586)/(751-586)</f>
        <v>0.75151515151515147</v>
      </c>
      <c r="U1043" s="9">
        <f>Таблица1[[#This Row],[Ежемесячный платеж]]/(Таблица1[[#This Row],[Годовой доход]]/12)</f>
        <v>0.34899828239945557</v>
      </c>
    </row>
    <row r="1044" spans="1:21" x14ac:dyDescent="0.3">
      <c r="A1044">
        <v>1043</v>
      </c>
      <c r="B1044">
        <v>0</v>
      </c>
      <c r="C1044" s="9">
        <v>769230</v>
      </c>
      <c r="D1044">
        <v>738</v>
      </c>
      <c r="E1044" s="1">
        <v>2694257</v>
      </c>
      <c r="F1044">
        <v>38</v>
      </c>
      <c r="G1044">
        <v>10081.02</v>
      </c>
      <c r="H1044">
        <v>27.1</v>
      </c>
      <c r="I1044">
        <v>6</v>
      </c>
      <c r="J1044">
        <v>210349</v>
      </c>
      <c r="K1044">
        <v>727056</v>
      </c>
      <c r="L1044" t="s">
        <v>24</v>
      </c>
      <c r="M1044" t="s">
        <v>1083</v>
      </c>
      <c r="N1044" t="s">
        <v>26</v>
      </c>
      <c r="O1044" t="s">
        <v>21</v>
      </c>
      <c r="P1044" t="s">
        <v>31</v>
      </c>
      <c r="Q1044" t="s">
        <v>36</v>
      </c>
      <c r="R1044" t="b">
        <f>OR(Таблица1[[#This Row],[Ежемесячный платеж]]&lt;$AC$5, Таблица1[[#This Row],[Ежемесячный платеж]]&gt;$AC$6)</f>
        <v>0</v>
      </c>
      <c r="S1044" s="9">
        <f>(Таблица1[[#This Row],[Размер кредита]]-21824)/(789096-21824)</f>
        <v>0.97410826929693772</v>
      </c>
      <c r="T1044" s="9">
        <f>(Таблица1[[#This Row],[Кредитный рейтинг]]-586)/(751-586)</f>
        <v>0.92121212121212126</v>
      </c>
      <c r="U1044" s="9">
        <f>Таблица1[[#This Row],[Ежемесячный платеж]]/(Таблица1[[#This Row],[Годовой доход]]/12)</f>
        <v>4.4900037375796002E-2</v>
      </c>
    </row>
    <row r="1045" spans="1:21" x14ac:dyDescent="0.3">
      <c r="A1045">
        <v>1044</v>
      </c>
      <c r="B1045">
        <v>1</v>
      </c>
      <c r="C1045" s="9">
        <v>108988</v>
      </c>
      <c r="D1045">
        <f>$Y$13</f>
        <v>723</v>
      </c>
      <c r="E1045">
        <f>$AB$13</f>
        <v>1168044</v>
      </c>
      <c r="F1045">
        <v>0</v>
      </c>
      <c r="G1045">
        <v>6395.78</v>
      </c>
      <c r="H1045">
        <v>22</v>
      </c>
      <c r="I1045">
        <v>13</v>
      </c>
      <c r="J1045">
        <v>94734</v>
      </c>
      <c r="K1045">
        <v>314270</v>
      </c>
      <c r="L1045" t="s">
        <v>24</v>
      </c>
      <c r="M1045" t="s">
        <v>1084</v>
      </c>
      <c r="N1045" t="s">
        <v>26</v>
      </c>
      <c r="O1045" t="s">
        <v>34</v>
      </c>
      <c r="P1045" t="s">
        <v>22</v>
      </c>
      <c r="Q1045" t="s">
        <v>23</v>
      </c>
      <c r="R1045" t="b">
        <f>OR(Таблица1[[#This Row],[Ежемесячный платеж]]&lt;$AC$5, Таблица1[[#This Row],[Ежемесячный платеж]]&gt;$AC$6)</f>
        <v>0</v>
      </c>
      <c r="S1045" s="9">
        <f>(Таблица1[[#This Row],[Размер кредита]]-21824)/(789096-21824)</f>
        <v>0.11360247734831976</v>
      </c>
      <c r="T1045" s="9">
        <f>(Таблица1[[#This Row],[Кредитный рейтинг]]-586)/(751-586)</f>
        <v>0.83030303030303032</v>
      </c>
      <c r="U1045" s="9">
        <f>Таблица1[[#This Row],[Ежемесячный платеж]]/(Таблица1[[#This Row],[Годовой доход]]/12)</f>
        <v>6.5707593207105203E-2</v>
      </c>
    </row>
    <row r="1046" spans="1:21" x14ac:dyDescent="0.3">
      <c r="A1046">
        <v>1045</v>
      </c>
      <c r="B1046">
        <v>0</v>
      </c>
      <c r="C1046" s="9">
        <v>353826</v>
      </c>
      <c r="D1046">
        <f>$Y$13</f>
        <v>723</v>
      </c>
      <c r="E1046">
        <f>$AB$13</f>
        <v>1168044</v>
      </c>
      <c r="F1046">
        <v>16</v>
      </c>
      <c r="G1046">
        <v>13120.83</v>
      </c>
      <c r="H1046">
        <v>20</v>
      </c>
      <c r="I1046">
        <v>2</v>
      </c>
      <c r="J1046">
        <v>200355</v>
      </c>
      <c r="K1046">
        <v>245498</v>
      </c>
      <c r="L1046" t="s">
        <v>41</v>
      </c>
      <c r="M1046" s="2" t="s">
        <v>1085</v>
      </c>
      <c r="N1046" t="s">
        <v>26</v>
      </c>
      <c r="O1046" t="s">
        <v>28</v>
      </c>
      <c r="P1046" t="s">
        <v>31</v>
      </c>
      <c r="Q1046" t="s">
        <v>23</v>
      </c>
      <c r="R1046" t="b">
        <f>OR(Таблица1[[#This Row],[Ежемесячный платеж]]&lt;$AC$5, Таблица1[[#This Row],[Ежемесячный платеж]]&gt;$AC$6)</f>
        <v>0</v>
      </c>
      <c r="S1046" s="9">
        <f>(Таблица1[[#This Row],[Размер кредита]]-21824)/(789096-21824)</f>
        <v>0.43270443858240626</v>
      </c>
      <c r="T1046" s="9">
        <f>(Таблица1[[#This Row],[Кредитный рейтинг]]-586)/(751-586)</f>
        <v>0.83030303030303032</v>
      </c>
      <c r="U1046" s="9">
        <f>Таблица1[[#This Row],[Ежемесячный платеж]]/(Таблица1[[#This Row],[Годовой доход]]/12)</f>
        <v>0.13479796993948859</v>
      </c>
    </row>
    <row r="1047" spans="1:21" x14ac:dyDescent="0.3">
      <c r="A1047">
        <v>1046</v>
      </c>
      <c r="B1047">
        <v>0</v>
      </c>
      <c r="C1047" s="9">
        <v>348722</v>
      </c>
      <c r="D1047">
        <f>$Y$13</f>
        <v>723</v>
      </c>
      <c r="E1047">
        <f>$AB$13</f>
        <v>1168044</v>
      </c>
      <c r="F1047">
        <v>72</v>
      </c>
      <c r="G1047">
        <v>5872.9</v>
      </c>
      <c r="H1047">
        <v>19</v>
      </c>
      <c r="I1047">
        <v>10</v>
      </c>
      <c r="J1047">
        <v>340860</v>
      </c>
      <c r="K1047">
        <v>568678</v>
      </c>
      <c r="L1047" t="s">
        <v>47</v>
      </c>
      <c r="M1047" t="s">
        <v>1086</v>
      </c>
      <c r="N1047" t="s">
        <v>26</v>
      </c>
      <c r="O1047" t="s">
        <v>34</v>
      </c>
      <c r="P1047" t="s">
        <v>22</v>
      </c>
      <c r="Q1047" t="s">
        <v>36</v>
      </c>
      <c r="R1047" t="b">
        <f>OR(Таблица1[[#This Row],[Ежемесячный платеж]]&lt;$AC$5, Таблица1[[#This Row],[Ежемесячный платеж]]&gt;$AC$6)</f>
        <v>0</v>
      </c>
      <c r="S1047" s="9">
        <f>(Таблица1[[#This Row],[Размер кредита]]-21824)/(789096-21824)</f>
        <v>0.42605229957563939</v>
      </c>
      <c r="T1047" s="9">
        <f>(Таблица1[[#This Row],[Кредитный рейтинг]]-586)/(751-586)</f>
        <v>0.83030303030303032</v>
      </c>
      <c r="U1047" s="9">
        <f>Таблица1[[#This Row],[Ежемесячный платеж]]/(Таблица1[[#This Row],[Годовой доход]]/12)</f>
        <v>6.0335740776888538E-2</v>
      </c>
    </row>
    <row r="1048" spans="1:21" x14ac:dyDescent="0.3">
      <c r="A1048">
        <v>1047</v>
      </c>
      <c r="B1048">
        <v>0</v>
      </c>
      <c r="C1048" s="9">
        <v>333168</v>
      </c>
      <c r="D1048">
        <v>682</v>
      </c>
      <c r="E1048" s="1">
        <v>1163750</v>
      </c>
      <c r="F1048">
        <v>0</v>
      </c>
      <c r="G1048">
        <v>24632.55</v>
      </c>
      <c r="H1048">
        <v>8.5</v>
      </c>
      <c r="I1048">
        <v>21</v>
      </c>
      <c r="J1048">
        <v>325109</v>
      </c>
      <c r="K1048">
        <v>484484</v>
      </c>
      <c r="L1048" t="s">
        <v>32</v>
      </c>
      <c r="M1048" t="s">
        <v>1087</v>
      </c>
      <c r="N1048" t="s">
        <v>26</v>
      </c>
      <c r="O1048" t="s">
        <v>21</v>
      </c>
      <c r="P1048" t="s">
        <v>31</v>
      </c>
      <c r="Q1048" t="s">
        <v>23</v>
      </c>
      <c r="R1048" t="b">
        <f>OR(Таблица1[[#This Row],[Ежемесячный платеж]]&lt;$AC$5, Таблица1[[#This Row],[Ежемесячный платеж]]&gt;$AC$6)</f>
        <v>0</v>
      </c>
      <c r="S1048" s="9">
        <f>(Таблица1[[#This Row],[Размер кредита]]-21824)/(789096-21824)</f>
        <v>0.40578047941277667</v>
      </c>
      <c r="T1048" s="9">
        <f>(Таблица1[[#This Row],[Кредитный рейтинг]]-586)/(751-586)</f>
        <v>0.58181818181818179</v>
      </c>
      <c r="U1048" s="9">
        <f>Таблица1[[#This Row],[Ежемесячный платеж]]/(Таблица1[[#This Row],[Годовой доход]]/12)</f>
        <v>0.25399836734693876</v>
      </c>
    </row>
    <row r="1049" spans="1:21" x14ac:dyDescent="0.3">
      <c r="A1049">
        <v>1048</v>
      </c>
      <c r="B1049">
        <v>0</v>
      </c>
      <c r="C1049" s="9">
        <v>752840</v>
      </c>
      <c r="D1049">
        <f>$Y$13</f>
        <v>723</v>
      </c>
      <c r="E1049">
        <f>$AB$13</f>
        <v>1168044</v>
      </c>
      <c r="F1049">
        <v>37</v>
      </c>
      <c r="G1049">
        <v>39159.949999999997</v>
      </c>
      <c r="H1049">
        <v>29.5</v>
      </c>
      <c r="I1049">
        <v>13</v>
      </c>
      <c r="J1049">
        <v>746624</v>
      </c>
      <c r="K1049">
        <v>979066</v>
      </c>
      <c r="L1049" t="s">
        <v>47</v>
      </c>
      <c r="M1049" t="s">
        <v>1088</v>
      </c>
      <c r="N1049" t="s">
        <v>26</v>
      </c>
      <c r="O1049" t="s">
        <v>28</v>
      </c>
      <c r="P1049" t="s">
        <v>22</v>
      </c>
      <c r="Q1049" t="s">
        <v>36</v>
      </c>
      <c r="R1049" t="b">
        <f>OR(Таблица1[[#This Row],[Ежемесячный платеж]]&lt;$AC$5, Таблица1[[#This Row],[Ежемесячный платеж]]&gt;$AC$6)</f>
        <v>0</v>
      </c>
      <c r="S1049" s="9">
        <f>(Таблица1[[#This Row],[Размер кредита]]-21824)/(789096-21824)</f>
        <v>0.95274687464158736</v>
      </c>
      <c r="T1049" s="9">
        <f>(Таблица1[[#This Row],[Кредитный рейтинг]]-586)/(751-586)</f>
        <v>0.83030303030303032</v>
      </c>
      <c r="U1049" s="9">
        <f>Таблица1[[#This Row],[Ежемесячный платеж]]/(Таблица1[[#This Row],[Годовой доход]]/12)</f>
        <v>0.40231309779426117</v>
      </c>
    </row>
    <row r="1050" spans="1:21" x14ac:dyDescent="0.3">
      <c r="A1050">
        <v>1049</v>
      </c>
      <c r="B1050">
        <v>0</v>
      </c>
      <c r="C1050" s="9">
        <v>180180</v>
      </c>
      <c r="D1050">
        <f>$Y$13</f>
        <v>723</v>
      </c>
      <c r="E1050">
        <f>$AB$13</f>
        <v>1168044</v>
      </c>
      <c r="F1050">
        <v>51</v>
      </c>
      <c r="G1050">
        <v>8597.1200000000008</v>
      </c>
      <c r="H1050">
        <v>25.9</v>
      </c>
      <c r="I1050">
        <v>4</v>
      </c>
      <c r="J1050">
        <v>169309</v>
      </c>
      <c r="K1050">
        <v>306328</v>
      </c>
      <c r="L1050" t="s">
        <v>32</v>
      </c>
      <c r="M1050" t="s">
        <v>1089</v>
      </c>
      <c r="N1050" t="s">
        <v>26</v>
      </c>
      <c r="O1050" t="s">
        <v>34</v>
      </c>
      <c r="P1050" t="s">
        <v>22</v>
      </c>
      <c r="Q1050" t="s">
        <v>36</v>
      </c>
      <c r="R1050" t="b">
        <f>OR(Таблица1[[#This Row],[Ежемесячный платеж]]&lt;$AC$5, Таблица1[[#This Row],[Ежемесячный платеж]]&gt;$AC$6)</f>
        <v>0</v>
      </c>
      <c r="S1050" s="9">
        <f>(Таблица1[[#This Row],[Размер кредита]]-21824)/(789096-21824)</f>
        <v>0.20638834728753297</v>
      </c>
      <c r="T1050" s="9">
        <f>(Таблица1[[#This Row],[Кредитный рейтинг]]-586)/(751-586)</f>
        <v>0.83030303030303032</v>
      </c>
      <c r="U1050" s="9">
        <f>Таблица1[[#This Row],[Ежемесячный платеж]]/(Таблица1[[#This Row],[Годовой доход]]/12)</f>
        <v>8.8323248096818283E-2</v>
      </c>
    </row>
    <row r="1051" spans="1:21" x14ac:dyDescent="0.3">
      <c r="A1051">
        <v>1050</v>
      </c>
      <c r="B1051">
        <v>0</v>
      </c>
      <c r="C1051" s="9">
        <v>667062</v>
      </c>
      <c r="D1051">
        <v>725</v>
      </c>
      <c r="E1051" s="1">
        <v>1843513</v>
      </c>
      <c r="F1051">
        <v>0</v>
      </c>
      <c r="G1051">
        <v>31800.68</v>
      </c>
      <c r="H1051">
        <v>18.5</v>
      </c>
      <c r="I1051">
        <v>17</v>
      </c>
      <c r="J1051">
        <v>148200</v>
      </c>
      <c r="K1051">
        <v>1372734</v>
      </c>
      <c r="L1051" t="s">
        <v>24</v>
      </c>
      <c r="M1051" t="s">
        <v>1090</v>
      </c>
      <c r="N1051" t="s">
        <v>20</v>
      </c>
      <c r="O1051" t="s">
        <v>21</v>
      </c>
      <c r="P1051" t="s">
        <v>22</v>
      </c>
      <c r="Q1051" t="s">
        <v>23</v>
      </c>
      <c r="R1051" t="b">
        <f>OR(Таблица1[[#This Row],[Ежемесячный платеж]]&lt;$AC$5, Таблица1[[#This Row],[Ежемесячный платеж]]&gt;$AC$6)</f>
        <v>0</v>
      </c>
      <c r="S1051" s="9">
        <f>(Таблица1[[#This Row],[Размер кредита]]-21824)/(789096-21824)</f>
        <v>0.84095079710976028</v>
      </c>
      <c r="T1051" s="9">
        <f>(Таблица1[[#This Row],[Кредитный рейтинг]]-586)/(751-586)</f>
        <v>0.84242424242424241</v>
      </c>
      <c r="U1051" s="9">
        <f>Таблица1[[#This Row],[Ежемесячный платеж]]/(Таблица1[[#This Row],[Годовой доход]]/12)</f>
        <v>0.20700052562688734</v>
      </c>
    </row>
    <row r="1052" spans="1:21" x14ac:dyDescent="0.3">
      <c r="A1052">
        <v>1051</v>
      </c>
      <c r="B1052">
        <v>1</v>
      </c>
      <c r="C1052" s="9">
        <v>181984</v>
      </c>
      <c r="D1052">
        <v>693</v>
      </c>
      <c r="E1052" s="1">
        <v>562932</v>
      </c>
      <c r="F1052">
        <v>4</v>
      </c>
      <c r="G1052">
        <v>15434.08</v>
      </c>
      <c r="H1052">
        <v>22.5</v>
      </c>
      <c r="I1052">
        <v>14</v>
      </c>
      <c r="J1052">
        <v>72257</v>
      </c>
      <c r="K1052">
        <v>228624</v>
      </c>
      <c r="L1052" t="s">
        <v>24</v>
      </c>
      <c r="M1052" t="s">
        <v>1091</v>
      </c>
      <c r="N1052" t="s">
        <v>26</v>
      </c>
      <c r="O1052" t="s">
        <v>21</v>
      </c>
      <c r="P1052" t="s">
        <v>22</v>
      </c>
      <c r="Q1052" t="s">
        <v>36</v>
      </c>
      <c r="R1052" t="b">
        <f>OR(Таблица1[[#This Row],[Ежемесячный платеж]]&lt;$AC$5, Таблица1[[#This Row],[Ежемесячный платеж]]&gt;$AC$6)</f>
        <v>0</v>
      </c>
      <c r="S1052" s="9">
        <f>(Таблица1[[#This Row],[Размер кредита]]-21824)/(789096-21824)</f>
        <v>0.20873953435026954</v>
      </c>
      <c r="T1052" s="9">
        <f>(Таблица1[[#This Row],[Кредитный рейтинг]]-586)/(751-586)</f>
        <v>0.64848484848484844</v>
      </c>
      <c r="U1052" s="9">
        <f>Таблица1[[#This Row],[Ежемесячный платеж]]/(Таблица1[[#This Row],[Годовой доход]]/12)</f>
        <v>0.32900769542324826</v>
      </c>
    </row>
    <row r="1053" spans="1:21" x14ac:dyDescent="0.3">
      <c r="A1053">
        <v>1052</v>
      </c>
      <c r="B1053">
        <v>1</v>
      </c>
      <c r="C1053" s="9">
        <v>382690</v>
      </c>
      <c r="D1053">
        <v>730</v>
      </c>
      <c r="E1053" s="1">
        <v>756504</v>
      </c>
      <c r="F1053">
        <v>78</v>
      </c>
      <c r="G1053">
        <v>17147.5</v>
      </c>
      <c r="H1053">
        <v>13</v>
      </c>
      <c r="I1053">
        <v>10</v>
      </c>
      <c r="J1053">
        <v>165699</v>
      </c>
      <c r="K1053">
        <v>436018</v>
      </c>
      <c r="L1053" t="s">
        <v>41</v>
      </c>
      <c r="M1053" t="s">
        <v>1092</v>
      </c>
      <c r="N1053" t="s">
        <v>26</v>
      </c>
      <c r="O1053" t="s">
        <v>34</v>
      </c>
      <c r="P1053" t="s">
        <v>22</v>
      </c>
      <c r="Q1053" t="s">
        <v>36</v>
      </c>
      <c r="R1053" t="b">
        <f>OR(Таблица1[[#This Row],[Ежемесячный платеж]]&lt;$AC$5, Таблица1[[#This Row],[Ежемесячный платеж]]&gt;$AC$6)</f>
        <v>0</v>
      </c>
      <c r="S1053" s="9">
        <f>(Таблица1[[#This Row],[Размер кредита]]-21824)/(789096-21824)</f>
        <v>0.47032343158619105</v>
      </c>
      <c r="T1053" s="9">
        <f>(Таблица1[[#This Row],[Кредитный рейтинг]]-586)/(751-586)</f>
        <v>0.87272727272727268</v>
      </c>
      <c r="U1053" s="9">
        <f>Таблица1[[#This Row],[Ежемесячный платеж]]/(Таблица1[[#This Row],[Годовой доход]]/12)</f>
        <v>0.27200120554550933</v>
      </c>
    </row>
    <row r="1054" spans="1:21" x14ac:dyDescent="0.3">
      <c r="A1054">
        <v>1053</v>
      </c>
      <c r="B1054">
        <v>1</v>
      </c>
      <c r="C1054" s="9">
        <v>142186</v>
      </c>
      <c r="D1054">
        <v>705</v>
      </c>
      <c r="E1054" s="1">
        <v>793459</v>
      </c>
      <c r="F1054">
        <v>62</v>
      </c>
      <c r="G1054">
        <v>16464.07</v>
      </c>
      <c r="H1054">
        <v>28.9</v>
      </c>
      <c r="I1054">
        <v>8</v>
      </c>
      <c r="J1054">
        <v>85291</v>
      </c>
      <c r="K1054">
        <v>216590</v>
      </c>
      <c r="L1054" t="s">
        <v>63</v>
      </c>
      <c r="M1054" t="s">
        <v>1093</v>
      </c>
      <c r="N1054" t="s">
        <v>26</v>
      </c>
      <c r="O1054" t="s">
        <v>21</v>
      </c>
      <c r="P1054" t="s">
        <v>22</v>
      </c>
      <c r="Q1054" t="s">
        <v>23</v>
      </c>
      <c r="R1054" t="b">
        <f>OR(Таблица1[[#This Row],[Ежемесячный платеж]]&lt;$AC$5, Таблица1[[#This Row],[Ежемесячный платеж]]&gt;$AC$6)</f>
        <v>0</v>
      </c>
      <c r="S1054" s="9">
        <f>(Таблица1[[#This Row],[Размер кредита]]-21824)/(789096-21824)</f>
        <v>0.15687005390526437</v>
      </c>
      <c r="T1054" s="9">
        <f>(Таблица1[[#This Row],[Кредитный рейтинг]]-586)/(751-586)</f>
        <v>0.72121212121212119</v>
      </c>
      <c r="U1054" s="9">
        <f>Таблица1[[#This Row],[Ежемесячный платеж]]/(Таблица1[[#This Row],[Годовой доход]]/12)</f>
        <v>0.24899691099351071</v>
      </c>
    </row>
    <row r="1055" spans="1:21" x14ac:dyDescent="0.3">
      <c r="A1055">
        <v>1054</v>
      </c>
      <c r="B1055">
        <v>1</v>
      </c>
      <c r="C1055" s="9">
        <v>225830</v>
      </c>
      <c r="D1055">
        <v>681</v>
      </c>
      <c r="E1055" s="1">
        <v>2250360</v>
      </c>
      <c r="F1055">
        <v>0</v>
      </c>
      <c r="G1055">
        <v>27004.32</v>
      </c>
      <c r="H1055">
        <v>18.899999999999999</v>
      </c>
      <c r="I1055">
        <v>11</v>
      </c>
      <c r="J1055">
        <v>270579</v>
      </c>
      <c r="K1055">
        <v>417758</v>
      </c>
      <c r="L1055" t="s">
        <v>52</v>
      </c>
      <c r="M1055" t="s">
        <v>1094</v>
      </c>
      <c r="N1055" t="s">
        <v>26</v>
      </c>
      <c r="O1055" t="s">
        <v>21</v>
      </c>
      <c r="P1055" t="s">
        <v>31</v>
      </c>
      <c r="Q1055" t="s">
        <v>23</v>
      </c>
      <c r="R1055" t="b">
        <f>OR(Таблица1[[#This Row],[Ежемесячный платеж]]&lt;$AC$5, Таблица1[[#This Row],[Ежемесячный платеж]]&gt;$AC$6)</f>
        <v>0</v>
      </c>
      <c r="S1055" s="9">
        <f>(Таблица1[[#This Row],[Размер кредита]]-21824)/(789096-21824)</f>
        <v>0.26588484917995181</v>
      </c>
      <c r="T1055" s="9">
        <f>(Таблица1[[#This Row],[Кредитный рейтинг]]-586)/(751-586)</f>
        <v>0.5757575757575758</v>
      </c>
      <c r="U1055" s="9">
        <f>Таблица1[[#This Row],[Ежемесячный платеж]]/(Таблица1[[#This Row],[Годовой доход]]/12)</f>
        <v>0.14399999999999999</v>
      </c>
    </row>
    <row r="1056" spans="1:21" x14ac:dyDescent="0.3">
      <c r="A1056">
        <v>1055</v>
      </c>
      <c r="B1056">
        <v>0</v>
      </c>
      <c r="C1056" s="9">
        <v>469898</v>
      </c>
      <c r="D1056">
        <f>$Y$13</f>
        <v>723</v>
      </c>
      <c r="E1056">
        <f>$AB$13</f>
        <v>1168044</v>
      </c>
      <c r="F1056">
        <v>0</v>
      </c>
      <c r="G1056">
        <v>19131.669999999998</v>
      </c>
      <c r="H1056">
        <v>38.9</v>
      </c>
      <c r="I1056">
        <v>21</v>
      </c>
      <c r="J1056">
        <v>478743</v>
      </c>
      <c r="K1056">
        <v>1047882</v>
      </c>
      <c r="L1056" t="s">
        <v>52</v>
      </c>
      <c r="M1056" t="s">
        <v>1095</v>
      </c>
      <c r="N1056" t="s">
        <v>26</v>
      </c>
      <c r="O1056" t="s">
        <v>21</v>
      </c>
      <c r="P1056" t="s">
        <v>31</v>
      </c>
      <c r="Q1056" t="s">
        <v>36</v>
      </c>
      <c r="R1056" t="b">
        <f>OR(Таблица1[[#This Row],[Ежемесячный платеж]]&lt;$AC$5, Таблица1[[#This Row],[Ежемесячный платеж]]&gt;$AC$6)</f>
        <v>0</v>
      </c>
      <c r="S1056" s="9">
        <f>(Таблица1[[#This Row],[Размер кредита]]-21824)/(789096-21824)</f>
        <v>0.58398325496043124</v>
      </c>
      <c r="T1056" s="9">
        <f>(Таблица1[[#This Row],[Кредитный рейтинг]]-586)/(751-586)</f>
        <v>0.83030303030303032</v>
      </c>
      <c r="U1056" s="9">
        <f>Таблица1[[#This Row],[Ежемесячный платеж]]/(Таблица1[[#This Row],[Годовой доход]]/12)</f>
        <v>0.1965508491118485</v>
      </c>
    </row>
    <row r="1057" spans="1:21" x14ac:dyDescent="0.3">
      <c r="A1057">
        <v>1056</v>
      </c>
      <c r="B1057">
        <v>0</v>
      </c>
      <c r="C1057" s="9">
        <v>466884</v>
      </c>
      <c r="D1057">
        <f>$Y$13</f>
        <v>723</v>
      </c>
      <c r="E1057">
        <f>$AB$13</f>
        <v>1168044</v>
      </c>
      <c r="F1057">
        <v>0</v>
      </c>
      <c r="G1057">
        <v>15157.06</v>
      </c>
      <c r="H1057">
        <v>8.3000000000000007</v>
      </c>
      <c r="I1057">
        <v>11</v>
      </c>
      <c r="J1057">
        <v>287375</v>
      </c>
      <c r="K1057">
        <v>458964</v>
      </c>
      <c r="L1057" t="s">
        <v>41</v>
      </c>
      <c r="M1057" t="s">
        <v>1096</v>
      </c>
      <c r="N1057" t="s">
        <v>26</v>
      </c>
      <c r="O1057" t="s">
        <v>34</v>
      </c>
      <c r="P1057" t="s">
        <v>31</v>
      </c>
      <c r="Q1057" t="s">
        <v>36</v>
      </c>
      <c r="R1057" t="b">
        <f>OR(Таблица1[[#This Row],[Ежемесячный платеж]]&lt;$AC$5, Таблица1[[#This Row],[Ежемесячный платеж]]&gt;$AC$6)</f>
        <v>0</v>
      </c>
      <c r="S1057" s="9">
        <f>(Таблица1[[#This Row],[Размер кредита]]-21824)/(789096-21824)</f>
        <v>0.58005505218488362</v>
      </c>
      <c r="T1057" s="9">
        <f>(Таблица1[[#This Row],[Кредитный рейтинг]]-586)/(751-586)</f>
        <v>0.83030303030303032</v>
      </c>
      <c r="U1057" s="9">
        <f>Таблица1[[#This Row],[Ежемесячный платеж]]/(Таблица1[[#This Row],[Годовой доход]]/12)</f>
        <v>0.15571735311341012</v>
      </c>
    </row>
    <row r="1058" spans="1:21" x14ac:dyDescent="0.3">
      <c r="A1058">
        <v>1057</v>
      </c>
      <c r="B1058">
        <v>0</v>
      </c>
      <c r="D1058">
        <v>721</v>
      </c>
      <c r="E1058" s="1">
        <v>976942</v>
      </c>
      <c r="F1058">
        <v>7</v>
      </c>
      <c r="G1058">
        <v>9280.93</v>
      </c>
      <c r="H1058">
        <v>15.2</v>
      </c>
      <c r="I1058">
        <v>11</v>
      </c>
      <c r="J1058">
        <v>130891</v>
      </c>
      <c r="K1058">
        <v>315744</v>
      </c>
      <c r="L1058" t="s">
        <v>32</v>
      </c>
      <c r="M1058" t="s">
        <v>1097</v>
      </c>
      <c r="N1058" t="s">
        <v>26</v>
      </c>
      <c r="O1058" t="s">
        <v>21</v>
      </c>
      <c r="P1058" t="s">
        <v>22</v>
      </c>
      <c r="Q1058" t="s">
        <v>23</v>
      </c>
      <c r="R1058" t="b">
        <f>OR(Таблица1[[#This Row],[Ежемесячный платеж]]&lt;$AC$5, Таблица1[[#This Row],[Ежемесячный платеж]]&gt;$AC$6)</f>
        <v>0</v>
      </c>
      <c r="T1058" s="9">
        <f>(Таблица1[[#This Row],[Кредитный рейтинг]]-586)/(751-586)</f>
        <v>0.81818181818181823</v>
      </c>
      <c r="U1058" s="9">
        <f>Таблица1[[#This Row],[Ежемесячный платеж]]/(Таблица1[[#This Row],[Годовой доход]]/12)</f>
        <v>0.11399976661869385</v>
      </c>
    </row>
    <row r="1059" spans="1:21" x14ac:dyDescent="0.3">
      <c r="A1059">
        <v>1058</v>
      </c>
      <c r="B1059">
        <v>0</v>
      </c>
      <c r="D1059">
        <v>737</v>
      </c>
      <c r="E1059" s="1">
        <v>764712</v>
      </c>
      <c r="F1059">
        <v>11</v>
      </c>
      <c r="G1059">
        <v>9272.19</v>
      </c>
      <c r="H1059">
        <v>18</v>
      </c>
      <c r="I1059">
        <v>10</v>
      </c>
      <c r="J1059">
        <v>23218</v>
      </c>
      <c r="K1059">
        <v>312488</v>
      </c>
      <c r="L1059" t="s">
        <v>24</v>
      </c>
      <c r="M1059" t="s">
        <v>1098</v>
      </c>
      <c r="N1059" t="s">
        <v>68</v>
      </c>
      <c r="O1059" t="s">
        <v>28</v>
      </c>
      <c r="P1059" t="s">
        <v>22</v>
      </c>
      <c r="Q1059" t="s">
        <v>23</v>
      </c>
      <c r="R1059" t="b">
        <f>OR(Таблица1[[#This Row],[Ежемесячный платеж]]&lt;$AC$5, Таблица1[[#This Row],[Ежемесячный платеж]]&gt;$AC$6)</f>
        <v>0</v>
      </c>
      <c r="T1059" s="9">
        <f>(Таблица1[[#This Row],[Кредитный рейтинг]]-586)/(751-586)</f>
        <v>0.91515151515151516</v>
      </c>
      <c r="U1059" s="9">
        <f>Таблица1[[#This Row],[Ежемесячный платеж]]/(Таблица1[[#This Row],[Годовой доход]]/12)</f>
        <v>0.14550089445438283</v>
      </c>
    </row>
    <row r="1060" spans="1:21" x14ac:dyDescent="0.3">
      <c r="A1060">
        <v>1059</v>
      </c>
      <c r="B1060">
        <v>0</v>
      </c>
      <c r="D1060">
        <v>723</v>
      </c>
      <c r="E1060" s="1">
        <v>1729323</v>
      </c>
      <c r="F1060">
        <v>43</v>
      </c>
      <c r="G1060">
        <v>22625.39</v>
      </c>
      <c r="H1060">
        <v>22.2</v>
      </c>
      <c r="I1060">
        <v>19</v>
      </c>
      <c r="J1060">
        <v>197562</v>
      </c>
      <c r="K1060">
        <v>1906322</v>
      </c>
      <c r="L1060" t="s">
        <v>18</v>
      </c>
      <c r="M1060" t="s">
        <v>1099</v>
      </c>
      <c r="N1060" t="s">
        <v>26</v>
      </c>
      <c r="O1060" t="s">
        <v>21</v>
      </c>
      <c r="P1060" t="s">
        <v>31</v>
      </c>
      <c r="Q1060" t="s">
        <v>23</v>
      </c>
      <c r="R1060" t="b">
        <f>OR(Таблица1[[#This Row],[Ежемесячный платеж]]&lt;$AC$5, Таблица1[[#This Row],[Ежемесячный платеж]]&gt;$AC$6)</f>
        <v>0</v>
      </c>
      <c r="T1060" s="9">
        <f>(Таблица1[[#This Row],[Кредитный рейтинг]]-586)/(751-586)</f>
        <v>0.83030303030303032</v>
      </c>
      <c r="U1060" s="9">
        <f>Таблица1[[#This Row],[Ежемесячный платеж]]/(Таблица1[[#This Row],[Годовой доход]]/12)</f>
        <v>0.15700056033488249</v>
      </c>
    </row>
    <row r="1061" spans="1:21" x14ac:dyDescent="0.3">
      <c r="A1061">
        <v>1060</v>
      </c>
      <c r="B1061">
        <v>0</v>
      </c>
      <c r="C1061" s="9">
        <v>403810</v>
      </c>
      <c r="D1061">
        <v>674</v>
      </c>
      <c r="E1061" s="1">
        <v>1375581</v>
      </c>
      <c r="F1061">
        <v>6</v>
      </c>
      <c r="G1061">
        <v>13182.58</v>
      </c>
      <c r="H1061">
        <v>28.4</v>
      </c>
      <c r="I1061">
        <v>9</v>
      </c>
      <c r="J1061">
        <v>215422</v>
      </c>
      <c r="K1061">
        <v>376794</v>
      </c>
      <c r="L1061" t="s">
        <v>41</v>
      </c>
      <c r="M1061" t="s">
        <v>1100</v>
      </c>
      <c r="N1061" t="s">
        <v>26</v>
      </c>
      <c r="O1061" t="s">
        <v>34</v>
      </c>
      <c r="P1061" t="s">
        <v>31</v>
      </c>
      <c r="Q1061" t="s">
        <v>23</v>
      </c>
      <c r="R1061" t="b">
        <f>OR(Таблица1[[#This Row],[Ежемесячный платеж]]&lt;$AC$5, Таблица1[[#This Row],[Ежемесячный платеж]]&gt;$AC$6)</f>
        <v>0</v>
      </c>
      <c r="S1061" s="9">
        <f>(Таблица1[[#This Row],[Размер кредита]]-21824)/(789096-21824)</f>
        <v>0.49784952402798488</v>
      </c>
      <c r="T1061" s="9">
        <f>(Таблица1[[#This Row],[Кредитный рейтинг]]-586)/(751-586)</f>
        <v>0.53333333333333333</v>
      </c>
      <c r="U1061" s="9">
        <f>Таблица1[[#This Row],[Ежемесячный платеж]]/(Таблица1[[#This Row],[Годовой доход]]/12)</f>
        <v>0.11499937844445365</v>
      </c>
    </row>
    <row r="1062" spans="1:21" x14ac:dyDescent="0.3">
      <c r="A1062">
        <v>1061</v>
      </c>
      <c r="B1062">
        <v>0</v>
      </c>
      <c r="C1062" s="9">
        <v>133496</v>
      </c>
      <c r="D1062">
        <v>709</v>
      </c>
      <c r="E1062" s="1">
        <v>480415</v>
      </c>
      <c r="F1062">
        <v>40</v>
      </c>
      <c r="G1062">
        <v>11209.62</v>
      </c>
      <c r="H1062">
        <v>17.5</v>
      </c>
      <c r="I1062">
        <v>12</v>
      </c>
      <c r="J1062">
        <v>65018</v>
      </c>
      <c r="K1062">
        <v>173448</v>
      </c>
      <c r="L1062" t="s">
        <v>69</v>
      </c>
      <c r="M1062" t="s">
        <v>1101</v>
      </c>
      <c r="N1062" t="s">
        <v>26</v>
      </c>
      <c r="O1062" t="s">
        <v>34</v>
      </c>
      <c r="P1062" t="s">
        <v>22</v>
      </c>
      <c r="Q1062" t="s">
        <v>23</v>
      </c>
      <c r="R1062" t="b">
        <f>OR(Таблица1[[#This Row],[Ежемесячный платеж]]&lt;$AC$5, Таблица1[[#This Row],[Ежемесячный платеж]]&gt;$AC$6)</f>
        <v>0</v>
      </c>
      <c r="S1062" s="9">
        <f>(Таблица1[[#This Row],[Размер кредита]]-21824)/(789096-21824)</f>
        <v>0.14554421378598464</v>
      </c>
      <c r="T1062" s="9">
        <f>(Таблица1[[#This Row],[Кредитный рейтинг]]-586)/(751-586)</f>
        <v>0.74545454545454548</v>
      </c>
      <c r="U1062" s="9">
        <f>Таблица1[[#This Row],[Ежемесячный платеж]]/(Таблица1[[#This Row],[Годовой доход]]/12)</f>
        <v>0.27999841803440778</v>
      </c>
    </row>
    <row r="1063" spans="1:21" x14ac:dyDescent="0.3">
      <c r="A1063">
        <v>1062</v>
      </c>
      <c r="B1063">
        <v>1</v>
      </c>
      <c r="C1063" s="9">
        <v>40524</v>
      </c>
      <c r="D1063">
        <v>719</v>
      </c>
      <c r="E1063" s="1">
        <v>671194</v>
      </c>
      <c r="F1063">
        <v>0</v>
      </c>
      <c r="G1063">
        <v>10515.17</v>
      </c>
      <c r="H1063">
        <v>11</v>
      </c>
      <c r="I1063">
        <v>14</v>
      </c>
      <c r="J1063">
        <v>380</v>
      </c>
      <c r="K1063">
        <v>450296</v>
      </c>
      <c r="L1063" t="s">
        <v>24</v>
      </c>
      <c r="M1063" t="s">
        <v>1102</v>
      </c>
      <c r="N1063" t="s">
        <v>99</v>
      </c>
      <c r="O1063" t="s">
        <v>34</v>
      </c>
      <c r="P1063" t="s">
        <v>22</v>
      </c>
      <c r="Q1063" t="s">
        <v>23</v>
      </c>
      <c r="R1063" t="b">
        <f>OR(Таблица1[[#This Row],[Ежемесячный платеж]]&lt;$AC$5, Таблица1[[#This Row],[Ежемесячный платеж]]&gt;$AC$6)</f>
        <v>0</v>
      </c>
      <c r="S1063" s="9">
        <f>(Таблица1[[#This Row],[Размер кредита]]-21824)/(789096-21824)</f>
        <v>2.4372061016171578E-2</v>
      </c>
      <c r="T1063" s="9">
        <f>(Таблица1[[#This Row],[Кредитный рейтинг]]-586)/(751-586)</f>
        <v>0.80606060606060603</v>
      </c>
      <c r="U1063" s="9">
        <f>Таблица1[[#This Row],[Ежемесячный платеж]]/(Таблица1[[#This Row],[Годовой доход]]/12)</f>
        <v>0.18799637660646548</v>
      </c>
    </row>
    <row r="1064" spans="1:21" x14ac:dyDescent="0.3">
      <c r="A1064">
        <v>1063</v>
      </c>
      <c r="B1064">
        <v>0</v>
      </c>
      <c r="C1064" s="9">
        <v>455400</v>
      </c>
      <c r="D1064">
        <v>732</v>
      </c>
      <c r="E1064" s="1">
        <v>1375581</v>
      </c>
      <c r="F1064">
        <v>69</v>
      </c>
      <c r="G1064">
        <v>23384.82</v>
      </c>
      <c r="H1064">
        <v>19.7</v>
      </c>
      <c r="I1064">
        <v>7</v>
      </c>
      <c r="J1064">
        <v>186352</v>
      </c>
      <c r="K1064">
        <v>242198</v>
      </c>
      <c r="L1064" t="s">
        <v>24</v>
      </c>
      <c r="M1064" t="s">
        <v>1103</v>
      </c>
      <c r="N1064" t="s">
        <v>26</v>
      </c>
      <c r="O1064" t="s">
        <v>21</v>
      </c>
      <c r="P1064" t="s">
        <v>22</v>
      </c>
      <c r="Q1064" t="s">
        <v>23</v>
      </c>
      <c r="R1064" t="b">
        <f>OR(Таблица1[[#This Row],[Ежемесячный платеж]]&lt;$AC$5, Таблица1[[#This Row],[Ежемесячный платеж]]&gt;$AC$6)</f>
        <v>0</v>
      </c>
      <c r="S1064" s="9">
        <f>(Таблица1[[#This Row],[Размер кредита]]-21824)/(789096-21824)</f>
        <v>0.56508773941965817</v>
      </c>
      <c r="T1064" s="9">
        <f>(Таблица1[[#This Row],[Кредитный рейтинг]]-586)/(751-586)</f>
        <v>0.88484848484848488</v>
      </c>
      <c r="U1064" s="9">
        <f>Таблица1[[#This Row],[Ежемесячный платеж]]/(Таблица1[[#This Row],[Годовой доход]]/12)</f>
        <v>0.20399950275556292</v>
      </c>
    </row>
    <row r="1065" spans="1:21" x14ac:dyDescent="0.3">
      <c r="A1065">
        <v>1064</v>
      </c>
      <c r="B1065">
        <v>0</v>
      </c>
      <c r="C1065" s="9">
        <v>540430</v>
      </c>
      <c r="D1065">
        <v>740</v>
      </c>
      <c r="E1065" s="1">
        <v>1493552</v>
      </c>
      <c r="F1065">
        <v>0</v>
      </c>
      <c r="G1065">
        <v>16130.43</v>
      </c>
      <c r="H1065">
        <v>20.5</v>
      </c>
      <c r="I1065">
        <v>11</v>
      </c>
      <c r="J1065">
        <v>314222</v>
      </c>
      <c r="K1065">
        <v>1467092</v>
      </c>
      <c r="L1065" t="s">
        <v>24</v>
      </c>
      <c r="M1065" t="s">
        <v>1104</v>
      </c>
      <c r="N1065" t="s">
        <v>26</v>
      </c>
      <c r="O1065" t="s">
        <v>21</v>
      </c>
      <c r="P1065" t="s">
        <v>22</v>
      </c>
      <c r="Q1065" t="s">
        <v>23</v>
      </c>
      <c r="R1065" t="b">
        <f>OR(Таблица1[[#This Row],[Ежемесячный платеж]]&lt;$AC$5, Таблица1[[#This Row],[Ежемесячный платеж]]&gt;$AC$6)</f>
        <v>0</v>
      </c>
      <c r="S1065" s="9">
        <f>(Таблица1[[#This Row],[Размер кредита]]-21824)/(789096-21824)</f>
        <v>0.67590893451083844</v>
      </c>
      <c r="T1065" s="9">
        <f>(Таблица1[[#This Row],[Кредитный рейтинг]]-586)/(751-586)</f>
        <v>0.93333333333333335</v>
      </c>
      <c r="U1065" s="9">
        <f>Таблица1[[#This Row],[Ежемесячный платеж]]/(Таблица1[[#This Row],[Годовой доход]]/12)</f>
        <v>0.12960054956238551</v>
      </c>
    </row>
    <row r="1066" spans="1:21" x14ac:dyDescent="0.3">
      <c r="A1066">
        <v>1065</v>
      </c>
      <c r="B1066">
        <v>2</v>
      </c>
      <c r="C1066" s="9">
        <v>299420</v>
      </c>
      <c r="D1066">
        <v>677</v>
      </c>
      <c r="E1066" s="1">
        <v>836589</v>
      </c>
      <c r="F1066">
        <v>39</v>
      </c>
      <c r="G1066">
        <v>6748.42</v>
      </c>
      <c r="H1066">
        <v>22.8</v>
      </c>
      <c r="I1066">
        <v>7</v>
      </c>
      <c r="J1066">
        <v>99142</v>
      </c>
      <c r="K1066">
        <v>204622</v>
      </c>
      <c r="L1066" t="s">
        <v>52</v>
      </c>
      <c r="M1066" t="s">
        <v>1105</v>
      </c>
      <c r="N1066" t="s">
        <v>26</v>
      </c>
      <c r="O1066" t="s">
        <v>21</v>
      </c>
      <c r="P1066" t="s">
        <v>31</v>
      </c>
      <c r="Q1066" t="s">
        <v>23</v>
      </c>
      <c r="R1066" t="b">
        <f>OR(Таблица1[[#This Row],[Ежемесячный платеж]]&lt;$AC$5, Таблица1[[#This Row],[Ежемесячный платеж]]&gt;$AC$6)</f>
        <v>0</v>
      </c>
      <c r="S1066" s="9">
        <f>(Таблица1[[#This Row],[Размер кредита]]-21824)/(789096-21824)</f>
        <v>0.36179607753182702</v>
      </c>
      <c r="T1066" s="9">
        <f>(Таблица1[[#This Row],[Кредитный рейтинг]]-586)/(751-586)</f>
        <v>0.55151515151515151</v>
      </c>
      <c r="U1066" s="9">
        <f>Таблица1[[#This Row],[Ежемесячный платеж]]/(Таблица1[[#This Row],[Годовой доход]]/12)</f>
        <v>9.6799073380118547E-2</v>
      </c>
    </row>
    <row r="1067" spans="1:21" x14ac:dyDescent="0.3">
      <c r="A1067">
        <v>1066</v>
      </c>
      <c r="B1067">
        <v>0</v>
      </c>
      <c r="C1067" s="9">
        <v>451462</v>
      </c>
      <c r="D1067">
        <v>698</v>
      </c>
      <c r="E1067" s="1">
        <v>2228016</v>
      </c>
      <c r="F1067">
        <v>0</v>
      </c>
      <c r="G1067">
        <v>14890.49</v>
      </c>
      <c r="H1067">
        <v>13</v>
      </c>
      <c r="I1067">
        <v>8</v>
      </c>
      <c r="J1067">
        <v>333051</v>
      </c>
      <c r="K1067">
        <v>494406</v>
      </c>
      <c r="L1067" t="s">
        <v>24</v>
      </c>
      <c r="M1067" s="2" t="s">
        <v>1106</v>
      </c>
      <c r="N1067" t="s">
        <v>26</v>
      </c>
      <c r="O1067" t="s">
        <v>21</v>
      </c>
      <c r="P1067" t="s">
        <v>31</v>
      </c>
      <c r="Q1067" t="s">
        <v>23</v>
      </c>
      <c r="R1067" t="b">
        <f>OR(Таблица1[[#This Row],[Ежемесячный платеж]]&lt;$AC$5, Таблица1[[#This Row],[Ежемесячный платеж]]&gt;$AC$6)</f>
        <v>0</v>
      </c>
      <c r="S1067" s="9">
        <f>(Таблица1[[#This Row],[Размер кредита]]-21824)/(789096-21824)</f>
        <v>0.55995527009978208</v>
      </c>
      <c r="T1067" s="9">
        <f>(Таблица1[[#This Row],[Кредитный рейтинг]]-586)/(751-586)</f>
        <v>0.67878787878787883</v>
      </c>
      <c r="U1067" s="9">
        <f>Таблица1[[#This Row],[Ежемесячный платеж]]/(Таблица1[[#This Row],[Годовой доход]]/12)</f>
        <v>8.0199549733933687E-2</v>
      </c>
    </row>
    <row r="1068" spans="1:21" x14ac:dyDescent="0.3">
      <c r="A1068">
        <v>1067</v>
      </c>
      <c r="B1068">
        <v>0</v>
      </c>
      <c r="C1068" s="9">
        <v>203544</v>
      </c>
      <c r="D1068">
        <v>728</v>
      </c>
      <c r="E1068" s="1">
        <v>532114</v>
      </c>
      <c r="F1068">
        <v>0</v>
      </c>
      <c r="G1068">
        <v>9045.9</v>
      </c>
      <c r="H1068">
        <v>17.899999999999999</v>
      </c>
      <c r="I1068">
        <v>6</v>
      </c>
      <c r="J1068">
        <v>237728</v>
      </c>
      <c r="K1068">
        <v>277200</v>
      </c>
      <c r="L1068" t="s">
        <v>41</v>
      </c>
      <c r="M1068" t="s">
        <v>1107</v>
      </c>
      <c r="N1068" t="s">
        <v>26</v>
      </c>
      <c r="O1068" t="s">
        <v>34</v>
      </c>
      <c r="P1068" t="s">
        <v>22</v>
      </c>
      <c r="Q1068" t="s">
        <v>36</v>
      </c>
      <c r="R1068" t="b">
        <f>OR(Таблица1[[#This Row],[Ежемесячный платеж]]&lt;$AC$5, Таблица1[[#This Row],[Ежемесячный платеж]]&gt;$AC$6)</f>
        <v>0</v>
      </c>
      <c r="S1068" s="9">
        <f>(Таблица1[[#This Row],[Размер кредита]]-21824)/(789096-21824)</f>
        <v>0.23683908705126736</v>
      </c>
      <c r="T1068" s="9">
        <f>(Таблица1[[#This Row],[Кредитный рейтинг]]-586)/(751-586)</f>
        <v>0.8606060606060606</v>
      </c>
      <c r="U1068" s="9">
        <f>Таблица1[[#This Row],[Ежемесячный платеж]]/(Таблица1[[#This Row],[Годовой доход]]/12)</f>
        <v>0.20399914304077696</v>
      </c>
    </row>
    <row r="1069" spans="1:21" x14ac:dyDescent="0.3">
      <c r="A1069">
        <v>1068</v>
      </c>
      <c r="B1069">
        <v>0</v>
      </c>
      <c r="D1069">
        <v>703</v>
      </c>
      <c r="E1069" s="1">
        <v>1000540</v>
      </c>
      <c r="F1069">
        <v>0</v>
      </c>
      <c r="G1069">
        <v>15758.6</v>
      </c>
      <c r="H1069">
        <v>12.3</v>
      </c>
      <c r="I1069">
        <v>9</v>
      </c>
      <c r="J1069">
        <v>556244</v>
      </c>
      <c r="K1069">
        <v>1141976</v>
      </c>
      <c r="L1069" t="s">
        <v>24</v>
      </c>
      <c r="M1069" t="s">
        <v>1108</v>
      </c>
      <c r="N1069" t="s">
        <v>26</v>
      </c>
      <c r="O1069" t="s">
        <v>34</v>
      </c>
      <c r="P1069" t="s">
        <v>31</v>
      </c>
      <c r="Q1069" t="s">
        <v>23</v>
      </c>
      <c r="R1069" t="b">
        <f>OR(Таблица1[[#This Row],[Ежемесячный платеж]]&lt;$AC$5, Таблица1[[#This Row],[Ежемесячный платеж]]&gt;$AC$6)</f>
        <v>0</v>
      </c>
      <c r="T1069" s="9">
        <f>(Таблица1[[#This Row],[Кредитный рейтинг]]-586)/(751-586)</f>
        <v>0.70909090909090911</v>
      </c>
      <c r="U1069" s="9">
        <f>Таблица1[[#This Row],[Ежемесячный платеж]]/(Таблица1[[#This Row],[Годовой доход]]/12)</f>
        <v>0.18900113938473226</v>
      </c>
    </row>
    <row r="1070" spans="1:21" x14ac:dyDescent="0.3">
      <c r="A1070">
        <v>1069</v>
      </c>
      <c r="B1070">
        <v>0</v>
      </c>
      <c r="C1070" s="9">
        <v>399410</v>
      </c>
      <c r="D1070">
        <f>$Y$13</f>
        <v>723</v>
      </c>
      <c r="E1070">
        <f>$AB$13</f>
        <v>1168044</v>
      </c>
      <c r="F1070">
        <v>0</v>
      </c>
      <c r="G1070">
        <v>25316.36</v>
      </c>
      <c r="H1070">
        <v>18.600000000000001</v>
      </c>
      <c r="I1070">
        <v>10</v>
      </c>
      <c r="J1070">
        <v>265259</v>
      </c>
      <c r="K1070">
        <v>933570</v>
      </c>
      <c r="L1070" t="s">
        <v>24</v>
      </c>
      <c r="M1070" t="s">
        <v>1109</v>
      </c>
      <c r="N1070" t="s">
        <v>20</v>
      </c>
      <c r="O1070" t="s">
        <v>21</v>
      </c>
      <c r="P1070" t="s">
        <v>31</v>
      </c>
      <c r="Q1070" t="s">
        <v>23</v>
      </c>
      <c r="R1070" t="b">
        <f>OR(Таблица1[[#This Row],[Ежемесячный платеж]]&lt;$AC$5, Таблица1[[#This Row],[Ежемесячный платеж]]&gt;$AC$6)</f>
        <v>0</v>
      </c>
      <c r="S1070" s="9">
        <f>(Таблица1[[#This Row],[Размер кредита]]-21824)/(789096-21824)</f>
        <v>0.49211492143594449</v>
      </c>
      <c r="T1070" s="9">
        <f>(Таблица1[[#This Row],[Кредитный рейтинг]]-586)/(751-586)</f>
        <v>0.83030303030303032</v>
      </c>
      <c r="U1070" s="9">
        <f>Таблица1[[#This Row],[Ежемесячный платеж]]/(Таблица1[[#This Row],[Годовой доход]]/12)</f>
        <v>0.26008979113800507</v>
      </c>
    </row>
    <row r="1071" spans="1:21" x14ac:dyDescent="0.3">
      <c r="A1071">
        <v>1070</v>
      </c>
      <c r="B1071">
        <v>0</v>
      </c>
      <c r="C1071" s="9">
        <v>217734</v>
      </c>
      <c r="D1071">
        <v>731</v>
      </c>
      <c r="E1071" s="1">
        <v>1222289</v>
      </c>
      <c r="F1071">
        <v>5</v>
      </c>
      <c r="G1071">
        <v>25158.66</v>
      </c>
      <c r="H1071">
        <v>33.4</v>
      </c>
      <c r="I1071">
        <v>13</v>
      </c>
      <c r="J1071">
        <v>533691</v>
      </c>
      <c r="K1071">
        <v>1407626</v>
      </c>
      <c r="L1071" t="s">
        <v>24</v>
      </c>
      <c r="M1071" t="s">
        <v>1110</v>
      </c>
      <c r="N1071" t="s">
        <v>26</v>
      </c>
      <c r="O1071" t="s">
        <v>21</v>
      </c>
      <c r="P1071" t="s">
        <v>22</v>
      </c>
      <c r="Q1071" t="s">
        <v>36</v>
      </c>
      <c r="R1071" t="b">
        <f>OR(Таблица1[[#This Row],[Ежемесячный платеж]]&lt;$AC$5, Таблица1[[#This Row],[Ежемесячный платеж]]&gt;$AC$6)</f>
        <v>0</v>
      </c>
      <c r="S1071" s="9">
        <f>(Таблица1[[#This Row],[Размер кредита]]-21824)/(789096-21824)</f>
        <v>0.25533318041059755</v>
      </c>
      <c r="T1071" s="9">
        <f>(Таблица1[[#This Row],[Кредитный рейтинг]]-586)/(751-586)</f>
        <v>0.87878787878787878</v>
      </c>
      <c r="U1071" s="9">
        <f>Таблица1[[#This Row],[Ежемесячный платеж]]/(Таблица1[[#This Row],[Годовой доход]]/12)</f>
        <v>0.24699880306539615</v>
      </c>
    </row>
    <row r="1072" spans="1:21" x14ac:dyDescent="0.3">
      <c r="A1072">
        <v>1071</v>
      </c>
      <c r="B1072">
        <v>0</v>
      </c>
      <c r="C1072" s="9">
        <v>111496</v>
      </c>
      <c r="D1072">
        <v>741</v>
      </c>
      <c r="E1072" s="1">
        <v>1328822</v>
      </c>
      <c r="F1072">
        <v>0</v>
      </c>
      <c r="G1072">
        <v>20264.64</v>
      </c>
      <c r="H1072">
        <v>13.9</v>
      </c>
      <c r="I1072">
        <v>20</v>
      </c>
      <c r="J1072">
        <v>578778</v>
      </c>
      <c r="K1072">
        <v>820270</v>
      </c>
      <c r="L1072" t="s">
        <v>52</v>
      </c>
      <c r="M1072" t="s">
        <v>1111</v>
      </c>
      <c r="N1072" t="s">
        <v>68</v>
      </c>
      <c r="O1072" t="s">
        <v>21</v>
      </c>
      <c r="P1072" t="s">
        <v>22</v>
      </c>
      <c r="Q1072" t="s">
        <v>23</v>
      </c>
      <c r="R1072" t="b">
        <f>OR(Таблица1[[#This Row],[Ежемесячный платеж]]&lt;$AC$5, Таблица1[[#This Row],[Ежемесячный платеж]]&gt;$AC$6)</f>
        <v>0</v>
      </c>
      <c r="S1072" s="9">
        <f>(Таблица1[[#This Row],[Размер кредита]]-21824)/(789096-21824)</f>
        <v>0.11687120082578277</v>
      </c>
      <c r="T1072" s="9">
        <f>(Таблица1[[#This Row],[Кредитный рейтинг]]-586)/(751-586)</f>
        <v>0.93939393939393945</v>
      </c>
      <c r="U1072" s="9">
        <f>Таблица1[[#This Row],[Ежемесячный платеж]]/(Таблица1[[#This Row],[Годовой доход]]/12)</f>
        <v>0.1830009436929852</v>
      </c>
    </row>
    <row r="1073" spans="1:21" x14ac:dyDescent="0.3">
      <c r="A1073">
        <v>1072</v>
      </c>
      <c r="B1073">
        <v>2</v>
      </c>
      <c r="C1073" s="9">
        <v>268840</v>
      </c>
      <c r="D1073">
        <v>738</v>
      </c>
      <c r="E1073" s="1">
        <v>1528474</v>
      </c>
      <c r="F1073">
        <v>59</v>
      </c>
      <c r="G1073">
        <v>30187.200000000001</v>
      </c>
      <c r="H1073">
        <v>27.4</v>
      </c>
      <c r="I1073">
        <v>11</v>
      </c>
      <c r="J1073">
        <v>250268</v>
      </c>
      <c r="K1073">
        <v>434456</v>
      </c>
      <c r="L1073" t="s">
        <v>24</v>
      </c>
      <c r="M1073" t="s">
        <v>1112</v>
      </c>
      <c r="N1073" t="s">
        <v>26</v>
      </c>
      <c r="O1073" t="s">
        <v>34</v>
      </c>
      <c r="P1073" t="s">
        <v>22</v>
      </c>
      <c r="Q1073" t="s">
        <v>23</v>
      </c>
      <c r="R1073" t="b">
        <f>OR(Таблица1[[#This Row],[Ежемесячный платеж]]&lt;$AC$5, Таблица1[[#This Row],[Ежемесячный платеж]]&gt;$AC$6)</f>
        <v>0</v>
      </c>
      <c r="S1073" s="9">
        <f>(Таблица1[[#This Row],[Размер кредита]]-21824)/(789096-21824)</f>
        <v>0.32194058951714644</v>
      </c>
      <c r="T1073" s="9">
        <f>(Таблица1[[#This Row],[Кредитный рейтинг]]-586)/(751-586)</f>
        <v>0.92121212121212126</v>
      </c>
      <c r="U1073" s="9">
        <f>Таблица1[[#This Row],[Ежемесячный платеж]]/(Таблица1[[#This Row],[Годовой доход]]/12)</f>
        <v>0.23699873206871691</v>
      </c>
    </row>
    <row r="1074" spans="1:21" x14ac:dyDescent="0.3">
      <c r="A1074">
        <v>1073</v>
      </c>
      <c r="B1074">
        <v>0</v>
      </c>
      <c r="C1074" s="9">
        <v>216876</v>
      </c>
      <c r="D1074">
        <f>$Y$13</f>
        <v>723</v>
      </c>
      <c r="E1074">
        <f>$AB$13</f>
        <v>1168044</v>
      </c>
      <c r="F1074">
        <v>66</v>
      </c>
      <c r="G1074">
        <v>20322.21</v>
      </c>
      <c r="H1074">
        <v>19.2</v>
      </c>
      <c r="I1074">
        <v>20</v>
      </c>
      <c r="J1074">
        <v>309225</v>
      </c>
      <c r="K1074">
        <v>494516</v>
      </c>
      <c r="L1074" t="s">
        <v>52</v>
      </c>
      <c r="M1074" t="s">
        <v>1113</v>
      </c>
      <c r="N1074" t="s">
        <v>26</v>
      </c>
      <c r="O1074" t="s">
        <v>21</v>
      </c>
      <c r="P1074" t="s">
        <v>22</v>
      </c>
      <c r="Q1074" t="s">
        <v>36</v>
      </c>
      <c r="R1074" t="b">
        <f>OR(Таблица1[[#This Row],[Ежемесячный платеж]]&lt;$AC$5, Таблица1[[#This Row],[Ежемесячный платеж]]&gt;$AC$6)</f>
        <v>0</v>
      </c>
      <c r="S1074" s="9">
        <f>(Таблица1[[#This Row],[Размер кредита]]-21824)/(789096-21824)</f>
        <v>0.25421493290514968</v>
      </c>
      <c r="T1074" s="9">
        <f>(Таблица1[[#This Row],[Кредитный рейтинг]]-586)/(751-586)</f>
        <v>0.83030303030303032</v>
      </c>
      <c r="U1074" s="9">
        <f>Таблица1[[#This Row],[Ежемесячный платеж]]/(Таблица1[[#This Row],[Годовой доход]]/12)</f>
        <v>0.20878196369314853</v>
      </c>
    </row>
    <row r="1075" spans="1:21" x14ac:dyDescent="0.3">
      <c r="A1075">
        <v>1074</v>
      </c>
      <c r="B1075">
        <v>0</v>
      </c>
      <c r="C1075" s="9">
        <v>533126</v>
      </c>
      <c r="D1075">
        <v>744</v>
      </c>
      <c r="E1075" s="1">
        <v>3069488</v>
      </c>
      <c r="F1075">
        <v>0</v>
      </c>
      <c r="G1075">
        <v>27369.69</v>
      </c>
      <c r="H1075">
        <v>16.7</v>
      </c>
      <c r="I1075">
        <v>11</v>
      </c>
      <c r="J1075">
        <v>631161</v>
      </c>
      <c r="K1075">
        <v>1163734</v>
      </c>
      <c r="L1075" t="s">
        <v>24</v>
      </c>
      <c r="M1075" t="s">
        <v>1114</v>
      </c>
      <c r="N1075" t="s">
        <v>26</v>
      </c>
      <c r="O1075" t="s">
        <v>21</v>
      </c>
      <c r="P1075" t="s">
        <v>31</v>
      </c>
      <c r="Q1075" t="s">
        <v>23</v>
      </c>
      <c r="R1075" t="b">
        <f>OR(Таблица1[[#This Row],[Ежемесячный платеж]]&lt;$AC$5, Таблица1[[#This Row],[Ежемесячный платеж]]&gt;$AC$6)</f>
        <v>0</v>
      </c>
      <c r="S1075" s="9">
        <f>(Таблица1[[#This Row],[Размер кредита]]-21824)/(789096-21824)</f>
        <v>0.66638949420805138</v>
      </c>
      <c r="T1075" s="9">
        <f>(Таблица1[[#This Row],[Кредитный рейтинг]]-586)/(751-586)</f>
        <v>0.95757575757575752</v>
      </c>
      <c r="U1075" s="9">
        <f>Таблица1[[#This Row],[Ежемесячный платеж]]/(Таблица1[[#This Row],[Годовой доход]]/12)</f>
        <v>0.10700034663761514</v>
      </c>
    </row>
    <row r="1076" spans="1:21" x14ac:dyDescent="0.3">
      <c r="A1076">
        <v>1075</v>
      </c>
      <c r="B1076">
        <v>0</v>
      </c>
      <c r="C1076" s="9">
        <v>456918</v>
      </c>
      <c r="D1076">
        <f>$Y$13</f>
        <v>723</v>
      </c>
      <c r="E1076">
        <f>$AB$13</f>
        <v>1168044</v>
      </c>
      <c r="F1076">
        <v>28</v>
      </c>
      <c r="G1076">
        <v>58126.7</v>
      </c>
      <c r="H1076">
        <v>13.4</v>
      </c>
      <c r="I1076">
        <v>11</v>
      </c>
      <c r="J1076">
        <v>110333</v>
      </c>
      <c r="K1076">
        <v>271854</v>
      </c>
      <c r="L1076" t="s">
        <v>24</v>
      </c>
      <c r="M1076" t="s">
        <v>1115</v>
      </c>
      <c r="N1076" t="s">
        <v>26</v>
      </c>
      <c r="O1076" t="s">
        <v>21</v>
      </c>
      <c r="P1076" t="s">
        <v>22</v>
      </c>
      <c r="Q1076" t="s">
        <v>23</v>
      </c>
      <c r="R1076" t="b">
        <f>OR(Таблица1[[#This Row],[Ежемесячный платеж]]&lt;$AC$5, Таблица1[[#This Row],[Ежемесячный платеж]]&gt;$AC$6)</f>
        <v>1</v>
      </c>
      <c r="S1076" s="9">
        <f>(Таблица1[[#This Row],[Размер кредита]]-21824)/(789096-21824)</f>
        <v>0.56706617731391218</v>
      </c>
      <c r="T1076" s="9">
        <f>(Таблица1[[#This Row],[Кредитный рейтинг]]-586)/(751-586)</f>
        <v>0.83030303030303032</v>
      </c>
      <c r="U1076" s="9">
        <f>Таблица1[[#This Row],[Ежемесячный платеж]]/(Таблица1[[#This Row],[Годовой доход]]/12)</f>
        <v>0.59716962717157918</v>
      </c>
    </row>
    <row r="1077" spans="1:21" x14ac:dyDescent="0.3">
      <c r="A1077">
        <v>1076</v>
      </c>
      <c r="B1077">
        <v>0</v>
      </c>
      <c r="C1077" s="9">
        <v>183326</v>
      </c>
      <c r="D1077">
        <v>707</v>
      </c>
      <c r="E1077" s="1">
        <v>1248053</v>
      </c>
      <c r="F1077">
        <v>0</v>
      </c>
      <c r="G1077">
        <v>15392.47</v>
      </c>
      <c r="H1077">
        <v>11.4</v>
      </c>
      <c r="I1077">
        <v>13</v>
      </c>
      <c r="J1077">
        <v>266361</v>
      </c>
      <c r="K1077">
        <v>403172</v>
      </c>
      <c r="L1077" t="s">
        <v>41</v>
      </c>
      <c r="M1077" t="s">
        <v>1116</v>
      </c>
      <c r="N1077" t="s">
        <v>26</v>
      </c>
      <c r="O1077" t="s">
        <v>28</v>
      </c>
      <c r="P1077" t="s">
        <v>22</v>
      </c>
      <c r="Q1077" t="s">
        <v>23</v>
      </c>
      <c r="R1077" t="b">
        <f>OR(Таблица1[[#This Row],[Ежемесячный платеж]]&lt;$AC$5, Таблица1[[#This Row],[Ежемесячный платеж]]&gt;$AC$6)</f>
        <v>0</v>
      </c>
      <c r="S1077" s="9">
        <f>(Таблица1[[#This Row],[Размер кредита]]-21824)/(789096-21824)</f>
        <v>0.21048858814084184</v>
      </c>
      <c r="T1077" s="9">
        <f>(Таблица1[[#This Row],[Кредитный рейтинг]]-586)/(751-586)</f>
        <v>0.73333333333333328</v>
      </c>
      <c r="U1077" s="9">
        <f>Таблица1[[#This Row],[Ежемесячный платеж]]/(Таблица1[[#This Row],[Годовой доход]]/12)</f>
        <v>0.14799823404935528</v>
      </c>
    </row>
    <row r="1078" spans="1:21" x14ac:dyDescent="0.3">
      <c r="A1078">
        <v>1077</v>
      </c>
      <c r="B1078">
        <v>1</v>
      </c>
      <c r="C1078" s="9">
        <v>104390</v>
      </c>
      <c r="D1078">
        <v>739</v>
      </c>
      <c r="E1078" s="1">
        <v>1059497</v>
      </c>
      <c r="F1078">
        <v>0</v>
      </c>
      <c r="G1078">
        <v>3920.08</v>
      </c>
      <c r="H1078">
        <v>39.4</v>
      </c>
      <c r="I1078">
        <v>4</v>
      </c>
      <c r="J1078">
        <v>25536</v>
      </c>
      <c r="K1078">
        <v>42856</v>
      </c>
      <c r="L1078" t="s">
        <v>24</v>
      </c>
      <c r="M1078" t="s">
        <v>1117</v>
      </c>
      <c r="N1078" t="s">
        <v>26</v>
      </c>
      <c r="O1078" t="s">
        <v>21</v>
      </c>
      <c r="P1078" t="s">
        <v>22</v>
      </c>
      <c r="Q1078" t="s">
        <v>23</v>
      </c>
      <c r="R1078" t="b">
        <f>OR(Таблица1[[#This Row],[Ежемесячный платеж]]&lt;$AC$5, Таблица1[[#This Row],[Ежемесячный платеж]]&gt;$AC$6)</f>
        <v>0</v>
      </c>
      <c r="S1078" s="9">
        <f>(Таблица1[[#This Row],[Размер кредита]]-21824)/(789096-21824)</f>
        <v>0.10760981763963758</v>
      </c>
      <c r="T1078" s="9">
        <f>(Таблица1[[#This Row],[Кредитный рейтинг]]-586)/(751-586)</f>
        <v>0.92727272727272725</v>
      </c>
      <c r="U1078" s="9">
        <f>Таблица1[[#This Row],[Ежемесячный платеж]]/(Таблица1[[#This Row],[Годовой доход]]/12)</f>
        <v>4.4399332890985056E-2</v>
      </c>
    </row>
    <row r="1079" spans="1:21" x14ac:dyDescent="0.3">
      <c r="A1079">
        <v>1078</v>
      </c>
      <c r="B1079">
        <v>0</v>
      </c>
      <c r="D1079">
        <v>702</v>
      </c>
      <c r="E1079" s="1">
        <v>1532920</v>
      </c>
      <c r="F1079">
        <v>76</v>
      </c>
      <c r="G1079">
        <v>12442.15</v>
      </c>
      <c r="H1079">
        <v>15</v>
      </c>
      <c r="I1079">
        <v>9</v>
      </c>
      <c r="J1079">
        <v>256652</v>
      </c>
      <c r="K1079">
        <v>639078</v>
      </c>
      <c r="L1079" t="s">
        <v>63</v>
      </c>
      <c r="M1079" t="s">
        <v>1118</v>
      </c>
      <c r="N1079" t="s">
        <v>68</v>
      </c>
      <c r="O1079" t="s">
        <v>34</v>
      </c>
      <c r="P1079" t="s">
        <v>31</v>
      </c>
      <c r="Q1079" t="s">
        <v>23</v>
      </c>
      <c r="R1079" t="b">
        <f>OR(Таблица1[[#This Row],[Ежемесячный платеж]]&lt;$AC$5, Таблица1[[#This Row],[Ежемесячный платеж]]&gt;$AC$6)</f>
        <v>0</v>
      </c>
      <c r="T1079" s="9">
        <f>(Таблица1[[#This Row],[Кредитный рейтинг]]-586)/(751-586)</f>
        <v>0.70303030303030301</v>
      </c>
      <c r="U1079" s="9">
        <f>Таблица1[[#This Row],[Ежемесячный платеж]]/(Таблица1[[#This Row],[Годовой доход]]/12)</f>
        <v>9.7399603371343582E-2</v>
      </c>
    </row>
    <row r="1080" spans="1:21" x14ac:dyDescent="0.3">
      <c r="A1080">
        <v>1079</v>
      </c>
      <c r="B1080">
        <v>0</v>
      </c>
      <c r="C1080" s="9">
        <v>330792</v>
      </c>
      <c r="D1080">
        <f>$Y$13</f>
        <v>723</v>
      </c>
      <c r="E1080">
        <f>$AB$13</f>
        <v>1168044</v>
      </c>
      <c r="F1080">
        <v>53</v>
      </c>
      <c r="G1080">
        <v>8173.04</v>
      </c>
      <c r="H1080">
        <v>22.6</v>
      </c>
      <c r="I1080">
        <v>7</v>
      </c>
      <c r="J1080">
        <v>293816</v>
      </c>
      <c r="K1080">
        <v>483956</v>
      </c>
      <c r="L1080" t="s">
        <v>47</v>
      </c>
      <c r="M1080" t="s">
        <v>1119</v>
      </c>
      <c r="N1080" t="s">
        <v>26</v>
      </c>
      <c r="O1080" t="s">
        <v>21</v>
      </c>
      <c r="P1080" t="s">
        <v>22</v>
      </c>
      <c r="Q1080" t="s">
        <v>23</v>
      </c>
      <c r="R1080" t="b">
        <f>OR(Таблица1[[#This Row],[Ежемесячный платеж]]&lt;$AC$5, Таблица1[[#This Row],[Ежемесячный платеж]]&gt;$AC$6)</f>
        <v>0</v>
      </c>
      <c r="S1080" s="9">
        <f>(Таблица1[[#This Row],[Размер кредита]]-21824)/(789096-21824)</f>
        <v>0.40268379401307491</v>
      </c>
      <c r="T1080" s="9">
        <f>(Таблица1[[#This Row],[Кредитный рейтинг]]-586)/(751-586)</f>
        <v>0.83030303030303032</v>
      </c>
      <c r="U1080" s="9">
        <f>Таблица1[[#This Row],[Ежемесячный платеж]]/(Таблица1[[#This Row],[Годовой доход]]/12)</f>
        <v>8.3966425922311141E-2</v>
      </c>
    </row>
    <row r="1081" spans="1:21" x14ac:dyDescent="0.3">
      <c r="A1081">
        <v>1080</v>
      </c>
      <c r="B1081">
        <v>0</v>
      </c>
      <c r="C1081" s="9">
        <v>98406</v>
      </c>
      <c r="D1081">
        <v>684</v>
      </c>
      <c r="E1081" s="1">
        <v>660953</v>
      </c>
      <c r="F1081">
        <v>0</v>
      </c>
      <c r="G1081">
        <v>4742.3999999999996</v>
      </c>
      <c r="H1081">
        <v>17.399999999999999</v>
      </c>
      <c r="I1081">
        <v>8</v>
      </c>
      <c r="J1081">
        <v>153121</v>
      </c>
      <c r="K1081">
        <v>244882</v>
      </c>
      <c r="L1081" t="s">
        <v>29</v>
      </c>
      <c r="M1081" t="s">
        <v>1120</v>
      </c>
      <c r="N1081" t="s">
        <v>26</v>
      </c>
      <c r="O1081" t="s">
        <v>34</v>
      </c>
      <c r="P1081" t="s">
        <v>22</v>
      </c>
      <c r="Q1081" t="s">
        <v>36</v>
      </c>
      <c r="R1081" t="b">
        <f>OR(Таблица1[[#This Row],[Ежемесячный платеж]]&lt;$AC$5, Таблица1[[#This Row],[Ежемесячный платеж]]&gt;$AC$6)</f>
        <v>0</v>
      </c>
      <c r="S1081" s="9">
        <f>(Таблица1[[#This Row],[Размер кредита]]-21824)/(789096-21824)</f>
        <v>9.9810758114462661E-2</v>
      </c>
      <c r="T1081" s="9">
        <f>(Таблица1[[#This Row],[Кредитный рейтинг]]-586)/(751-586)</f>
        <v>0.59393939393939399</v>
      </c>
      <c r="U1081" s="9">
        <f>Таблица1[[#This Row],[Ежемесячный платеж]]/(Таблица1[[#This Row],[Годовой доход]]/12)</f>
        <v>8.6101129732371287E-2</v>
      </c>
    </row>
    <row r="1082" spans="1:21" x14ac:dyDescent="0.3">
      <c r="A1082">
        <v>1081</v>
      </c>
      <c r="B1082">
        <v>0</v>
      </c>
      <c r="C1082" s="9">
        <v>217338</v>
      </c>
      <c r="D1082">
        <v>746</v>
      </c>
      <c r="E1082" s="1">
        <v>1595468</v>
      </c>
      <c r="F1082">
        <v>0</v>
      </c>
      <c r="G1082">
        <v>33504.6</v>
      </c>
      <c r="H1082">
        <v>12.7</v>
      </c>
      <c r="I1082">
        <v>11</v>
      </c>
      <c r="J1082">
        <v>104462</v>
      </c>
      <c r="K1082">
        <v>326018</v>
      </c>
      <c r="L1082" t="s">
        <v>63</v>
      </c>
      <c r="M1082" t="s">
        <v>1121</v>
      </c>
      <c r="N1082" t="s">
        <v>26</v>
      </c>
      <c r="O1082" t="s">
        <v>21</v>
      </c>
      <c r="P1082" t="s">
        <v>22</v>
      </c>
      <c r="Q1082" t="s">
        <v>23</v>
      </c>
      <c r="R1082" t="b">
        <f>OR(Таблица1[[#This Row],[Ежемесячный платеж]]&lt;$AC$5, Таблица1[[#This Row],[Ежемесячный платеж]]&gt;$AC$6)</f>
        <v>0</v>
      </c>
      <c r="S1082" s="9">
        <f>(Таблица1[[#This Row],[Размер кредита]]-21824)/(789096-21824)</f>
        <v>0.25481706617731392</v>
      </c>
      <c r="T1082" s="9">
        <f>(Таблица1[[#This Row],[Кредитный рейтинг]]-586)/(751-586)</f>
        <v>0.96969696969696972</v>
      </c>
      <c r="U1082" s="9">
        <f>Таблица1[[#This Row],[Ежемесячный платеж]]/(Таблица1[[#This Row],[Годовой доход]]/12)</f>
        <v>0.25199828514266659</v>
      </c>
    </row>
    <row r="1083" spans="1:21" x14ac:dyDescent="0.3">
      <c r="A1083">
        <v>1082</v>
      </c>
      <c r="B1083">
        <v>0</v>
      </c>
      <c r="C1083" s="9">
        <v>683848</v>
      </c>
      <c r="D1083">
        <f>$Y$13</f>
        <v>723</v>
      </c>
      <c r="E1083">
        <f>$AB$13</f>
        <v>1168044</v>
      </c>
      <c r="F1083">
        <v>71</v>
      </c>
      <c r="G1083">
        <v>31104.9</v>
      </c>
      <c r="H1083">
        <v>13.2</v>
      </c>
      <c r="I1083">
        <v>28</v>
      </c>
      <c r="J1083">
        <v>791407</v>
      </c>
      <c r="K1083">
        <v>1905134</v>
      </c>
      <c r="L1083" t="s">
        <v>37</v>
      </c>
      <c r="M1083" t="s">
        <v>1122</v>
      </c>
      <c r="N1083" t="s">
        <v>26</v>
      </c>
      <c r="O1083" t="s">
        <v>34</v>
      </c>
      <c r="P1083" t="s">
        <v>31</v>
      </c>
      <c r="Q1083" t="s">
        <v>36</v>
      </c>
      <c r="R1083" t="b">
        <f>OR(Таблица1[[#This Row],[Ежемесячный платеж]]&lt;$AC$5, Таблица1[[#This Row],[Ежемесячный платеж]]&gt;$AC$6)</f>
        <v>0</v>
      </c>
      <c r="S1083" s="9">
        <f>(Таблица1[[#This Row],[Размер кредита]]-21824)/(789096-21824)</f>
        <v>0.86282830599839433</v>
      </c>
      <c r="T1083" s="9">
        <f>(Таблица1[[#This Row],[Кредитный рейтинг]]-586)/(751-586)</f>
        <v>0.83030303030303032</v>
      </c>
      <c r="U1083" s="9">
        <f>Таблица1[[#This Row],[Ежемесячный платеж]]/(Таблица1[[#This Row],[Годовой доход]]/12)</f>
        <v>0.31955885223501856</v>
      </c>
    </row>
    <row r="1084" spans="1:21" x14ac:dyDescent="0.3">
      <c r="A1084">
        <v>1083</v>
      </c>
      <c r="B1084">
        <v>0</v>
      </c>
      <c r="C1084" s="9">
        <v>140910</v>
      </c>
      <c r="D1084">
        <f>$Y$13</f>
        <v>723</v>
      </c>
      <c r="E1084">
        <f>$AB$13</f>
        <v>1168044</v>
      </c>
      <c r="F1084">
        <v>0</v>
      </c>
      <c r="G1084">
        <v>6180.13</v>
      </c>
      <c r="H1084">
        <v>14.8</v>
      </c>
      <c r="I1084">
        <v>3</v>
      </c>
      <c r="J1084">
        <v>148067</v>
      </c>
      <c r="K1084">
        <v>179740</v>
      </c>
      <c r="L1084" t="s">
        <v>41</v>
      </c>
      <c r="M1084" t="s">
        <v>1123</v>
      </c>
      <c r="N1084" t="s">
        <v>26</v>
      </c>
      <c r="O1084" t="s">
        <v>28</v>
      </c>
      <c r="P1084" t="s">
        <v>22</v>
      </c>
      <c r="Q1084" t="s">
        <v>23</v>
      </c>
      <c r="R1084" t="b">
        <f>OR(Таблица1[[#This Row],[Ежемесячный платеж]]&lt;$AC$5, Таблица1[[#This Row],[Ежемесячный платеж]]&gt;$AC$6)</f>
        <v>0</v>
      </c>
      <c r="S1084" s="9">
        <f>(Таблица1[[#This Row],[Размер кредита]]-21824)/(789096-21824)</f>
        <v>0.15520701915357266</v>
      </c>
      <c r="T1084" s="9">
        <f>(Таблица1[[#This Row],[Кредитный рейтинг]]-586)/(751-586)</f>
        <v>0.83030303030303032</v>
      </c>
      <c r="U1084" s="9">
        <f>Таблица1[[#This Row],[Ежемесячный платеж]]/(Таблица1[[#This Row],[Годовой доход]]/12)</f>
        <v>6.3492094475893032E-2</v>
      </c>
    </row>
    <row r="1085" spans="1:21" x14ac:dyDescent="0.3">
      <c r="A1085">
        <v>1084</v>
      </c>
      <c r="B1085">
        <v>0</v>
      </c>
      <c r="C1085" s="9">
        <v>367598</v>
      </c>
      <c r="D1085">
        <v>708</v>
      </c>
      <c r="E1085" s="1">
        <v>821712</v>
      </c>
      <c r="F1085">
        <v>0</v>
      </c>
      <c r="G1085">
        <v>22870.87</v>
      </c>
      <c r="H1085">
        <v>9.9</v>
      </c>
      <c r="I1085">
        <v>12</v>
      </c>
      <c r="J1085">
        <v>262295</v>
      </c>
      <c r="K1085">
        <v>560340</v>
      </c>
      <c r="L1085" t="s">
        <v>69</v>
      </c>
      <c r="M1085" t="s">
        <v>1124</v>
      </c>
      <c r="N1085" t="s">
        <v>26</v>
      </c>
      <c r="O1085" t="s">
        <v>34</v>
      </c>
      <c r="P1085" t="s">
        <v>31</v>
      </c>
      <c r="Q1085" t="s">
        <v>23</v>
      </c>
      <c r="R1085" t="b">
        <f>OR(Таблица1[[#This Row],[Ежемесячный платеж]]&lt;$AC$5, Таблица1[[#This Row],[Ежемесячный платеж]]&gt;$AC$6)</f>
        <v>0</v>
      </c>
      <c r="S1085" s="9">
        <f>(Таблица1[[#This Row],[Размер кредита]]-21824)/(789096-21824)</f>
        <v>0.45065374469549258</v>
      </c>
      <c r="T1085" s="9">
        <f>(Таблица1[[#This Row],[Кредитный рейтинг]]-586)/(751-586)</f>
        <v>0.73939393939393938</v>
      </c>
      <c r="U1085" s="9">
        <f>Таблица1[[#This Row],[Ежемесячный платеж]]/(Таблица1[[#This Row],[Годовой доход]]/12)</f>
        <v>0.33399833518312982</v>
      </c>
    </row>
    <row r="1086" spans="1:21" x14ac:dyDescent="0.3">
      <c r="A1086">
        <v>1085</v>
      </c>
      <c r="B1086">
        <v>0</v>
      </c>
      <c r="C1086" s="9">
        <v>120472</v>
      </c>
      <c r="D1086">
        <f>$Y$13</f>
        <v>723</v>
      </c>
      <c r="E1086">
        <f>$AB$13</f>
        <v>1168044</v>
      </c>
      <c r="F1086">
        <v>0</v>
      </c>
      <c r="G1086">
        <v>15783.49</v>
      </c>
      <c r="H1086">
        <v>15.6</v>
      </c>
      <c r="I1086">
        <v>15</v>
      </c>
      <c r="J1086">
        <v>208202</v>
      </c>
      <c r="K1086">
        <v>572616</v>
      </c>
      <c r="L1086" t="s">
        <v>63</v>
      </c>
      <c r="M1086" t="s">
        <v>1125</v>
      </c>
      <c r="N1086" t="s">
        <v>26</v>
      </c>
      <c r="O1086" t="s">
        <v>21</v>
      </c>
      <c r="P1086" t="s">
        <v>22</v>
      </c>
      <c r="Q1086" t="s">
        <v>36</v>
      </c>
      <c r="R1086" t="b">
        <f>OR(Таблица1[[#This Row],[Ежемесячный платеж]]&lt;$AC$5, Таблица1[[#This Row],[Ежемесячный платеж]]&gt;$AC$6)</f>
        <v>0</v>
      </c>
      <c r="S1086" s="9">
        <f>(Таблица1[[#This Row],[Размер кредита]]-21824)/(789096-21824)</f>
        <v>0.12856979011354513</v>
      </c>
      <c r="T1086" s="9">
        <f>(Таблица1[[#This Row],[Кредитный рейтинг]]-586)/(751-586)</f>
        <v>0.83030303030303032</v>
      </c>
      <c r="U1086" s="9">
        <f>Таблица1[[#This Row],[Ежемесячный платеж]]/(Таблица1[[#This Row],[Годовой доход]]/12)</f>
        <v>0.16215303533086081</v>
      </c>
    </row>
    <row r="1087" spans="1:21" x14ac:dyDescent="0.3">
      <c r="A1087">
        <v>1086</v>
      </c>
      <c r="B1087">
        <v>1</v>
      </c>
      <c r="C1087" s="9">
        <v>230318</v>
      </c>
      <c r="D1087">
        <v>707</v>
      </c>
      <c r="E1087" s="1">
        <v>1338778</v>
      </c>
      <c r="F1087">
        <v>0</v>
      </c>
      <c r="G1087">
        <v>18631.400000000001</v>
      </c>
      <c r="H1087">
        <v>10.199999999999999</v>
      </c>
      <c r="I1087">
        <v>14</v>
      </c>
      <c r="J1087">
        <v>181013</v>
      </c>
      <c r="K1087">
        <v>671814</v>
      </c>
      <c r="L1087" t="s">
        <v>32</v>
      </c>
      <c r="M1087" t="s">
        <v>1126</v>
      </c>
      <c r="N1087" t="s">
        <v>26</v>
      </c>
      <c r="O1087" t="s">
        <v>34</v>
      </c>
      <c r="P1087" t="s">
        <v>31</v>
      </c>
      <c r="Q1087" t="s">
        <v>36</v>
      </c>
      <c r="R1087" t="b">
        <f>OR(Таблица1[[#This Row],[Ежемесячный платеж]]&lt;$AC$5, Таблица1[[#This Row],[Ежемесячный платеж]]&gt;$AC$6)</f>
        <v>0</v>
      </c>
      <c r="S1087" s="9">
        <f>(Таблица1[[#This Row],[Размер кредита]]-21824)/(789096-21824)</f>
        <v>0.27173414382383299</v>
      </c>
      <c r="T1087" s="9">
        <f>(Таблица1[[#This Row],[Кредитный рейтинг]]-586)/(751-586)</f>
        <v>0.73333333333333328</v>
      </c>
      <c r="U1087" s="9">
        <f>Таблица1[[#This Row],[Ежемесячный платеж]]/(Таблица1[[#This Row],[Годовой доход]]/12)</f>
        <v>0.16700065283415177</v>
      </c>
    </row>
    <row r="1088" spans="1:21" x14ac:dyDescent="0.3">
      <c r="A1088">
        <v>1087</v>
      </c>
      <c r="B1088">
        <v>0</v>
      </c>
      <c r="C1088" s="9">
        <v>439692</v>
      </c>
      <c r="D1088">
        <v>744</v>
      </c>
      <c r="E1088" s="1">
        <v>2278404</v>
      </c>
      <c r="F1088">
        <v>20</v>
      </c>
      <c r="G1088">
        <v>26201.57</v>
      </c>
      <c r="H1088">
        <v>30.5</v>
      </c>
      <c r="I1088">
        <v>15</v>
      </c>
      <c r="J1088">
        <v>565307</v>
      </c>
      <c r="K1088">
        <v>1228084</v>
      </c>
      <c r="L1088" t="s">
        <v>69</v>
      </c>
      <c r="M1088" t="s">
        <v>1127</v>
      </c>
      <c r="N1088" t="s">
        <v>26</v>
      </c>
      <c r="O1088" t="s">
        <v>21</v>
      </c>
      <c r="P1088" t="s">
        <v>22</v>
      </c>
      <c r="Q1088" t="s">
        <v>23</v>
      </c>
      <c r="R1088" t="b">
        <f>OR(Таблица1[[#This Row],[Ежемесячный платеж]]&lt;$AC$5, Таблица1[[#This Row],[Ежемесячный платеж]]&gt;$AC$6)</f>
        <v>0</v>
      </c>
      <c r="S1088" s="9">
        <f>(Таблица1[[#This Row],[Размер кредита]]-21824)/(789096-21824)</f>
        <v>0.54461520816607412</v>
      </c>
      <c r="T1088" s="9">
        <f>(Таблица1[[#This Row],[Кредитный рейтинг]]-586)/(751-586)</f>
        <v>0.95757575757575752</v>
      </c>
      <c r="U1088" s="9">
        <f>Таблица1[[#This Row],[Ежемесячный платеж]]/(Таблица1[[#This Row],[Годовой доход]]/12)</f>
        <v>0.13799959971980386</v>
      </c>
    </row>
    <row r="1089" spans="1:21" x14ac:dyDescent="0.3">
      <c r="A1089">
        <v>1088</v>
      </c>
      <c r="B1089">
        <v>0</v>
      </c>
      <c r="C1089" s="9">
        <v>48246</v>
      </c>
      <c r="D1089">
        <v>655</v>
      </c>
      <c r="E1089" s="1">
        <v>787797</v>
      </c>
      <c r="F1089">
        <v>0</v>
      </c>
      <c r="G1089">
        <v>2934.55</v>
      </c>
      <c r="H1089">
        <v>10</v>
      </c>
      <c r="I1089">
        <v>14</v>
      </c>
      <c r="J1089">
        <v>117686</v>
      </c>
      <c r="K1089">
        <v>293700</v>
      </c>
      <c r="L1089" t="s">
        <v>29</v>
      </c>
      <c r="M1089" t="s">
        <v>1128</v>
      </c>
      <c r="N1089" t="s">
        <v>20</v>
      </c>
      <c r="O1089" t="s">
        <v>21</v>
      </c>
      <c r="P1089" t="s">
        <v>22</v>
      </c>
      <c r="Q1089" t="s">
        <v>23</v>
      </c>
      <c r="R1089" t="b">
        <f>OR(Таблица1[[#This Row],[Ежемесячный платеж]]&lt;$AC$5, Таблица1[[#This Row],[Ежемесячный платеж]]&gt;$AC$6)</f>
        <v>0</v>
      </c>
      <c r="S1089" s="9">
        <f>(Таблица1[[#This Row],[Размер кредита]]-21824)/(789096-21824)</f>
        <v>3.4436288565202429E-2</v>
      </c>
      <c r="T1089" s="9">
        <f>(Таблица1[[#This Row],[Кредитный рейтинг]]-586)/(751-586)</f>
        <v>0.41818181818181815</v>
      </c>
      <c r="U1089" s="9">
        <f>Таблица1[[#This Row],[Ежемесячный платеж]]/(Таблица1[[#This Row],[Годовой доход]]/12)</f>
        <v>4.4700094059764127E-2</v>
      </c>
    </row>
    <row r="1090" spans="1:21" x14ac:dyDescent="0.3">
      <c r="A1090">
        <v>1089</v>
      </c>
      <c r="B1090">
        <v>0</v>
      </c>
      <c r="C1090" s="9">
        <v>216304</v>
      </c>
      <c r="D1090">
        <f>$Y$13</f>
        <v>723</v>
      </c>
      <c r="E1090">
        <f>$AB$13</f>
        <v>1168044</v>
      </c>
      <c r="F1090">
        <v>34</v>
      </c>
      <c r="G1090">
        <v>34123.620000000003</v>
      </c>
      <c r="H1090">
        <v>27</v>
      </c>
      <c r="I1090">
        <v>18</v>
      </c>
      <c r="J1090">
        <v>372058</v>
      </c>
      <c r="K1090">
        <v>596706</v>
      </c>
      <c r="L1090" t="s">
        <v>37</v>
      </c>
      <c r="M1090" t="s">
        <v>1129</v>
      </c>
      <c r="N1090" t="s">
        <v>26</v>
      </c>
      <c r="O1090" t="s">
        <v>28</v>
      </c>
      <c r="P1090" t="s">
        <v>22</v>
      </c>
      <c r="Q1090" t="s">
        <v>23</v>
      </c>
      <c r="R1090" t="b">
        <f>OR(Таблица1[[#This Row],[Ежемесячный платеж]]&lt;$AC$5, Таблица1[[#This Row],[Ежемесячный платеж]]&gt;$AC$6)</f>
        <v>0</v>
      </c>
      <c r="S1090" s="9">
        <f>(Таблица1[[#This Row],[Размер кредита]]-21824)/(789096-21824)</f>
        <v>0.25346943456818444</v>
      </c>
      <c r="T1090" s="9">
        <f>(Таблица1[[#This Row],[Кредитный рейтинг]]-586)/(751-586)</f>
        <v>0.83030303030303032</v>
      </c>
      <c r="U1090" s="9">
        <f>Таблица1[[#This Row],[Ежемесячный платеж]]/(Таблица1[[#This Row],[Годовой доход]]/12)</f>
        <v>0.35057193050946711</v>
      </c>
    </row>
    <row r="1091" spans="1:21" x14ac:dyDescent="0.3">
      <c r="A1091">
        <v>1090</v>
      </c>
      <c r="B1091">
        <v>0</v>
      </c>
      <c r="D1091">
        <v>741</v>
      </c>
      <c r="E1091" s="1">
        <v>716718</v>
      </c>
      <c r="F1091">
        <v>0</v>
      </c>
      <c r="G1091">
        <v>14573</v>
      </c>
      <c r="H1091">
        <v>11.6</v>
      </c>
      <c r="I1091">
        <v>7</v>
      </c>
      <c r="J1091">
        <v>115178</v>
      </c>
      <c r="K1091">
        <v>322916</v>
      </c>
      <c r="L1091" t="s">
        <v>37</v>
      </c>
      <c r="M1091" t="s">
        <v>1130</v>
      </c>
      <c r="N1091" t="s">
        <v>26</v>
      </c>
      <c r="O1091" t="s">
        <v>21</v>
      </c>
      <c r="P1091" t="s">
        <v>22</v>
      </c>
      <c r="Q1091" t="s">
        <v>23</v>
      </c>
      <c r="R1091" t="b">
        <f>OR(Таблица1[[#This Row],[Ежемесячный платеж]]&lt;$AC$5, Таблица1[[#This Row],[Ежемесячный платеж]]&gt;$AC$6)</f>
        <v>0</v>
      </c>
      <c r="T1091" s="9">
        <f>(Таблица1[[#This Row],[Кредитный рейтинг]]-586)/(751-586)</f>
        <v>0.93939393939393945</v>
      </c>
      <c r="U1091" s="9">
        <f>Таблица1[[#This Row],[Ежемесячный платеж]]/(Таблица1[[#This Row],[Годовой доход]]/12)</f>
        <v>0.24399554636551615</v>
      </c>
    </row>
    <row r="1092" spans="1:21" x14ac:dyDescent="0.3">
      <c r="A1092">
        <v>1091</v>
      </c>
      <c r="B1092">
        <v>0</v>
      </c>
      <c r="C1092" s="9">
        <v>564498</v>
      </c>
      <c r="D1092">
        <v>742</v>
      </c>
      <c r="E1092" s="1">
        <v>1875110</v>
      </c>
      <c r="F1092">
        <v>75</v>
      </c>
      <c r="G1092">
        <v>20001.3</v>
      </c>
      <c r="H1092">
        <v>32.700000000000003</v>
      </c>
      <c r="I1092">
        <v>20</v>
      </c>
      <c r="J1092">
        <v>434131</v>
      </c>
      <c r="K1092">
        <v>672914</v>
      </c>
      <c r="L1092" t="s">
        <v>24</v>
      </c>
      <c r="M1092" t="s">
        <v>1131</v>
      </c>
      <c r="N1092" t="s">
        <v>26</v>
      </c>
      <c r="O1092" t="s">
        <v>21</v>
      </c>
      <c r="P1092" t="s">
        <v>22</v>
      </c>
      <c r="Q1092" t="s">
        <v>23</v>
      </c>
      <c r="R1092" t="b">
        <f>OR(Таблица1[[#This Row],[Ежемесячный платеж]]&lt;$AC$5, Таблица1[[#This Row],[Ежемесячный платеж]]&gt;$AC$6)</f>
        <v>0</v>
      </c>
      <c r="S1092" s="9">
        <f>(Таблица1[[#This Row],[Размер кредита]]-21824)/(789096-21824)</f>
        <v>0.70727721068929927</v>
      </c>
      <c r="T1092" s="9">
        <f>(Таблица1[[#This Row],[Кредитный рейтинг]]-586)/(751-586)</f>
        <v>0.94545454545454544</v>
      </c>
      <c r="U1092" s="9">
        <f>Таблица1[[#This Row],[Ежемесячный платеж]]/(Таблица1[[#This Row],[Годовой доход]]/12)</f>
        <v>0.12800081061911034</v>
      </c>
    </row>
    <row r="1093" spans="1:21" x14ac:dyDescent="0.3">
      <c r="A1093">
        <v>1092</v>
      </c>
      <c r="B1093">
        <v>0</v>
      </c>
      <c r="C1093" s="9">
        <v>360404</v>
      </c>
      <c r="D1093">
        <v>738</v>
      </c>
      <c r="E1093" s="1">
        <v>875444</v>
      </c>
      <c r="F1093">
        <v>0</v>
      </c>
      <c r="G1093">
        <v>14809.36</v>
      </c>
      <c r="H1093">
        <v>10.1</v>
      </c>
      <c r="I1093">
        <v>10</v>
      </c>
      <c r="J1093">
        <v>235277</v>
      </c>
      <c r="K1093">
        <v>574750</v>
      </c>
      <c r="L1093" t="s">
        <v>41</v>
      </c>
      <c r="M1093" t="s">
        <v>1132</v>
      </c>
      <c r="N1093" t="s">
        <v>68</v>
      </c>
      <c r="O1093" t="s">
        <v>34</v>
      </c>
      <c r="P1093" t="s">
        <v>22</v>
      </c>
      <c r="Q1093" t="s">
        <v>23</v>
      </c>
      <c r="R1093" t="b">
        <f>OR(Таблица1[[#This Row],[Ежемесячный платеж]]&lt;$AC$5, Таблица1[[#This Row],[Ежемесячный платеж]]&gt;$AC$6)</f>
        <v>0</v>
      </c>
      <c r="S1093" s="9">
        <f>(Таблица1[[#This Row],[Размер кредита]]-21824)/(789096-21824)</f>
        <v>0.44127766945750657</v>
      </c>
      <c r="T1093" s="9">
        <f>(Таблица1[[#This Row],[Кредитный рейтинг]]-586)/(751-586)</f>
        <v>0.92121212121212126</v>
      </c>
      <c r="U1093" s="9">
        <f>Таблица1[[#This Row],[Ежемесячный платеж]]/(Таблица1[[#This Row],[Годовой доход]]/12)</f>
        <v>0.20299678791561768</v>
      </c>
    </row>
    <row r="1094" spans="1:21" x14ac:dyDescent="0.3">
      <c r="A1094">
        <v>1093</v>
      </c>
      <c r="B1094">
        <v>0</v>
      </c>
      <c r="C1094" s="9">
        <v>250866</v>
      </c>
      <c r="D1094">
        <v>741</v>
      </c>
      <c r="E1094" s="1">
        <v>965105</v>
      </c>
      <c r="F1094">
        <v>0</v>
      </c>
      <c r="G1094">
        <v>8444.74</v>
      </c>
      <c r="H1094">
        <v>10.8</v>
      </c>
      <c r="I1094">
        <v>10</v>
      </c>
      <c r="J1094">
        <v>285361</v>
      </c>
      <c r="K1094">
        <v>569690</v>
      </c>
      <c r="L1094" t="s">
        <v>41</v>
      </c>
      <c r="M1094" t="s">
        <v>1133</v>
      </c>
      <c r="N1094" t="s">
        <v>26</v>
      </c>
      <c r="O1094" t="s">
        <v>21</v>
      </c>
      <c r="P1094" t="s">
        <v>22</v>
      </c>
      <c r="Q1094" t="s">
        <v>36</v>
      </c>
      <c r="R1094" t="b">
        <f>OR(Таблица1[[#This Row],[Ежемесячный платеж]]&lt;$AC$5, Таблица1[[#This Row],[Ежемесячный платеж]]&gt;$AC$6)</f>
        <v>0</v>
      </c>
      <c r="S1094" s="9">
        <f>(Таблица1[[#This Row],[Размер кредита]]-21824)/(789096-21824)</f>
        <v>0.29851473792866157</v>
      </c>
      <c r="T1094" s="9">
        <f>(Таблица1[[#This Row],[Кредитный рейтинг]]-586)/(751-586)</f>
        <v>0.93939393939393945</v>
      </c>
      <c r="U1094" s="9">
        <f>Таблица1[[#This Row],[Ежемесячный платеж]]/(Таблица1[[#This Row],[Годовой доход]]/12)</f>
        <v>0.1050008859139679</v>
      </c>
    </row>
    <row r="1095" spans="1:21" x14ac:dyDescent="0.3">
      <c r="A1095">
        <v>1094</v>
      </c>
      <c r="B1095">
        <v>0</v>
      </c>
      <c r="C1095" s="9">
        <v>612260</v>
      </c>
      <c r="D1095">
        <v>678</v>
      </c>
      <c r="E1095" s="1">
        <v>1665692</v>
      </c>
      <c r="F1095">
        <v>0</v>
      </c>
      <c r="G1095">
        <v>20821.34</v>
      </c>
      <c r="H1095">
        <v>16</v>
      </c>
      <c r="I1095">
        <v>13</v>
      </c>
      <c r="J1095">
        <v>310289</v>
      </c>
      <c r="K1095">
        <v>650870</v>
      </c>
      <c r="L1095" t="s">
        <v>24</v>
      </c>
      <c r="M1095" t="s">
        <v>1134</v>
      </c>
      <c r="N1095" t="s">
        <v>68</v>
      </c>
      <c r="O1095" t="s">
        <v>34</v>
      </c>
      <c r="P1095" t="s">
        <v>22</v>
      </c>
      <c r="Q1095" t="s">
        <v>23</v>
      </c>
      <c r="R1095" t="b">
        <f>OR(Таблица1[[#This Row],[Ежемесячный платеж]]&lt;$AC$5, Таблица1[[#This Row],[Ежемесячный платеж]]&gt;$AC$6)</f>
        <v>0</v>
      </c>
      <c r="S1095" s="9">
        <f>(Таблица1[[#This Row],[Размер кредита]]-21824)/(789096-21824)</f>
        <v>0.76952632182589742</v>
      </c>
      <c r="T1095" s="9">
        <f>(Таблица1[[#This Row],[Кредитный рейтинг]]-586)/(751-586)</f>
        <v>0.55757575757575761</v>
      </c>
      <c r="U1095" s="9">
        <f>Таблица1[[#This Row],[Ежемесячный платеж]]/(Таблица1[[#This Row],[Годовой доход]]/12)</f>
        <v>0.15000136880047452</v>
      </c>
    </row>
    <row r="1096" spans="1:21" x14ac:dyDescent="0.3">
      <c r="A1096">
        <v>1095</v>
      </c>
      <c r="B1096">
        <v>0</v>
      </c>
      <c r="C1096" s="9">
        <v>80982</v>
      </c>
      <c r="D1096">
        <v>701</v>
      </c>
      <c r="E1096" s="1">
        <v>738245</v>
      </c>
      <c r="F1096">
        <v>40</v>
      </c>
      <c r="G1096">
        <v>14082.23</v>
      </c>
      <c r="H1096">
        <v>12.3</v>
      </c>
      <c r="I1096">
        <v>7</v>
      </c>
      <c r="J1096">
        <v>52383</v>
      </c>
      <c r="K1096">
        <v>101288</v>
      </c>
      <c r="L1096" t="s">
        <v>32</v>
      </c>
      <c r="M1096" s="2" t="s">
        <v>1135</v>
      </c>
      <c r="N1096" t="s">
        <v>26</v>
      </c>
      <c r="O1096" t="s">
        <v>34</v>
      </c>
      <c r="P1096" t="s">
        <v>31</v>
      </c>
      <c r="Q1096" t="s">
        <v>36</v>
      </c>
      <c r="R1096" t="b">
        <f>OR(Таблица1[[#This Row],[Ежемесячный платеж]]&lt;$AC$5, Таблица1[[#This Row],[Ежемесячный платеж]]&gt;$AC$6)</f>
        <v>0</v>
      </c>
      <c r="S1096" s="9">
        <f>(Таблица1[[#This Row],[Размер кредита]]-21824)/(789096-21824)</f>
        <v>7.7101731849982799E-2</v>
      </c>
      <c r="T1096" s="9">
        <f>(Таблица1[[#This Row],[Кредитный рейтинг]]-586)/(751-586)</f>
        <v>0.69696969696969702</v>
      </c>
      <c r="U1096" s="9">
        <f>Таблица1[[#This Row],[Ежемесячный платеж]]/(Таблица1[[#This Row],[Годовой доход]]/12)</f>
        <v>0.22890335864110153</v>
      </c>
    </row>
    <row r="1097" spans="1:21" x14ac:dyDescent="0.3">
      <c r="A1097">
        <v>1096</v>
      </c>
      <c r="B1097">
        <v>0</v>
      </c>
      <c r="C1097" s="9">
        <v>110440</v>
      </c>
      <c r="D1097">
        <v>750</v>
      </c>
      <c r="E1097" s="1">
        <v>1068142</v>
      </c>
      <c r="F1097">
        <v>0</v>
      </c>
      <c r="G1097">
        <v>8144.73</v>
      </c>
      <c r="H1097">
        <v>18.5</v>
      </c>
      <c r="I1097">
        <v>14</v>
      </c>
      <c r="J1097">
        <v>98154</v>
      </c>
      <c r="K1097">
        <v>1148026</v>
      </c>
      <c r="L1097" t="s">
        <v>24</v>
      </c>
      <c r="M1097" t="s">
        <v>1136</v>
      </c>
      <c r="N1097" t="s">
        <v>26</v>
      </c>
      <c r="O1097" t="s">
        <v>21</v>
      </c>
      <c r="P1097" t="s">
        <v>22</v>
      </c>
      <c r="Q1097" t="s">
        <v>23</v>
      </c>
      <c r="R1097" t="b">
        <f>OR(Таблица1[[#This Row],[Ежемесячный платеж]]&lt;$AC$5, Таблица1[[#This Row],[Ежемесячный платеж]]&gt;$AC$6)</f>
        <v>0</v>
      </c>
      <c r="S1097" s="9">
        <f>(Таблица1[[#This Row],[Размер кредита]]-21824)/(789096-21824)</f>
        <v>0.11549489620369309</v>
      </c>
      <c r="T1097" s="9">
        <f>(Таблица1[[#This Row],[Кредитный рейтинг]]-586)/(751-586)</f>
        <v>0.9939393939393939</v>
      </c>
      <c r="U1097" s="9">
        <f>Таблица1[[#This Row],[Ежемесячный платеж]]/(Таблица1[[#This Row],[Годовой доход]]/12)</f>
        <v>9.1501654274431674E-2</v>
      </c>
    </row>
    <row r="1098" spans="1:21" x14ac:dyDescent="0.3">
      <c r="A1098">
        <v>1097</v>
      </c>
      <c r="B1098">
        <v>0</v>
      </c>
      <c r="C1098" s="9">
        <v>131956</v>
      </c>
      <c r="D1098">
        <v>737</v>
      </c>
      <c r="E1098" s="1">
        <v>569829</v>
      </c>
      <c r="F1098">
        <v>54</v>
      </c>
      <c r="G1098">
        <v>13723.32</v>
      </c>
      <c r="H1098">
        <v>11.4</v>
      </c>
      <c r="I1098">
        <v>10</v>
      </c>
      <c r="J1098">
        <v>184243</v>
      </c>
      <c r="K1098">
        <v>237578</v>
      </c>
      <c r="L1098" t="s">
        <v>69</v>
      </c>
      <c r="M1098" t="s">
        <v>1137</v>
      </c>
      <c r="N1098" t="s">
        <v>26</v>
      </c>
      <c r="O1098" t="s">
        <v>34</v>
      </c>
      <c r="P1098" t="s">
        <v>22</v>
      </c>
      <c r="Q1098" t="s">
        <v>23</v>
      </c>
      <c r="R1098" t="b">
        <f>OR(Таблица1[[#This Row],[Ежемесячный платеж]]&lt;$AC$5, Таблица1[[#This Row],[Ежемесячный платеж]]&gt;$AC$6)</f>
        <v>0</v>
      </c>
      <c r="S1098" s="9">
        <f>(Таблица1[[#This Row],[Размер кредита]]-21824)/(789096-21824)</f>
        <v>0.1435371028787705</v>
      </c>
      <c r="T1098" s="9">
        <f>(Таблица1[[#This Row],[Кредитный рейтинг]]-586)/(751-586)</f>
        <v>0.91515151515151516</v>
      </c>
      <c r="U1098" s="9">
        <f>Таблица1[[#This Row],[Ежемесячный платеж]]/(Таблица1[[#This Row],[Годовой доход]]/12)</f>
        <v>0.28899869960988295</v>
      </c>
    </row>
    <row r="1099" spans="1:21" x14ac:dyDescent="0.3">
      <c r="A1099">
        <v>1098</v>
      </c>
      <c r="B1099">
        <v>1</v>
      </c>
      <c r="C1099" s="9">
        <v>420684</v>
      </c>
      <c r="D1099">
        <f>$Y$13</f>
        <v>723</v>
      </c>
      <c r="E1099">
        <f>$AB$13</f>
        <v>1168044</v>
      </c>
      <c r="F1099">
        <v>0</v>
      </c>
      <c r="G1099">
        <v>9391.89</v>
      </c>
      <c r="H1099">
        <v>17.5</v>
      </c>
      <c r="I1099">
        <v>7</v>
      </c>
      <c r="J1099">
        <v>161310</v>
      </c>
      <c r="K1099">
        <v>415976</v>
      </c>
      <c r="L1099" t="s">
        <v>24</v>
      </c>
      <c r="M1099" t="s">
        <v>1138</v>
      </c>
      <c r="N1099" t="s">
        <v>26</v>
      </c>
      <c r="O1099" t="s">
        <v>21</v>
      </c>
      <c r="P1099" t="s">
        <v>31</v>
      </c>
      <c r="Q1099" t="s">
        <v>23</v>
      </c>
      <c r="R1099" t="b">
        <f>OR(Таблица1[[#This Row],[Ежемесячный платеж]]&lt;$AC$5, Таблица1[[#This Row],[Ежемесячный платеж]]&gt;$AC$6)</f>
        <v>0</v>
      </c>
      <c r="S1099" s="9">
        <f>(Таблица1[[#This Row],[Размер кредита]]-21824)/(789096-21824)</f>
        <v>0.51984172496845971</v>
      </c>
      <c r="T1099" s="9">
        <f>(Таблица1[[#This Row],[Кредитный рейтинг]]-586)/(751-586)</f>
        <v>0.83030303030303032</v>
      </c>
      <c r="U1099" s="9">
        <f>Таблица1[[#This Row],[Ежемесячный платеж]]/(Таблица1[[#This Row],[Годовой доход]]/12)</f>
        <v>9.6488385711497163E-2</v>
      </c>
    </row>
    <row r="1100" spans="1:21" x14ac:dyDescent="0.3">
      <c r="A1100">
        <v>1099</v>
      </c>
      <c r="B1100">
        <v>0</v>
      </c>
      <c r="D1100">
        <v>710</v>
      </c>
      <c r="E1100" s="1">
        <v>2200219</v>
      </c>
      <c r="F1100">
        <v>0</v>
      </c>
      <c r="G1100">
        <v>20902.09</v>
      </c>
      <c r="H1100">
        <v>7.8</v>
      </c>
      <c r="I1100">
        <v>11</v>
      </c>
      <c r="J1100">
        <v>433827</v>
      </c>
      <c r="K1100">
        <v>835824</v>
      </c>
      <c r="L1100" t="s">
        <v>29</v>
      </c>
      <c r="M1100" t="s">
        <v>1139</v>
      </c>
      <c r="N1100" t="s">
        <v>26</v>
      </c>
      <c r="O1100" t="s">
        <v>21</v>
      </c>
      <c r="P1100" t="s">
        <v>31</v>
      </c>
      <c r="Q1100" t="s">
        <v>23</v>
      </c>
      <c r="R1100" t="b">
        <f>OR(Таблица1[[#This Row],[Ежемесячный платеж]]&lt;$AC$5, Таблица1[[#This Row],[Ежемесячный платеж]]&gt;$AC$6)</f>
        <v>0</v>
      </c>
      <c r="T1100" s="9">
        <f>(Таблица1[[#This Row],[Кредитный рейтинг]]-586)/(751-586)</f>
        <v>0.75151515151515147</v>
      </c>
      <c r="U1100" s="9">
        <f>Таблица1[[#This Row],[Ежемесячный платеж]]/(Таблица1[[#This Row],[Годовой доход]]/12)</f>
        <v>0.11400005181302406</v>
      </c>
    </row>
    <row r="1101" spans="1:21" x14ac:dyDescent="0.3">
      <c r="A1101">
        <v>1100</v>
      </c>
      <c r="B1101">
        <v>0</v>
      </c>
      <c r="C1101" s="9">
        <v>52932</v>
      </c>
      <c r="D1101">
        <v>704</v>
      </c>
      <c r="E1101" s="1">
        <v>2247377</v>
      </c>
      <c r="F1101">
        <v>45</v>
      </c>
      <c r="G1101">
        <v>54124.35</v>
      </c>
      <c r="H1101">
        <v>21.1</v>
      </c>
      <c r="I1101">
        <v>17</v>
      </c>
      <c r="J1101">
        <v>684019</v>
      </c>
      <c r="K1101">
        <v>1001308</v>
      </c>
      <c r="L1101" t="s">
        <v>41</v>
      </c>
      <c r="M1101" t="s">
        <v>1140</v>
      </c>
      <c r="N1101" t="s">
        <v>68</v>
      </c>
      <c r="O1101" t="s">
        <v>21</v>
      </c>
      <c r="P1101" t="s">
        <v>22</v>
      </c>
      <c r="Q1101" t="s">
        <v>23</v>
      </c>
      <c r="R1101" t="b">
        <f>OR(Таблица1[[#This Row],[Ежемесячный платеж]]&lt;$AC$5, Таблица1[[#This Row],[Ежемесячный платеж]]&gt;$AC$6)</f>
        <v>1</v>
      </c>
      <c r="S1101" s="9">
        <f>(Таблица1[[#This Row],[Размер кредита]]-21824)/(789096-21824)</f>
        <v>4.0543640325725425E-2</v>
      </c>
      <c r="T1101" s="9">
        <f>(Таблица1[[#This Row],[Кредитный рейтинг]]-586)/(751-586)</f>
        <v>0.7151515151515152</v>
      </c>
      <c r="U1101" s="9">
        <f>Таблица1[[#This Row],[Ежемесячный платеж]]/(Таблица1[[#This Row],[Годовой доход]]/12)</f>
        <v>0.28900010990590363</v>
      </c>
    </row>
    <row r="1102" spans="1:21" x14ac:dyDescent="0.3">
      <c r="A1102">
        <v>1101</v>
      </c>
      <c r="B1102">
        <v>0</v>
      </c>
      <c r="C1102" s="9">
        <v>437580</v>
      </c>
      <c r="D1102">
        <v>747</v>
      </c>
      <c r="E1102" s="1">
        <v>982566</v>
      </c>
      <c r="F1102">
        <v>72</v>
      </c>
      <c r="G1102">
        <v>17931.82</v>
      </c>
      <c r="H1102">
        <v>14.1</v>
      </c>
      <c r="I1102">
        <v>11</v>
      </c>
      <c r="J1102">
        <v>78926</v>
      </c>
      <c r="K1102">
        <v>613360</v>
      </c>
      <c r="L1102" t="s">
        <v>37</v>
      </c>
      <c r="M1102" t="s">
        <v>1141</v>
      </c>
      <c r="N1102" t="s">
        <v>71</v>
      </c>
      <c r="O1102" t="s">
        <v>34</v>
      </c>
      <c r="P1102" t="s">
        <v>22</v>
      </c>
      <c r="Q1102" t="s">
        <v>23</v>
      </c>
      <c r="R1102" t="b">
        <f>OR(Таблица1[[#This Row],[Ежемесячный платеж]]&lt;$AC$5, Таблица1[[#This Row],[Ежемесячный платеж]]&gt;$AC$6)</f>
        <v>0</v>
      </c>
      <c r="S1102" s="9">
        <f>(Таблица1[[#This Row],[Размер кредита]]-21824)/(789096-21824)</f>
        <v>0.5418625989218947</v>
      </c>
      <c r="T1102" s="9">
        <f>(Таблица1[[#This Row],[Кредитный рейтинг]]-586)/(751-586)</f>
        <v>0.97575757575757571</v>
      </c>
      <c r="U1102" s="9">
        <f>Таблица1[[#This Row],[Ежемесячный платеж]]/(Таблица1[[#This Row],[Годовой доход]]/12)</f>
        <v>0.21899988397725953</v>
      </c>
    </row>
    <row r="1103" spans="1:21" x14ac:dyDescent="0.3">
      <c r="A1103">
        <v>1102</v>
      </c>
      <c r="B1103">
        <v>1</v>
      </c>
      <c r="C1103" s="9">
        <v>268598</v>
      </c>
      <c r="D1103">
        <f>$Y$13</f>
        <v>723</v>
      </c>
      <c r="E1103">
        <f>$AB$13</f>
        <v>1168044</v>
      </c>
      <c r="F1103">
        <v>35</v>
      </c>
      <c r="G1103">
        <v>1997.47</v>
      </c>
      <c r="H1103">
        <v>14.5</v>
      </c>
      <c r="I1103">
        <v>6</v>
      </c>
      <c r="J1103">
        <v>56620</v>
      </c>
      <c r="K1103">
        <v>286286</v>
      </c>
      <c r="L1103" t="s">
        <v>24</v>
      </c>
      <c r="M1103" t="s">
        <v>1142</v>
      </c>
      <c r="N1103" t="s">
        <v>20</v>
      </c>
      <c r="O1103" t="s">
        <v>21</v>
      </c>
      <c r="P1103" t="s">
        <v>22</v>
      </c>
      <c r="Q1103" t="s">
        <v>23</v>
      </c>
      <c r="R1103" t="b">
        <f>OR(Таблица1[[#This Row],[Ежемесячный платеж]]&lt;$AC$5, Таблица1[[#This Row],[Ежемесячный платеж]]&gt;$AC$6)</f>
        <v>0</v>
      </c>
      <c r="S1103" s="9">
        <f>(Таблица1[[#This Row],[Размер кредита]]-21824)/(789096-21824)</f>
        <v>0.32162518637458426</v>
      </c>
      <c r="T1103" s="9">
        <f>(Таблица1[[#This Row],[Кредитный рейтинг]]-586)/(751-586)</f>
        <v>0.83030303030303032</v>
      </c>
      <c r="U1103" s="9">
        <f>Таблица1[[#This Row],[Ежемесячный платеж]]/(Таблица1[[#This Row],[Годовой доход]]/12)</f>
        <v>2.0521178996681631E-2</v>
      </c>
    </row>
    <row r="1104" spans="1:21" x14ac:dyDescent="0.3">
      <c r="A1104">
        <v>1103</v>
      </c>
      <c r="B1104">
        <v>0</v>
      </c>
      <c r="C1104" s="9">
        <v>425524</v>
      </c>
      <c r="D1104">
        <v>726</v>
      </c>
      <c r="E1104" s="1">
        <v>827032</v>
      </c>
      <c r="F1104">
        <v>0</v>
      </c>
      <c r="G1104">
        <v>20813.36</v>
      </c>
      <c r="H1104">
        <v>31.4</v>
      </c>
      <c r="I1104">
        <v>12</v>
      </c>
      <c r="J1104">
        <v>389367</v>
      </c>
      <c r="K1104">
        <v>1022318</v>
      </c>
      <c r="L1104" t="s">
        <v>24</v>
      </c>
      <c r="M1104" t="s">
        <v>1143</v>
      </c>
      <c r="N1104" t="s">
        <v>26</v>
      </c>
      <c r="O1104" t="s">
        <v>21</v>
      </c>
      <c r="P1104" t="s">
        <v>31</v>
      </c>
      <c r="Q1104" t="s">
        <v>36</v>
      </c>
      <c r="R1104" t="b">
        <f>OR(Таблица1[[#This Row],[Ежемесячный платеж]]&lt;$AC$5, Таблица1[[#This Row],[Ежемесячный платеж]]&gt;$AC$6)</f>
        <v>0</v>
      </c>
      <c r="S1104" s="9">
        <f>(Таблица1[[#This Row],[Размер кредита]]-21824)/(789096-21824)</f>
        <v>0.52614978781970412</v>
      </c>
      <c r="T1104" s="9">
        <f>(Таблица1[[#This Row],[Кредитный рейтинг]]-586)/(751-586)</f>
        <v>0.84848484848484851</v>
      </c>
      <c r="U1104" s="9">
        <f>Таблица1[[#This Row],[Ежемесячный платеж]]/(Таблица1[[#This Row],[Годовой доход]]/12)</f>
        <v>0.30199595662562034</v>
      </c>
    </row>
    <row r="1105" spans="1:21" x14ac:dyDescent="0.3">
      <c r="A1105">
        <v>1104</v>
      </c>
      <c r="B1105">
        <v>0</v>
      </c>
      <c r="C1105" s="9">
        <v>525910</v>
      </c>
      <c r="D1105">
        <f>$Y$13</f>
        <v>723</v>
      </c>
      <c r="E1105">
        <f>$AB$13</f>
        <v>1168044</v>
      </c>
      <c r="F1105">
        <v>0</v>
      </c>
      <c r="G1105">
        <v>26756.37</v>
      </c>
      <c r="H1105">
        <v>20.6</v>
      </c>
      <c r="I1105">
        <v>11</v>
      </c>
      <c r="J1105">
        <v>480567</v>
      </c>
      <c r="K1105">
        <v>877690</v>
      </c>
      <c r="L1105" t="s">
        <v>24</v>
      </c>
      <c r="M1105" t="s">
        <v>1144</v>
      </c>
      <c r="N1105" t="s">
        <v>26</v>
      </c>
      <c r="O1105" t="s">
        <v>34</v>
      </c>
      <c r="P1105" t="s">
        <v>31</v>
      </c>
      <c r="Q1105" t="s">
        <v>36</v>
      </c>
      <c r="R1105" t="b">
        <f>OR(Таблица1[[#This Row],[Ежемесячный платеж]]&lt;$AC$5, Таблица1[[#This Row],[Ежемесячный платеж]]&gt;$AC$6)</f>
        <v>0</v>
      </c>
      <c r="S1105" s="9">
        <f>(Таблица1[[#This Row],[Размер кредита]]-21824)/(789096-21824)</f>
        <v>0.65698474595710521</v>
      </c>
      <c r="T1105" s="9">
        <f>(Таблица1[[#This Row],[Кредитный рейтинг]]-586)/(751-586)</f>
        <v>0.83030303030303032</v>
      </c>
      <c r="U1105" s="9">
        <f>Таблица1[[#This Row],[Ежемесячный платеж]]/(Таблица1[[#This Row],[Годовой доход]]/12)</f>
        <v>0.27488385711497171</v>
      </c>
    </row>
    <row r="1106" spans="1:21" x14ac:dyDescent="0.3">
      <c r="A1106">
        <v>1105</v>
      </c>
      <c r="B1106">
        <v>0</v>
      </c>
      <c r="C1106" s="9">
        <v>467126</v>
      </c>
      <c r="D1106">
        <v>737</v>
      </c>
      <c r="E1106" s="1">
        <v>3487640</v>
      </c>
      <c r="F1106">
        <v>0</v>
      </c>
      <c r="G1106">
        <v>24064.639999999999</v>
      </c>
      <c r="H1106">
        <v>22.1</v>
      </c>
      <c r="I1106">
        <v>11</v>
      </c>
      <c r="J1106">
        <v>890302</v>
      </c>
      <c r="K1106">
        <v>1285394</v>
      </c>
      <c r="L1106" t="s">
        <v>52</v>
      </c>
      <c r="M1106" t="s">
        <v>1145</v>
      </c>
      <c r="N1106" t="s">
        <v>26</v>
      </c>
      <c r="O1106" t="s">
        <v>34</v>
      </c>
      <c r="P1106" t="s">
        <v>22</v>
      </c>
      <c r="Q1106" t="s">
        <v>23</v>
      </c>
      <c r="R1106" t="b">
        <f>OR(Таблица1[[#This Row],[Ежемесячный платеж]]&lt;$AC$5, Таблица1[[#This Row],[Ежемесячный платеж]]&gt;$AC$6)</f>
        <v>0</v>
      </c>
      <c r="S1106" s="9">
        <f>(Таблица1[[#This Row],[Размер кредита]]-21824)/(789096-21824)</f>
        <v>0.5803704553274458</v>
      </c>
      <c r="T1106" s="9">
        <f>(Таблица1[[#This Row],[Кредитный рейтинг]]-586)/(751-586)</f>
        <v>0.91515151515151516</v>
      </c>
      <c r="U1106" s="9">
        <f>Таблица1[[#This Row],[Ежемесячный платеж]]/(Таблица1[[#This Row],[Годовой доход]]/12)</f>
        <v>8.2799738505120929E-2</v>
      </c>
    </row>
    <row r="1107" spans="1:21" x14ac:dyDescent="0.3">
      <c r="A1107">
        <v>1106</v>
      </c>
      <c r="B1107">
        <v>0</v>
      </c>
      <c r="C1107" s="9">
        <v>577764</v>
      </c>
      <c r="D1107">
        <v>715</v>
      </c>
      <c r="E1107" s="1">
        <v>1135098</v>
      </c>
      <c r="F1107">
        <v>34</v>
      </c>
      <c r="G1107">
        <v>10688.83</v>
      </c>
      <c r="H1107">
        <v>17.8</v>
      </c>
      <c r="I1107">
        <v>4</v>
      </c>
      <c r="J1107">
        <v>46987</v>
      </c>
      <c r="K1107">
        <v>591448</v>
      </c>
      <c r="L1107" t="s">
        <v>29</v>
      </c>
      <c r="M1107" t="s">
        <v>1146</v>
      </c>
      <c r="N1107" t="s">
        <v>20</v>
      </c>
      <c r="O1107" t="s">
        <v>21</v>
      </c>
      <c r="P1107" t="s">
        <v>31</v>
      </c>
      <c r="Q1107" t="s">
        <v>23</v>
      </c>
      <c r="R1107" t="b">
        <f>OR(Таблица1[[#This Row],[Ежемесячный платеж]]&lt;$AC$5, Таблица1[[#This Row],[Ежемесячный платеж]]&gt;$AC$6)</f>
        <v>0</v>
      </c>
      <c r="S1107" s="9">
        <f>(Таблица1[[#This Row],[Размер кредита]]-21824)/(789096-21824)</f>
        <v>0.72456703750430096</v>
      </c>
      <c r="T1107" s="9">
        <f>(Таблица1[[#This Row],[Кредитный рейтинг]]-586)/(751-586)</f>
        <v>0.78181818181818186</v>
      </c>
      <c r="U1107" s="9">
        <f>Таблица1[[#This Row],[Ежемесячный платеж]]/(Таблица1[[#This Row],[Годовой доход]]/12)</f>
        <v>0.11299989956814302</v>
      </c>
    </row>
    <row r="1108" spans="1:21" x14ac:dyDescent="0.3">
      <c r="A1108">
        <v>1107</v>
      </c>
      <c r="B1108">
        <v>0</v>
      </c>
      <c r="C1108" s="9">
        <v>234740</v>
      </c>
      <c r="D1108">
        <f>$Y$13</f>
        <v>723</v>
      </c>
      <c r="E1108">
        <f>$AB$13</f>
        <v>1168044</v>
      </c>
      <c r="F1108">
        <v>0</v>
      </c>
      <c r="G1108">
        <v>14366.09</v>
      </c>
      <c r="H1108">
        <v>12.3</v>
      </c>
      <c r="I1108">
        <v>6</v>
      </c>
      <c r="J1108">
        <v>120004</v>
      </c>
      <c r="K1108">
        <v>300124</v>
      </c>
      <c r="L1108" t="s">
        <v>47</v>
      </c>
      <c r="M1108" t="s">
        <v>1147</v>
      </c>
      <c r="N1108" t="s">
        <v>26</v>
      </c>
      <c r="O1108" t="s">
        <v>34</v>
      </c>
      <c r="P1108" t="s">
        <v>22</v>
      </c>
      <c r="Q1108" t="s">
        <v>23</v>
      </c>
      <c r="R1108" t="b">
        <f>OR(Таблица1[[#This Row],[Ежемесячный платеж]]&lt;$AC$5, Таблица1[[#This Row],[Ежемесячный платеж]]&gt;$AC$6)</f>
        <v>0</v>
      </c>
      <c r="S1108" s="9">
        <f>(Таблица1[[#This Row],[Размер кредита]]-21824)/(789096-21824)</f>
        <v>0.2774974194288336</v>
      </c>
      <c r="T1108" s="9">
        <f>(Таблица1[[#This Row],[Кредитный рейтинг]]-586)/(751-586)</f>
        <v>0.83030303030303032</v>
      </c>
      <c r="U1108" s="9">
        <f>Таблица1[[#This Row],[Ежемесячный платеж]]/(Таблица1[[#This Row],[Годовой доход]]/12)</f>
        <v>0.1475912551239508</v>
      </c>
    </row>
    <row r="1109" spans="1:21" x14ac:dyDescent="0.3">
      <c r="A1109">
        <v>1108</v>
      </c>
      <c r="B1109">
        <v>0</v>
      </c>
      <c r="C1109" s="9">
        <v>390038</v>
      </c>
      <c r="D1109">
        <v>708</v>
      </c>
      <c r="E1109" s="1">
        <v>1039433</v>
      </c>
      <c r="F1109">
        <v>13</v>
      </c>
      <c r="G1109">
        <v>27631.89</v>
      </c>
      <c r="H1109">
        <v>14.4</v>
      </c>
      <c r="I1109">
        <v>16</v>
      </c>
      <c r="J1109">
        <v>384389</v>
      </c>
      <c r="K1109">
        <v>883080</v>
      </c>
      <c r="L1109" t="s">
        <v>24</v>
      </c>
      <c r="M1109" t="s">
        <v>1148</v>
      </c>
      <c r="N1109" t="s">
        <v>26</v>
      </c>
      <c r="O1109" t="s">
        <v>34</v>
      </c>
      <c r="P1109" t="s">
        <v>31</v>
      </c>
      <c r="Q1109" t="s">
        <v>23</v>
      </c>
      <c r="R1109" t="b">
        <f>OR(Таблица1[[#This Row],[Ежемесячный платеж]]&lt;$AC$5, Таблица1[[#This Row],[Ежемесячный платеж]]&gt;$AC$6)</f>
        <v>0</v>
      </c>
      <c r="S1109" s="9">
        <f>(Таблица1[[#This Row],[Размер кредита]]-21824)/(789096-21824)</f>
        <v>0.47990021791489851</v>
      </c>
      <c r="T1109" s="9">
        <f>(Таблица1[[#This Row],[Кредитный рейтинг]]-586)/(751-586)</f>
        <v>0.73939393939393938</v>
      </c>
      <c r="U1109" s="9">
        <f>Таблица1[[#This Row],[Ежемесячный платеж]]/(Таблица1[[#This Row],[Годовой доход]]/12)</f>
        <v>0.31900341820973549</v>
      </c>
    </row>
    <row r="1110" spans="1:21" x14ac:dyDescent="0.3">
      <c r="A1110">
        <v>1109</v>
      </c>
      <c r="B1110">
        <v>1</v>
      </c>
      <c r="C1110" s="9">
        <v>111364</v>
      </c>
      <c r="D1110">
        <v>732</v>
      </c>
      <c r="E1110" s="1">
        <v>1250200</v>
      </c>
      <c r="F1110">
        <v>0</v>
      </c>
      <c r="G1110">
        <v>23336.75</v>
      </c>
      <c r="H1110">
        <v>19.8</v>
      </c>
      <c r="I1110">
        <v>21</v>
      </c>
      <c r="J1110">
        <v>280193</v>
      </c>
      <c r="K1110">
        <v>688820</v>
      </c>
      <c r="L1110" t="s">
        <v>24</v>
      </c>
      <c r="M1110" t="s">
        <v>1149</v>
      </c>
      <c r="N1110" t="s">
        <v>26</v>
      </c>
      <c r="O1110" t="s">
        <v>21</v>
      </c>
      <c r="P1110" t="s">
        <v>22</v>
      </c>
      <c r="Q1110" t="s">
        <v>23</v>
      </c>
      <c r="R1110" t="b">
        <f>OR(Таблица1[[#This Row],[Ежемесячный платеж]]&lt;$AC$5, Таблица1[[#This Row],[Ежемесячный платеж]]&gt;$AC$6)</f>
        <v>0</v>
      </c>
      <c r="S1110" s="9">
        <f>(Таблица1[[#This Row],[Размер кредита]]-21824)/(789096-21824)</f>
        <v>0.11669916274802156</v>
      </c>
      <c r="T1110" s="9">
        <f>(Таблица1[[#This Row],[Кредитный рейтинг]]-586)/(751-586)</f>
        <v>0.88484848484848488</v>
      </c>
      <c r="U1110" s="9">
        <f>Таблица1[[#This Row],[Ежемесячный платеж]]/(Таблица1[[#This Row],[Годовой доход]]/12)</f>
        <v>0.2239969604863222</v>
      </c>
    </row>
    <row r="1111" spans="1:21" x14ac:dyDescent="0.3">
      <c r="A1111">
        <v>1110</v>
      </c>
      <c r="B1111">
        <v>0</v>
      </c>
      <c r="C1111" s="9">
        <v>222750</v>
      </c>
      <c r="D1111">
        <v>744</v>
      </c>
      <c r="E1111" s="1">
        <v>1442822</v>
      </c>
      <c r="F1111">
        <v>31</v>
      </c>
      <c r="G1111">
        <v>21161.25</v>
      </c>
      <c r="H1111">
        <v>29</v>
      </c>
      <c r="I1111">
        <v>12</v>
      </c>
      <c r="J1111">
        <v>528390</v>
      </c>
      <c r="K1111">
        <v>1477828</v>
      </c>
      <c r="L1111" t="s">
        <v>69</v>
      </c>
      <c r="M1111" t="s">
        <v>1150</v>
      </c>
      <c r="N1111" t="s">
        <v>26</v>
      </c>
      <c r="O1111" t="s">
        <v>21</v>
      </c>
      <c r="P1111" t="s">
        <v>22</v>
      </c>
      <c r="Q1111" t="s">
        <v>23</v>
      </c>
      <c r="R1111" t="b">
        <f>OR(Таблица1[[#This Row],[Ежемесячный платеж]]&lt;$AC$5, Таблица1[[#This Row],[Ежемесячный платеж]]&gt;$AC$6)</f>
        <v>0</v>
      </c>
      <c r="S1111" s="9">
        <f>(Таблица1[[#This Row],[Размер кредита]]-21824)/(789096-21824)</f>
        <v>0.26187062736552358</v>
      </c>
      <c r="T1111" s="9">
        <f>(Таблица1[[#This Row],[Кредитный рейтинг]]-586)/(751-586)</f>
        <v>0.95757575757575752</v>
      </c>
      <c r="U1111" s="9">
        <f>Таблица1[[#This Row],[Ежемесячный платеж]]/(Таблица1[[#This Row],[Годовой доход]]/12)</f>
        <v>0.17599884115989359</v>
      </c>
    </row>
    <row r="1112" spans="1:21" x14ac:dyDescent="0.3">
      <c r="A1112">
        <v>1111</v>
      </c>
      <c r="B1112">
        <v>0</v>
      </c>
      <c r="C1112" s="9">
        <v>44748</v>
      </c>
      <c r="D1112">
        <v>736</v>
      </c>
      <c r="E1112" s="1">
        <v>734274</v>
      </c>
      <c r="F1112">
        <v>0</v>
      </c>
      <c r="G1112">
        <v>10035.040000000001</v>
      </c>
      <c r="H1112">
        <v>8.3000000000000007</v>
      </c>
      <c r="I1112">
        <v>9</v>
      </c>
      <c r="J1112">
        <v>97052</v>
      </c>
      <c r="K1112">
        <v>597784</v>
      </c>
      <c r="L1112" t="s">
        <v>69</v>
      </c>
      <c r="M1112" t="s">
        <v>1151</v>
      </c>
      <c r="N1112" t="s">
        <v>26</v>
      </c>
      <c r="O1112" t="s">
        <v>28</v>
      </c>
      <c r="P1112" t="s">
        <v>22</v>
      </c>
      <c r="Q1112" t="s">
        <v>23</v>
      </c>
      <c r="R1112" t="b">
        <f>OR(Таблица1[[#This Row],[Ежемесячный платеж]]&lt;$AC$5, Таблица1[[#This Row],[Ежемесячный платеж]]&gt;$AC$6)</f>
        <v>0</v>
      </c>
      <c r="S1112" s="9">
        <f>(Таблица1[[#This Row],[Размер кредита]]-21824)/(789096-21824)</f>
        <v>2.9877279504530337E-2</v>
      </c>
      <c r="T1112" s="9">
        <f>(Таблица1[[#This Row],[Кредитный рейтинг]]-586)/(751-586)</f>
        <v>0.90909090909090906</v>
      </c>
      <c r="U1112" s="9">
        <f>Таблица1[[#This Row],[Ежемесячный платеж]]/(Таблица1[[#This Row],[Годовой доход]]/12)</f>
        <v>0.16399937897841951</v>
      </c>
    </row>
    <row r="1113" spans="1:21" x14ac:dyDescent="0.3">
      <c r="A1113">
        <v>1112</v>
      </c>
      <c r="B1113">
        <v>0</v>
      </c>
      <c r="C1113" s="9">
        <v>21934</v>
      </c>
      <c r="D1113">
        <v>702</v>
      </c>
      <c r="E1113" s="1">
        <v>729087</v>
      </c>
      <c r="F1113">
        <v>0</v>
      </c>
      <c r="G1113">
        <v>16039.8</v>
      </c>
      <c r="H1113">
        <v>15.3</v>
      </c>
      <c r="I1113">
        <v>10</v>
      </c>
      <c r="J1113">
        <v>135166</v>
      </c>
      <c r="K1113">
        <v>256586</v>
      </c>
      <c r="L1113" t="s">
        <v>32</v>
      </c>
      <c r="M1113" t="s">
        <v>1152</v>
      </c>
      <c r="N1113" t="s">
        <v>68</v>
      </c>
      <c r="O1113" t="s">
        <v>34</v>
      </c>
      <c r="P1113" t="s">
        <v>22</v>
      </c>
      <c r="Q1113" t="s">
        <v>23</v>
      </c>
      <c r="R1113" t="b">
        <f>OR(Таблица1[[#This Row],[Ежемесячный платеж]]&lt;$AC$5, Таблица1[[#This Row],[Ежемесячный платеж]]&gt;$AC$6)</f>
        <v>0</v>
      </c>
      <c r="S1113" s="9">
        <f>(Таблица1[[#This Row],[Размер кредита]]-21824)/(789096-21824)</f>
        <v>1.4336506480100929E-4</v>
      </c>
      <c r="T1113" s="9">
        <f>(Таблица1[[#This Row],[Кредитный рейтинг]]-586)/(751-586)</f>
        <v>0.70303030303030301</v>
      </c>
      <c r="U1113" s="9">
        <f>Таблица1[[#This Row],[Ежемесячный платеж]]/(Таблица1[[#This Row],[Годовой доход]]/12)</f>
        <v>0.26399812368071301</v>
      </c>
    </row>
    <row r="1114" spans="1:21" x14ac:dyDescent="0.3">
      <c r="A1114">
        <v>1113</v>
      </c>
      <c r="B1114">
        <v>1</v>
      </c>
      <c r="C1114" s="9">
        <v>252648</v>
      </c>
      <c r="D1114">
        <v>743</v>
      </c>
      <c r="E1114" s="1">
        <v>1626951</v>
      </c>
      <c r="F1114">
        <v>0</v>
      </c>
      <c r="G1114">
        <v>32810.15</v>
      </c>
      <c r="H1114">
        <v>17.8</v>
      </c>
      <c r="I1114">
        <v>19</v>
      </c>
      <c r="J1114">
        <v>182457</v>
      </c>
      <c r="K1114">
        <v>800206</v>
      </c>
      <c r="L1114" t="s">
        <v>24</v>
      </c>
      <c r="M1114" t="s">
        <v>1153</v>
      </c>
      <c r="N1114" t="s">
        <v>26</v>
      </c>
      <c r="O1114" t="s">
        <v>28</v>
      </c>
      <c r="P1114" t="s">
        <v>22</v>
      </c>
      <c r="Q1114" t="s">
        <v>23</v>
      </c>
      <c r="R1114" t="b">
        <f>OR(Таблица1[[#This Row],[Ежемесячный платеж]]&lt;$AC$5, Таблица1[[#This Row],[Ежемесячный платеж]]&gt;$AC$6)</f>
        <v>0</v>
      </c>
      <c r="S1114" s="9">
        <f>(Таблица1[[#This Row],[Размер кредита]]-21824)/(789096-21824)</f>
        <v>0.30083725197843791</v>
      </c>
      <c r="T1114" s="9">
        <f>(Таблица1[[#This Row],[Кредитный рейтинг]]-586)/(751-586)</f>
        <v>0.95151515151515154</v>
      </c>
      <c r="U1114" s="9">
        <f>Таблица1[[#This Row],[Ежемесячный платеж]]/(Таблица1[[#This Row],[Годовой доход]]/12)</f>
        <v>0.24199978979084188</v>
      </c>
    </row>
    <row r="1115" spans="1:21" x14ac:dyDescent="0.3">
      <c r="A1115">
        <v>1114</v>
      </c>
      <c r="B1115">
        <v>0</v>
      </c>
      <c r="C1115" s="9">
        <v>215314</v>
      </c>
      <c r="D1115">
        <v>732</v>
      </c>
      <c r="E1115" s="1">
        <v>843125</v>
      </c>
      <c r="F1115">
        <v>69</v>
      </c>
      <c r="G1115">
        <v>15667.97</v>
      </c>
      <c r="H1115">
        <v>18.3</v>
      </c>
      <c r="I1115">
        <v>14</v>
      </c>
      <c r="J1115">
        <v>192907</v>
      </c>
      <c r="K1115">
        <v>279906</v>
      </c>
      <c r="L1115" t="s">
        <v>69</v>
      </c>
      <c r="M1115" t="s">
        <v>1154</v>
      </c>
      <c r="N1115" t="s">
        <v>26</v>
      </c>
      <c r="O1115" t="s">
        <v>34</v>
      </c>
      <c r="P1115" t="s">
        <v>22</v>
      </c>
      <c r="Q1115" t="s">
        <v>36</v>
      </c>
      <c r="R1115" t="b">
        <f>OR(Таблица1[[#This Row],[Ежемесячный платеж]]&lt;$AC$5, Таблица1[[#This Row],[Ежемесячный платеж]]&gt;$AC$6)</f>
        <v>0</v>
      </c>
      <c r="S1115" s="9">
        <f>(Таблица1[[#This Row],[Размер кредита]]-21824)/(789096-21824)</f>
        <v>0.25217914898497534</v>
      </c>
      <c r="T1115" s="9">
        <f>(Таблица1[[#This Row],[Кредитный рейтинг]]-586)/(751-586)</f>
        <v>0.88484848484848488</v>
      </c>
      <c r="U1115" s="9">
        <f>Таблица1[[#This Row],[Ежемесячный платеж]]/(Таблица1[[#This Row],[Годовой доход]]/12)</f>
        <v>0.22299853521126758</v>
      </c>
    </row>
    <row r="1116" spans="1:21" x14ac:dyDescent="0.3">
      <c r="A1116">
        <v>1115</v>
      </c>
      <c r="B1116">
        <v>0</v>
      </c>
      <c r="C1116" s="9">
        <v>130746</v>
      </c>
      <c r="D1116">
        <v>742</v>
      </c>
      <c r="E1116" s="1">
        <v>1674945</v>
      </c>
      <c r="F1116">
        <v>10</v>
      </c>
      <c r="G1116">
        <v>11780.38</v>
      </c>
      <c r="H1116">
        <v>14.2</v>
      </c>
      <c r="I1116">
        <v>6</v>
      </c>
      <c r="J1116">
        <v>54245</v>
      </c>
      <c r="K1116">
        <v>106788</v>
      </c>
      <c r="L1116" t="s">
        <v>32</v>
      </c>
      <c r="M1116" t="s">
        <v>1155</v>
      </c>
      <c r="N1116" t="s">
        <v>26</v>
      </c>
      <c r="O1116" t="s">
        <v>21</v>
      </c>
      <c r="P1116" t="s">
        <v>22</v>
      </c>
      <c r="Q1116" t="s">
        <v>23</v>
      </c>
      <c r="R1116" t="b">
        <f>OR(Таблица1[[#This Row],[Ежемесячный платеж]]&lt;$AC$5, Таблица1[[#This Row],[Ежемесячный платеж]]&gt;$AC$6)</f>
        <v>0</v>
      </c>
      <c r="S1116" s="9">
        <f>(Таблица1[[#This Row],[Размер кредита]]-21824)/(789096-21824)</f>
        <v>0.1419600871659594</v>
      </c>
      <c r="T1116" s="9">
        <f>(Таблица1[[#This Row],[Кредитный рейтинг]]-586)/(751-586)</f>
        <v>0.94545454545454544</v>
      </c>
      <c r="U1116" s="9">
        <f>Таблица1[[#This Row],[Ежемесячный платеж]]/(Таблица1[[#This Row],[Годовой доход]]/12)</f>
        <v>8.4399523566445464E-2</v>
      </c>
    </row>
    <row r="1117" spans="1:21" x14ac:dyDescent="0.3">
      <c r="A1117">
        <v>1116</v>
      </c>
      <c r="B1117">
        <v>1</v>
      </c>
      <c r="C1117" s="9">
        <v>115566</v>
      </c>
      <c r="D1117">
        <f>$Y$13</f>
        <v>723</v>
      </c>
      <c r="E1117">
        <f>$AB$13</f>
        <v>1168044</v>
      </c>
      <c r="F1117">
        <v>0</v>
      </c>
      <c r="G1117">
        <v>17219.13</v>
      </c>
      <c r="H1117">
        <v>15.2</v>
      </c>
      <c r="I1117">
        <v>13</v>
      </c>
      <c r="J1117">
        <v>116375</v>
      </c>
      <c r="K1117">
        <v>383878</v>
      </c>
      <c r="L1117" t="s">
        <v>18</v>
      </c>
      <c r="M1117" t="s">
        <v>1156</v>
      </c>
      <c r="N1117" t="s">
        <v>26</v>
      </c>
      <c r="O1117" t="s">
        <v>21</v>
      </c>
      <c r="P1117" t="s">
        <v>22</v>
      </c>
      <c r="Q1117" t="s">
        <v>23</v>
      </c>
      <c r="R1117" t="b">
        <f>OR(Таблица1[[#This Row],[Ежемесячный платеж]]&lt;$AC$5, Таблица1[[#This Row],[Ежемесячный платеж]]&gt;$AC$6)</f>
        <v>0</v>
      </c>
      <c r="S1117" s="9">
        <f>(Таблица1[[#This Row],[Размер кредита]]-21824)/(789096-21824)</f>
        <v>0.12217570822342012</v>
      </c>
      <c r="T1117" s="9">
        <f>(Таблица1[[#This Row],[Кредитный рейтинг]]-586)/(751-586)</f>
        <v>0.83030303030303032</v>
      </c>
      <c r="U1117" s="9">
        <f>Таблица1[[#This Row],[Ежемесячный платеж]]/(Таблица1[[#This Row],[Годовой доход]]/12)</f>
        <v>0.17690220573882492</v>
      </c>
    </row>
    <row r="1118" spans="1:21" x14ac:dyDescent="0.3">
      <c r="A1118">
        <v>1117</v>
      </c>
      <c r="B1118">
        <v>0</v>
      </c>
      <c r="C1118" s="9">
        <v>52074</v>
      </c>
      <c r="D1118">
        <v>737</v>
      </c>
      <c r="E1118" s="1">
        <v>877021</v>
      </c>
      <c r="F1118">
        <v>0</v>
      </c>
      <c r="G1118">
        <v>4743.16</v>
      </c>
      <c r="H1118">
        <v>16.7</v>
      </c>
      <c r="I1118">
        <v>7</v>
      </c>
      <c r="J1118">
        <v>127889</v>
      </c>
      <c r="K1118">
        <v>315766</v>
      </c>
      <c r="L1118" t="s">
        <v>52</v>
      </c>
      <c r="M1118" t="s">
        <v>1157</v>
      </c>
      <c r="N1118" t="s">
        <v>26</v>
      </c>
      <c r="O1118" t="s">
        <v>34</v>
      </c>
      <c r="P1118" t="s">
        <v>22</v>
      </c>
      <c r="Q1118" t="s">
        <v>36</v>
      </c>
      <c r="R1118" t="b">
        <f>OR(Таблица1[[#This Row],[Ежемесячный платеж]]&lt;$AC$5, Таблица1[[#This Row],[Ежемесячный платеж]]&gt;$AC$6)</f>
        <v>0</v>
      </c>
      <c r="S1118" s="9">
        <f>(Таблица1[[#This Row],[Размер кредита]]-21824)/(789096-21824)</f>
        <v>3.9425392820277558E-2</v>
      </c>
      <c r="T1118" s="9">
        <f>(Таблица1[[#This Row],[Кредитный рейтинг]]-586)/(751-586)</f>
        <v>0.91515151515151516</v>
      </c>
      <c r="U1118" s="9">
        <f>Таблица1[[#This Row],[Ежемесячный платеж]]/(Таблица1[[#This Row],[Годовой доход]]/12)</f>
        <v>6.4899152927923046E-2</v>
      </c>
    </row>
    <row r="1119" spans="1:21" x14ac:dyDescent="0.3">
      <c r="A1119">
        <v>1118</v>
      </c>
      <c r="B1119">
        <v>0</v>
      </c>
      <c r="C1119" s="9">
        <v>55286</v>
      </c>
      <c r="D1119">
        <v>704</v>
      </c>
      <c r="E1119" s="1">
        <v>1909880</v>
      </c>
      <c r="F1119">
        <v>33</v>
      </c>
      <c r="G1119">
        <v>14737.92</v>
      </c>
      <c r="H1119">
        <v>16.899999999999999</v>
      </c>
      <c r="I1119">
        <v>7</v>
      </c>
      <c r="J1119">
        <v>131290</v>
      </c>
      <c r="K1119">
        <v>191224</v>
      </c>
      <c r="L1119" t="s">
        <v>37</v>
      </c>
      <c r="M1119" t="s">
        <v>1158</v>
      </c>
      <c r="N1119" t="s">
        <v>68</v>
      </c>
      <c r="O1119" t="s">
        <v>21</v>
      </c>
      <c r="P1119" t="s">
        <v>22</v>
      </c>
      <c r="Q1119" t="s">
        <v>36</v>
      </c>
      <c r="R1119" t="b">
        <f>OR(Таблица1[[#This Row],[Ежемесячный платеж]]&lt;$AC$5, Таблица1[[#This Row],[Ежемесячный платеж]]&gt;$AC$6)</f>
        <v>0</v>
      </c>
      <c r="S1119" s="9">
        <f>(Таблица1[[#This Row],[Размер кредита]]-21824)/(789096-21824)</f>
        <v>4.3611652712467024E-2</v>
      </c>
      <c r="T1119" s="9">
        <f>(Таблица1[[#This Row],[Кредитный рейтинг]]-586)/(751-586)</f>
        <v>0.7151515151515152</v>
      </c>
      <c r="U1119" s="9">
        <f>Таблица1[[#This Row],[Ежемесячный платеж]]/(Таблица1[[#This Row],[Годовой доход]]/12)</f>
        <v>9.2600079586152018E-2</v>
      </c>
    </row>
    <row r="1120" spans="1:21" x14ac:dyDescent="0.3">
      <c r="A1120">
        <v>1119</v>
      </c>
      <c r="B1120">
        <v>0</v>
      </c>
      <c r="C1120" s="9">
        <v>121572</v>
      </c>
      <c r="D1120">
        <v>710</v>
      </c>
      <c r="E1120" s="1">
        <v>1349798</v>
      </c>
      <c r="F1120">
        <v>0</v>
      </c>
      <c r="G1120">
        <v>20809.560000000001</v>
      </c>
      <c r="H1120">
        <v>9.1</v>
      </c>
      <c r="I1120">
        <v>17</v>
      </c>
      <c r="J1120">
        <v>206986</v>
      </c>
      <c r="K1120">
        <v>544698</v>
      </c>
      <c r="L1120" t="s">
        <v>69</v>
      </c>
      <c r="M1120" t="s">
        <v>1159</v>
      </c>
      <c r="N1120" t="s">
        <v>76</v>
      </c>
      <c r="O1120" t="s">
        <v>34</v>
      </c>
      <c r="P1120" t="s">
        <v>22</v>
      </c>
      <c r="Q1120" t="s">
        <v>23</v>
      </c>
      <c r="R1120" t="b">
        <f>OR(Таблица1[[#This Row],[Ежемесячный платеж]]&lt;$AC$5, Таблица1[[#This Row],[Ежемесячный платеж]]&gt;$AC$6)</f>
        <v>0</v>
      </c>
      <c r="S1120" s="9">
        <f>(Таблица1[[#This Row],[Размер кредита]]-21824)/(789096-21824)</f>
        <v>0.13000344076155523</v>
      </c>
      <c r="T1120" s="9">
        <f>(Таблица1[[#This Row],[Кредитный рейтинг]]-586)/(751-586)</f>
        <v>0.75151515151515147</v>
      </c>
      <c r="U1120" s="9">
        <f>Таблица1[[#This Row],[Ежемесячный платеж]]/(Таблица1[[#This Row],[Годовой доход]]/12)</f>
        <v>0.18500154837983165</v>
      </c>
    </row>
    <row r="1121" spans="1:21" x14ac:dyDescent="0.3">
      <c r="A1121">
        <v>1120</v>
      </c>
      <c r="B1121">
        <v>0</v>
      </c>
      <c r="C1121" s="9">
        <v>78694</v>
      </c>
      <c r="D1121">
        <f>$Y$13</f>
        <v>723</v>
      </c>
      <c r="E1121">
        <f>$AB$13</f>
        <v>1168044</v>
      </c>
      <c r="F1121">
        <v>7</v>
      </c>
      <c r="G1121">
        <v>12015.98</v>
      </c>
      <c r="H1121">
        <v>7.8</v>
      </c>
      <c r="I1121">
        <v>5</v>
      </c>
      <c r="J1121">
        <v>3363</v>
      </c>
      <c r="K1121">
        <v>79398</v>
      </c>
      <c r="L1121" t="s">
        <v>47</v>
      </c>
      <c r="M1121" s="2" t="s">
        <v>1160</v>
      </c>
      <c r="N1121" t="s">
        <v>26</v>
      </c>
      <c r="O1121" t="s">
        <v>34</v>
      </c>
      <c r="P1121" t="s">
        <v>22</v>
      </c>
      <c r="Q1121" t="s">
        <v>36</v>
      </c>
      <c r="R1121" t="b">
        <f>OR(Таблица1[[#This Row],[Ежемесячный платеж]]&lt;$AC$5, Таблица1[[#This Row],[Ежемесячный платеж]]&gt;$AC$6)</f>
        <v>0</v>
      </c>
      <c r="S1121" s="9">
        <f>(Таблица1[[#This Row],[Размер кредита]]-21824)/(789096-21824)</f>
        <v>7.4119738502121807E-2</v>
      </c>
      <c r="T1121" s="9">
        <f>(Таблица1[[#This Row],[Кредитный рейтинг]]-586)/(751-586)</f>
        <v>0.83030303030303032</v>
      </c>
      <c r="U1121" s="9">
        <f>Таблица1[[#This Row],[Ежемесячный платеж]]/(Таблица1[[#This Row],[Годовой доход]]/12)</f>
        <v>0.12344719890689049</v>
      </c>
    </row>
    <row r="1122" spans="1:21" x14ac:dyDescent="0.3">
      <c r="A1122">
        <v>1121</v>
      </c>
      <c r="B1122">
        <v>0</v>
      </c>
      <c r="C1122" s="9">
        <v>269324</v>
      </c>
      <c r="D1122">
        <f>$Y$13</f>
        <v>723</v>
      </c>
      <c r="E1122">
        <f>$AB$13</f>
        <v>1168044</v>
      </c>
      <c r="F1122">
        <v>30</v>
      </c>
      <c r="G1122">
        <v>45745.73</v>
      </c>
      <c r="H1122">
        <v>25.8</v>
      </c>
      <c r="I1122">
        <v>13</v>
      </c>
      <c r="J1122">
        <v>563958</v>
      </c>
      <c r="K1122">
        <v>1329944</v>
      </c>
      <c r="L1122" t="s">
        <v>24</v>
      </c>
      <c r="M1122" t="s">
        <v>1161</v>
      </c>
      <c r="N1122" t="s">
        <v>26</v>
      </c>
      <c r="O1122" t="s">
        <v>21</v>
      </c>
      <c r="P1122" t="s">
        <v>22</v>
      </c>
      <c r="Q1122" t="s">
        <v>23</v>
      </c>
      <c r="R1122" t="b">
        <f>OR(Таблица1[[#This Row],[Ежемесячный платеж]]&lt;$AC$5, Таблица1[[#This Row],[Ежемесячный платеж]]&gt;$AC$6)</f>
        <v>1</v>
      </c>
      <c r="S1122" s="9">
        <f>(Таблица1[[#This Row],[Размер кредита]]-21824)/(789096-21824)</f>
        <v>0.3225713958022709</v>
      </c>
      <c r="T1122" s="9">
        <f>(Таблица1[[#This Row],[Кредитный рейтинг]]-586)/(751-586)</f>
        <v>0.83030303030303032</v>
      </c>
      <c r="U1122" s="9">
        <f>Таблица1[[#This Row],[Ежемесячный платеж]]/(Таблица1[[#This Row],[Годовой доход]]/12)</f>
        <v>0.46997267226234629</v>
      </c>
    </row>
    <row r="1123" spans="1:21" x14ac:dyDescent="0.3">
      <c r="A1123">
        <v>1122</v>
      </c>
      <c r="B1123">
        <v>1</v>
      </c>
      <c r="C1123" s="9">
        <v>116138</v>
      </c>
      <c r="D1123">
        <v>721</v>
      </c>
      <c r="E1123" s="1">
        <v>928720</v>
      </c>
      <c r="F1123">
        <v>15</v>
      </c>
      <c r="G1123">
        <v>5758.14</v>
      </c>
      <c r="H1123">
        <v>16</v>
      </c>
      <c r="I1123">
        <v>9</v>
      </c>
      <c r="J1123">
        <v>88426</v>
      </c>
      <c r="K1123">
        <v>167860</v>
      </c>
      <c r="L1123" t="s">
        <v>63</v>
      </c>
      <c r="M1123" t="s">
        <v>1162</v>
      </c>
      <c r="N1123" t="s">
        <v>26</v>
      </c>
      <c r="O1123" t="s">
        <v>34</v>
      </c>
      <c r="P1123" t="s">
        <v>22</v>
      </c>
      <c r="Q1123" t="s">
        <v>23</v>
      </c>
      <c r="R1123" t="b">
        <f>OR(Таблица1[[#This Row],[Ежемесячный платеж]]&lt;$AC$5, Таблица1[[#This Row],[Ежемесячный платеж]]&gt;$AC$6)</f>
        <v>0</v>
      </c>
      <c r="S1123" s="9">
        <f>(Таблица1[[#This Row],[Размер кредита]]-21824)/(789096-21824)</f>
        <v>0.12292120656038537</v>
      </c>
      <c r="T1123" s="9">
        <f>(Таблица1[[#This Row],[Кредитный рейтинг]]-586)/(751-586)</f>
        <v>0.81818181818181823</v>
      </c>
      <c r="U1123" s="9">
        <f>Таблица1[[#This Row],[Ежемесячный платеж]]/(Таблица1[[#This Row],[Годовой доход]]/12)</f>
        <v>7.4400981996726692E-2</v>
      </c>
    </row>
    <row r="1124" spans="1:21" x14ac:dyDescent="0.3">
      <c r="A1124">
        <v>1123</v>
      </c>
      <c r="B1124">
        <v>0</v>
      </c>
      <c r="C1124" s="9">
        <v>65516</v>
      </c>
      <c r="D1124">
        <v>716</v>
      </c>
      <c r="E1124" s="1">
        <v>1131564</v>
      </c>
      <c r="F1124">
        <v>21</v>
      </c>
      <c r="G1124">
        <v>15936.25</v>
      </c>
      <c r="H1124">
        <v>21.3</v>
      </c>
      <c r="I1124">
        <v>6</v>
      </c>
      <c r="J1124">
        <v>322715</v>
      </c>
      <c r="K1124">
        <v>423654</v>
      </c>
      <c r="L1124" t="s">
        <v>24</v>
      </c>
      <c r="M1124" t="s">
        <v>1163</v>
      </c>
      <c r="N1124" t="s">
        <v>26</v>
      </c>
      <c r="O1124" t="s">
        <v>34</v>
      </c>
      <c r="P1124" t="s">
        <v>22</v>
      </c>
      <c r="Q1124" t="s">
        <v>23</v>
      </c>
      <c r="R1124" t="b">
        <f>OR(Таблица1[[#This Row],[Ежемесячный платеж]]&lt;$AC$5, Таблица1[[#This Row],[Ежемесячный платеж]]&gt;$AC$6)</f>
        <v>0</v>
      </c>
      <c r="S1124" s="9">
        <f>(Таблица1[[#This Row],[Размер кредита]]-21824)/(789096-21824)</f>
        <v>5.6944603738960889E-2</v>
      </c>
      <c r="T1124" s="9">
        <f>(Таблица1[[#This Row],[Кредитный рейтинг]]-586)/(751-586)</f>
        <v>0.78787878787878785</v>
      </c>
      <c r="U1124" s="9">
        <f>Таблица1[[#This Row],[Ежемесячный платеж]]/(Таблица1[[#This Row],[Годовой доход]]/12)</f>
        <v>0.16900060447310095</v>
      </c>
    </row>
    <row r="1125" spans="1:21" x14ac:dyDescent="0.3">
      <c r="A1125">
        <v>1124</v>
      </c>
      <c r="B1125">
        <v>1</v>
      </c>
      <c r="C1125" s="9">
        <v>261140</v>
      </c>
      <c r="D1125">
        <v>731</v>
      </c>
      <c r="E1125" s="1">
        <v>1597558</v>
      </c>
      <c r="F1125">
        <v>0</v>
      </c>
      <c r="G1125">
        <v>10490.66</v>
      </c>
      <c r="H1125">
        <v>18.8</v>
      </c>
      <c r="I1125">
        <v>8</v>
      </c>
      <c r="J1125">
        <v>138567</v>
      </c>
      <c r="K1125">
        <v>348040</v>
      </c>
      <c r="L1125" t="s">
        <v>24</v>
      </c>
      <c r="M1125" t="s">
        <v>1164</v>
      </c>
      <c r="N1125" t="s">
        <v>26</v>
      </c>
      <c r="O1125" t="s">
        <v>34</v>
      </c>
      <c r="P1125" t="s">
        <v>22</v>
      </c>
      <c r="Q1125" t="s">
        <v>23</v>
      </c>
      <c r="R1125" t="b">
        <f>OR(Таблица1[[#This Row],[Ежемесячный платеж]]&lt;$AC$5, Таблица1[[#This Row],[Ежемесячный платеж]]&gt;$AC$6)</f>
        <v>0</v>
      </c>
      <c r="S1125" s="9">
        <f>(Таблица1[[#This Row],[Размер кредита]]-21824)/(789096-21824)</f>
        <v>0.3119050349810758</v>
      </c>
      <c r="T1125" s="9">
        <f>(Таблица1[[#This Row],[Кредитный рейтинг]]-586)/(751-586)</f>
        <v>0.87878787878787878</v>
      </c>
      <c r="U1125" s="9">
        <f>Таблица1[[#This Row],[Ежемесячный платеж]]/(Таблица1[[#This Row],[Годовой доход]]/12)</f>
        <v>7.8800218833995378E-2</v>
      </c>
    </row>
    <row r="1126" spans="1:21" x14ac:dyDescent="0.3">
      <c r="A1126">
        <v>1125</v>
      </c>
      <c r="B1126">
        <v>0</v>
      </c>
      <c r="C1126" s="9">
        <v>131582</v>
      </c>
      <c r="D1126">
        <v>736</v>
      </c>
      <c r="E1126" s="1">
        <v>1704699</v>
      </c>
      <c r="F1126">
        <v>0</v>
      </c>
      <c r="G1126">
        <v>22303.15</v>
      </c>
      <c r="H1126">
        <v>14.9</v>
      </c>
      <c r="I1126">
        <v>14</v>
      </c>
      <c r="J1126">
        <v>777024</v>
      </c>
      <c r="K1126">
        <v>945054</v>
      </c>
      <c r="L1126" t="s">
        <v>47</v>
      </c>
      <c r="M1126" t="s">
        <v>1165</v>
      </c>
      <c r="N1126" t="s">
        <v>26</v>
      </c>
      <c r="O1126" t="s">
        <v>34</v>
      </c>
      <c r="P1126" t="s">
        <v>22</v>
      </c>
      <c r="Q1126" t="s">
        <v>36</v>
      </c>
      <c r="R1126" t="b">
        <f>OR(Таблица1[[#This Row],[Ежемесячный платеж]]&lt;$AC$5, Таблица1[[#This Row],[Ежемесячный платеж]]&gt;$AC$6)</f>
        <v>0</v>
      </c>
      <c r="S1126" s="9">
        <f>(Таблица1[[#This Row],[Размер кредита]]-21824)/(789096-21824)</f>
        <v>0.14304966165844707</v>
      </c>
      <c r="T1126" s="9">
        <f>(Таблица1[[#This Row],[Кредитный рейтинг]]-586)/(751-586)</f>
        <v>0.90909090909090906</v>
      </c>
      <c r="U1126" s="9">
        <f>Таблица1[[#This Row],[Ежемесячный платеж]]/(Таблица1[[#This Row],[Годовой доход]]/12)</f>
        <v>0.15700003343698801</v>
      </c>
    </row>
    <row r="1127" spans="1:21" x14ac:dyDescent="0.3">
      <c r="A1127">
        <v>1126</v>
      </c>
      <c r="B1127">
        <v>1</v>
      </c>
      <c r="C1127" s="9">
        <v>214698</v>
      </c>
      <c r="D1127">
        <v>743</v>
      </c>
      <c r="E1127" s="1">
        <v>1446280</v>
      </c>
      <c r="F1127">
        <v>54</v>
      </c>
      <c r="G1127">
        <v>9666.06</v>
      </c>
      <c r="H1127">
        <v>21</v>
      </c>
      <c r="I1127">
        <v>9</v>
      </c>
      <c r="J1127">
        <v>210577</v>
      </c>
      <c r="K1127">
        <v>315436</v>
      </c>
      <c r="L1127" t="s">
        <v>24</v>
      </c>
      <c r="M1127" t="s">
        <v>1166</v>
      </c>
      <c r="N1127" t="s">
        <v>26</v>
      </c>
      <c r="O1127" t="s">
        <v>28</v>
      </c>
      <c r="P1127" t="s">
        <v>22</v>
      </c>
      <c r="Q1127" t="s">
        <v>23</v>
      </c>
      <c r="R1127" t="b">
        <f>OR(Таблица1[[#This Row],[Ежемесячный платеж]]&lt;$AC$5, Таблица1[[#This Row],[Ежемесячный платеж]]&gt;$AC$6)</f>
        <v>0</v>
      </c>
      <c r="S1127" s="9">
        <f>(Таблица1[[#This Row],[Размер кредита]]-21824)/(789096-21824)</f>
        <v>0.25137630462208971</v>
      </c>
      <c r="T1127" s="9">
        <f>(Таблица1[[#This Row],[Кредитный рейтинг]]-586)/(751-586)</f>
        <v>0.95151515151515154</v>
      </c>
      <c r="U1127" s="9">
        <f>Таблица1[[#This Row],[Ежемесячный платеж]]/(Таблица1[[#This Row],[Годовой доход]]/12)</f>
        <v>8.0200735680504467E-2</v>
      </c>
    </row>
    <row r="1128" spans="1:21" x14ac:dyDescent="0.3">
      <c r="A1128">
        <v>1127</v>
      </c>
      <c r="B1128">
        <v>0</v>
      </c>
      <c r="C1128" s="9">
        <v>85844</v>
      </c>
      <c r="D1128">
        <v>716</v>
      </c>
      <c r="E1128" s="1">
        <v>688218</v>
      </c>
      <c r="F1128">
        <v>0</v>
      </c>
      <c r="G1128">
        <v>6882.18</v>
      </c>
      <c r="H1128">
        <v>13.7</v>
      </c>
      <c r="I1128">
        <v>13</v>
      </c>
      <c r="J1128">
        <v>209703</v>
      </c>
      <c r="K1128">
        <v>341022</v>
      </c>
      <c r="L1128" t="s">
        <v>32</v>
      </c>
      <c r="M1128" t="s">
        <v>1167</v>
      </c>
      <c r="N1128" t="s">
        <v>26</v>
      </c>
      <c r="O1128" t="s">
        <v>34</v>
      </c>
      <c r="P1128" t="s">
        <v>22</v>
      </c>
      <c r="Q1128" t="s">
        <v>23</v>
      </c>
      <c r="R1128" t="b">
        <f>OR(Таблица1[[#This Row],[Ежемесячный платеж]]&lt;$AC$5, Таблица1[[#This Row],[Ежемесячный платеж]]&gt;$AC$6)</f>
        <v>0</v>
      </c>
      <c r="S1128" s="9">
        <f>(Таблица1[[#This Row],[Размер кредита]]-21824)/(789096-21824)</f>
        <v>8.3438467714187406E-2</v>
      </c>
      <c r="T1128" s="9">
        <f>(Таблица1[[#This Row],[Кредитный рейтинг]]-586)/(751-586)</f>
        <v>0.78787878787878785</v>
      </c>
      <c r="U1128" s="9">
        <f>Таблица1[[#This Row],[Ежемесячный платеж]]/(Таблица1[[#This Row],[Годовой доход]]/12)</f>
        <v>0.12000000000000001</v>
      </c>
    </row>
    <row r="1129" spans="1:21" x14ac:dyDescent="0.3">
      <c r="A1129">
        <v>1128</v>
      </c>
      <c r="B1129">
        <v>0</v>
      </c>
      <c r="C1129" s="9">
        <v>445940</v>
      </c>
      <c r="D1129">
        <v>653</v>
      </c>
      <c r="E1129" s="1">
        <v>1116877</v>
      </c>
      <c r="F1129">
        <v>12</v>
      </c>
      <c r="G1129">
        <v>27549.62</v>
      </c>
      <c r="H1129">
        <v>28.8</v>
      </c>
      <c r="I1129">
        <v>17</v>
      </c>
      <c r="J1129">
        <v>239818</v>
      </c>
      <c r="K1129">
        <v>793386</v>
      </c>
      <c r="L1129" t="s">
        <v>47</v>
      </c>
      <c r="M1129" t="s">
        <v>1168</v>
      </c>
      <c r="N1129" t="s">
        <v>26</v>
      </c>
      <c r="O1129" t="s">
        <v>34</v>
      </c>
      <c r="P1129" t="s">
        <v>31</v>
      </c>
      <c r="Q1129" t="s">
        <v>36</v>
      </c>
      <c r="R1129" t="b">
        <f>OR(Таблица1[[#This Row],[Ежемесячный платеж]]&lt;$AC$5, Таблица1[[#This Row],[Ежемесячный платеж]]&gt;$AC$6)</f>
        <v>0</v>
      </c>
      <c r="S1129" s="9">
        <f>(Таблица1[[#This Row],[Размер кредита]]-21824)/(789096-21824)</f>
        <v>0.55275834384677147</v>
      </c>
      <c r="T1129" s="9">
        <f>(Таблица1[[#This Row],[Кредитный рейтинг]]-586)/(751-586)</f>
        <v>0.40606060606060607</v>
      </c>
      <c r="U1129" s="9">
        <f>Таблица1[[#This Row],[Ежемесячный платеж]]/(Таблица1[[#This Row],[Годовой доход]]/12)</f>
        <v>0.2959998639062314</v>
      </c>
    </row>
    <row r="1130" spans="1:21" x14ac:dyDescent="0.3">
      <c r="A1130">
        <v>1129</v>
      </c>
      <c r="B1130">
        <v>0</v>
      </c>
      <c r="D1130">
        <v>744</v>
      </c>
      <c r="E1130" s="1">
        <v>3387510</v>
      </c>
      <c r="F1130">
        <v>0</v>
      </c>
      <c r="G1130">
        <v>32745.93</v>
      </c>
      <c r="H1130">
        <v>16</v>
      </c>
      <c r="I1130">
        <v>12</v>
      </c>
      <c r="J1130">
        <v>377758</v>
      </c>
      <c r="K1130">
        <v>669834</v>
      </c>
      <c r="L1130" t="s">
        <v>52</v>
      </c>
      <c r="M1130" t="s">
        <v>1169</v>
      </c>
      <c r="N1130" t="s">
        <v>26</v>
      </c>
      <c r="O1130" t="s">
        <v>21</v>
      </c>
      <c r="P1130" t="s">
        <v>22</v>
      </c>
      <c r="Q1130" t="s">
        <v>23</v>
      </c>
      <c r="R1130" t="b">
        <f>OR(Таблица1[[#This Row],[Ежемесячный платеж]]&lt;$AC$5, Таблица1[[#This Row],[Ежемесячный платеж]]&gt;$AC$6)</f>
        <v>0</v>
      </c>
      <c r="T1130" s="9">
        <f>(Таблица1[[#This Row],[Кредитный рейтинг]]-586)/(751-586)</f>
        <v>0.95757575757575752</v>
      </c>
      <c r="U1130" s="9">
        <f>Таблица1[[#This Row],[Ежемесячный платеж]]/(Таблица1[[#This Row],[Годовой доход]]/12)</f>
        <v>0.11600000000000001</v>
      </c>
    </row>
    <row r="1131" spans="1:21" x14ac:dyDescent="0.3">
      <c r="A1131">
        <v>1130</v>
      </c>
      <c r="B1131">
        <v>0</v>
      </c>
      <c r="C1131" s="9">
        <v>212366</v>
      </c>
      <c r="D1131">
        <v>712</v>
      </c>
      <c r="E1131" s="1">
        <v>872917</v>
      </c>
      <c r="F1131">
        <v>42</v>
      </c>
      <c r="G1131">
        <v>19931.38</v>
      </c>
      <c r="H1131">
        <v>19</v>
      </c>
      <c r="I1131">
        <v>20</v>
      </c>
      <c r="J1131">
        <v>200944</v>
      </c>
      <c r="K1131">
        <v>257928</v>
      </c>
      <c r="L1131" t="s">
        <v>37</v>
      </c>
      <c r="M1131" t="s">
        <v>1170</v>
      </c>
      <c r="N1131" t="s">
        <v>26</v>
      </c>
      <c r="O1131" t="s">
        <v>34</v>
      </c>
      <c r="P1131" t="s">
        <v>22</v>
      </c>
      <c r="Q1131" t="s">
        <v>23</v>
      </c>
      <c r="R1131" t="b">
        <f>OR(Таблица1[[#This Row],[Ежемесячный платеж]]&lt;$AC$5, Таблица1[[#This Row],[Ежемесячный платеж]]&gt;$AC$6)</f>
        <v>0</v>
      </c>
      <c r="S1131" s="9">
        <f>(Таблица1[[#This Row],[Размер кредита]]-21824)/(789096-21824)</f>
        <v>0.24833696524830828</v>
      </c>
      <c r="T1131" s="9">
        <f>(Таблица1[[#This Row],[Кредитный рейтинг]]-586)/(751-586)</f>
        <v>0.76363636363636367</v>
      </c>
      <c r="U1131" s="9">
        <f>Таблица1[[#This Row],[Ежемесячный платеж]]/(Таблица1[[#This Row],[Годовой доход]]/12)</f>
        <v>0.27399690921359077</v>
      </c>
    </row>
    <row r="1132" spans="1:21" x14ac:dyDescent="0.3">
      <c r="A1132">
        <v>1131</v>
      </c>
      <c r="B1132">
        <v>1</v>
      </c>
      <c r="D1132">
        <v>678</v>
      </c>
      <c r="E1132" s="1">
        <v>888763</v>
      </c>
      <c r="F1132">
        <v>0</v>
      </c>
      <c r="G1132">
        <v>12146.51</v>
      </c>
      <c r="H1132">
        <v>12</v>
      </c>
      <c r="I1132">
        <v>7</v>
      </c>
      <c r="J1132">
        <v>159562</v>
      </c>
      <c r="K1132">
        <v>190080</v>
      </c>
      <c r="L1132" t="s">
        <v>63</v>
      </c>
      <c r="M1132" t="s">
        <v>1171</v>
      </c>
      <c r="N1132" t="s">
        <v>26</v>
      </c>
      <c r="O1132" t="s">
        <v>34</v>
      </c>
      <c r="P1132" t="s">
        <v>31</v>
      </c>
      <c r="Q1132" t="s">
        <v>23</v>
      </c>
      <c r="R1132" t="b">
        <f>OR(Таблица1[[#This Row],[Ежемесячный платеж]]&lt;$AC$5, Таблица1[[#This Row],[Ежемесячный платеж]]&gt;$AC$6)</f>
        <v>0</v>
      </c>
      <c r="T1132" s="9">
        <f>(Таблица1[[#This Row],[Кредитный рейтинг]]-586)/(751-586)</f>
        <v>0.55757575757575761</v>
      </c>
      <c r="U1132" s="9">
        <f>Таблица1[[#This Row],[Ежемесячный платеж]]/(Таблица1[[#This Row],[Годовой доход]]/12)</f>
        <v>0.1640011116574385</v>
      </c>
    </row>
    <row r="1133" spans="1:21" x14ac:dyDescent="0.3">
      <c r="A1133">
        <v>1132</v>
      </c>
      <c r="B1133">
        <v>0</v>
      </c>
      <c r="C1133" s="9">
        <v>471152</v>
      </c>
      <c r="D1133">
        <f>$Y$13</f>
        <v>723</v>
      </c>
      <c r="E1133">
        <f>$AB$13</f>
        <v>1168044</v>
      </c>
      <c r="F1133">
        <v>0</v>
      </c>
      <c r="G1133">
        <v>18969.22</v>
      </c>
      <c r="H1133">
        <v>18</v>
      </c>
      <c r="I1133">
        <v>8</v>
      </c>
      <c r="J1133">
        <v>712462</v>
      </c>
      <c r="K1133">
        <v>1076966</v>
      </c>
      <c r="L1133" t="s">
        <v>32</v>
      </c>
      <c r="M1133" t="s">
        <v>1172</v>
      </c>
      <c r="N1133" t="s">
        <v>26</v>
      </c>
      <c r="O1133" t="s">
        <v>21</v>
      </c>
      <c r="P1133" t="s">
        <v>22</v>
      </c>
      <c r="Q1133" t="s">
        <v>23</v>
      </c>
      <c r="R1133" t="b">
        <f>OR(Таблица1[[#This Row],[Ежемесячный платеж]]&lt;$AC$5, Таблица1[[#This Row],[Ежемесячный платеж]]&gt;$AC$6)</f>
        <v>0</v>
      </c>
      <c r="S1133" s="9">
        <f>(Таблица1[[#This Row],[Размер кредита]]-21824)/(789096-21824)</f>
        <v>0.58561761669916279</v>
      </c>
      <c r="T1133" s="9">
        <f>(Таблица1[[#This Row],[Кредитный рейтинг]]-586)/(751-586)</f>
        <v>0.83030303030303032</v>
      </c>
      <c r="U1133" s="9">
        <f>Таблица1[[#This Row],[Ежемесячный платеж]]/(Таблица1[[#This Row],[Годовой доход]]/12)</f>
        <v>0.19488190513371073</v>
      </c>
    </row>
    <row r="1134" spans="1:21" x14ac:dyDescent="0.3">
      <c r="A1134">
        <v>1133</v>
      </c>
      <c r="B1134">
        <v>0</v>
      </c>
      <c r="C1134" s="9">
        <v>336798</v>
      </c>
      <c r="D1134">
        <v>691</v>
      </c>
      <c r="E1134" s="1">
        <v>1260441</v>
      </c>
      <c r="F1134">
        <v>38</v>
      </c>
      <c r="G1134">
        <v>13129.57</v>
      </c>
      <c r="H1134">
        <v>39.4</v>
      </c>
      <c r="I1134">
        <v>18</v>
      </c>
      <c r="J1134">
        <v>124089</v>
      </c>
      <c r="K1134">
        <v>733062</v>
      </c>
      <c r="L1134" t="s">
        <v>24</v>
      </c>
      <c r="M1134" t="s">
        <v>1173</v>
      </c>
      <c r="N1134" t="s">
        <v>26</v>
      </c>
      <c r="O1134" t="s">
        <v>21</v>
      </c>
      <c r="P1134" t="s">
        <v>22</v>
      </c>
      <c r="Q1134" t="s">
        <v>23</v>
      </c>
      <c r="R1134" t="b">
        <f>OR(Таблица1[[#This Row],[Ежемесячный платеж]]&lt;$AC$5, Таблица1[[#This Row],[Ежемесячный платеж]]&gt;$AC$6)</f>
        <v>0</v>
      </c>
      <c r="S1134" s="9">
        <f>(Таблица1[[#This Row],[Размер кредита]]-21824)/(789096-21824)</f>
        <v>0.41051152655120998</v>
      </c>
      <c r="T1134" s="9">
        <f>(Таблица1[[#This Row],[Кредитный рейтинг]]-586)/(751-586)</f>
        <v>0.63636363636363635</v>
      </c>
      <c r="U1134" s="9">
        <f>Таблица1[[#This Row],[Ежемесячный платеж]]/(Таблица1[[#This Row],[Годовой доход]]/12)</f>
        <v>0.12499977388866278</v>
      </c>
    </row>
    <row r="1135" spans="1:21" x14ac:dyDescent="0.3">
      <c r="A1135">
        <v>1134</v>
      </c>
      <c r="B1135">
        <v>0</v>
      </c>
      <c r="C1135" s="9">
        <v>335192</v>
      </c>
      <c r="D1135">
        <v>702</v>
      </c>
      <c r="E1135" s="1">
        <v>2508779</v>
      </c>
      <c r="F1135">
        <v>63</v>
      </c>
      <c r="G1135">
        <v>14446.27</v>
      </c>
      <c r="H1135">
        <v>16.8</v>
      </c>
      <c r="I1135">
        <v>8</v>
      </c>
      <c r="J1135">
        <v>317642</v>
      </c>
      <c r="K1135">
        <v>511544</v>
      </c>
      <c r="L1135" t="s">
        <v>63</v>
      </c>
      <c r="M1135" t="s">
        <v>1174</v>
      </c>
      <c r="N1135" t="s">
        <v>26</v>
      </c>
      <c r="O1135" t="s">
        <v>34</v>
      </c>
      <c r="P1135" t="s">
        <v>22</v>
      </c>
      <c r="Q1135" t="s">
        <v>23</v>
      </c>
      <c r="R1135" t="b">
        <f>OR(Таблица1[[#This Row],[Ежемесячный платеж]]&lt;$AC$5, Таблица1[[#This Row],[Ежемесячный платеж]]&gt;$AC$6)</f>
        <v>0</v>
      </c>
      <c r="S1135" s="9">
        <f>(Таблица1[[#This Row],[Размер кредита]]-21824)/(789096-21824)</f>
        <v>0.40841839660511525</v>
      </c>
      <c r="T1135" s="9">
        <f>(Таблица1[[#This Row],[Кредитный рейтинг]]-586)/(751-586)</f>
        <v>0.70303030303030301</v>
      </c>
      <c r="U1135" s="9">
        <f>Таблица1[[#This Row],[Ежемесячный платеж]]/(Таблица1[[#This Row],[Годовой доход]]/12)</f>
        <v>6.9099446384077681E-2</v>
      </c>
    </row>
    <row r="1136" spans="1:21" x14ac:dyDescent="0.3">
      <c r="A1136">
        <v>1135</v>
      </c>
      <c r="B1136">
        <v>0</v>
      </c>
      <c r="C1136" s="9">
        <v>172348</v>
      </c>
      <c r="D1136">
        <v>719</v>
      </c>
      <c r="E1136" s="1">
        <v>753692</v>
      </c>
      <c r="F1136">
        <v>34</v>
      </c>
      <c r="G1136">
        <v>8102.17</v>
      </c>
      <c r="H1136">
        <v>14.1</v>
      </c>
      <c r="I1136">
        <v>5</v>
      </c>
      <c r="J1136">
        <v>74100</v>
      </c>
      <c r="K1136">
        <v>135344</v>
      </c>
      <c r="L1136" t="s">
        <v>29</v>
      </c>
      <c r="M1136" t="s">
        <v>1175</v>
      </c>
      <c r="N1136" t="s">
        <v>26</v>
      </c>
      <c r="O1136" t="s">
        <v>34</v>
      </c>
      <c r="P1136" t="s">
        <v>22</v>
      </c>
      <c r="Q1136" t="s">
        <v>23</v>
      </c>
      <c r="R1136" t="b">
        <f>OR(Таблица1[[#This Row],[Ежемесячный платеж]]&lt;$AC$5, Таблица1[[#This Row],[Ежемесячный платеж]]&gt;$AC$6)</f>
        <v>0</v>
      </c>
      <c r="S1136" s="9">
        <f>(Таблица1[[#This Row],[Размер кредита]]-21824)/(789096-21824)</f>
        <v>0.19618075467370111</v>
      </c>
      <c r="T1136" s="9">
        <f>(Таблица1[[#This Row],[Кредитный рейтинг]]-586)/(751-586)</f>
        <v>0.80606060606060603</v>
      </c>
      <c r="U1136" s="9">
        <f>Таблица1[[#This Row],[Ежемесячный платеж]]/(Таблица1[[#This Row],[Годовой доход]]/12)</f>
        <v>0.12899969748916004</v>
      </c>
    </row>
    <row r="1137" spans="1:21" x14ac:dyDescent="0.3">
      <c r="A1137">
        <v>1136</v>
      </c>
      <c r="B1137">
        <v>0</v>
      </c>
      <c r="C1137" s="9">
        <v>67342</v>
      </c>
      <c r="D1137">
        <f>$Y$13</f>
        <v>723</v>
      </c>
      <c r="E1137">
        <f>$AB$13</f>
        <v>1168044</v>
      </c>
      <c r="F1137">
        <v>20</v>
      </c>
      <c r="G1137">
        <v>9884.3700000000008</v>
      </c>
      <c r="H1137">
        <v>19.7</v>
      </c>
      <c r="I1137">
        <v>4</v>
      </c>
      <c r="J1137">
        <v>11552</v>
      </c>
      <c r="K1137">
        <v>0</v>
      </c>
      <c r="L1137" t="s">
        <v>69</v>
      </c>
      <c r="M1137" t="s">
        <v>1176</v>
      </c>
      <c r="N1137" t="s">
        <v>26</v>
      </c>
      <c r="O1137" t="s">
        <v>34</v>
      </c>
      <c r="P1137" t="s">
        <v>22</v>
      </c>
      <c r="Q1137" t="s">
        <v>23</v>
      </c>
      <c r="R1137" t="b">
        <f>OR(Таблица1[[#This Row],[Ежемесячный платеж]]&lt;$AC$5, Таблица1[[#This Row],[Ежемесячный платеж]]&gt;$AC$6)</f>
        <v>0</v>
      </c>
      <c r="S1137" s="9">
        <f>(Таблица1[[#This Row],[Размер кредита]]-21824)/(789096-21824)</f>
        <v>5.9324463814657641E-2</v>
      </c>
      <c r="T1137" s="9">
        <f>(Таблица1[[#This Row],[Кредитный рейтинг]]-586)/(751-586)</f>
        <v>0.83030303030303032</v>
      </c>
      <c r="U1137" s="9">
        <f>Таблица1[[#This Row],[Ежемесячный платеж]]/(Таблица1[[#This Row],[Годовой доход]]/12)</f>
        <v>0.10154792113995706</v>
      </c>
    </row>
    <row r="1138" spans="1:21" x14ac:dyDescent="0.3">
      <c r="A1138">
        <v>1137</v>
      </c>
      <c r="B1138">
        <v>0</v>
      </c>
      <c r="C1138" s="9">
        <v>110902</v>
      </c>
      <c r="D1138">
        <f>$Y$13</f>
        <v>723</v>
      </c>
      <c r="E1138">
        <f>$AB$13</f>
        <v>1168044</v>
      </c>
      <c r="F1138">
        <v>0</v>
      </c>
      <c r="G1138">
        <v>15150.79</v>
      </c>
      <c r="H1138">
        <v>16.5</v>
      </c>
      <c r="I1138">
        <v>8</v>
      </c>
      <c r="J1138">
        <v>139878</v>
      </c>
      <c r="K1138">
        <v>495286</v>
      </c>
      <c r="L1138" t="s">
        <v>24</v>
      </c>
      <c r="M1138" t="s">
        <v>1177</v>
      </c>
      <c r="N1138" t="s">
        <v>2041</v>
      </c>
      <c r="O1138" t="s">
        <v>34</v>
      </c>
      <c r="P1138" t="s">
        <v>22</v>
      </c>
      <c r="Q1138" t="s">
        <v>36</v>
      </c>
      <c r="R1138" t="b">
        <f>OR(Таблица1[[#This Row],[Ежемесячный платеж]]&lt;$AC$5, Таблица1[[#This Row],[Ежемесячный платеж]]&gt;$AC$6)</f>
        <v>0</v>
      </c>
      <c r="S1138" s="9">
        <f>(Таблица1[[#This Row],[Размер кредита]]-21824)/(789096-21824)</f>
        <v>0.11609702947585732</v>
      </c>
      <c r="T1138" s="9">
        <f>(Таблица1[[#This Row],[Кредитный рейтинг]]-586)/(751-586)</f>
        <v>0.83030303030303032</v>
      </c>
      <c r="U1138" s="9">
        <f>Таблица1[[#This Row],[Ежемесячный платеж]]/(Таблица1[[#This Row],[Годовой доход]]/12)</f>
        <v>0.15565293773179778</v>
      </c>
    </row>
    <row r="1139" spans="1:21" x14ac:dyDescent="0.3">
      <c r="A1139">
        <v>1138</v>
      </c>
      <c r="B1139">
        <v>0</v>
      </c>
      <c r="C1139" s="9">
        <v>348172</v>
      </c>
      <c r="D1139">
        <f>$Y$13</f>
        <v>723</v>
      </c>
      <c r="E1139">
        <f>$AB$13</f>
        <v>1168044</v>
      </c>
      <c r="F1139">
        <v>8</v>
      </c>
      <c r="G1139">
        <v>4044.15</v>
      </c>
      <c r="H1139">
        <v>22.7</v>
      </c>
      <c r="I1139">
        <v>5</v>
      </c>
      <c r="J1139">
        <v>160607</v>
      </c>
      <c r="K1139">
        <v>715242</v>
      </c>
      <c r="L1139" t="s">
        <v>24</v>
      </c>
      <c r="M1139" t="s">
        <v>1178</v>
      </c>
      <c r="N1139" t="s">
        <v>26</v>
      </c>
      <c r="O1139" t="s">
        <v>21</v>
      </c>
      <c r="P1139" t="s">
        <v>31</v>
      </c>
      <c r="Q1139" t="s">
        <v>36</v>
      </c>
      <c r="R1139" t="b">
        <f>OR(Таблица1[[#This Row],[Ежемесячный платеж]]&lt;$AC$5, Таблица1[[#This Row],[Ежемесячный платеж]]&gt;$AC$6)</f>
        <v>0</v>
      </c>
      <c r="S1139" s="9">
        <f>(Таблица1[[#This Row],[Размер кредита]]-21824)/(789096-21824)</f>
        <v>0.42533547425163437</v>
      </c>
      <c r="T1139" s="9">
        <f>(Таблица1[[#This Row],[Кредитный рейтинг]]-586)/(751-586)</f>
        <v>0.83030303030303032</v>
      </c>
      <c r="U1139" s="9">
        <f>Таблица1[[#This Row],[Ежемесячный платеж]]/(Таблица1[[#This Row],[Годовой доход]]/12)</f>
        <v>4.1547921139957054E-2</v>
      </c>
    </row>
    <row r="1140" spans="1:21" x14ac:dyDescent="0.3">
      <c r="A1140">
        <v>1139</v>
      </c>
      <c r="B1140">
        <v>1</v>
      </c>
      <c r="C1140" s="9">
        <v>306592</v>
      </c>
      <c r="D1140">
        <v>688</v>
      </c>
      <c r="E1140" s="1">
        <v>1032878</v>
      </c>
      <c r="F1140">
        <v>78</v>
      </c>
      <c r="G1140">
        <v>19022.23</v>
      </c>
      <c r="H1140">
        <v>15.6</v>
      </c>
      <c r="I1140">
        <v>12</v>
      </c>
      <c r="J1140">
        <v>179265</v>
      </c>
      <c r="K1140">
        <v>411048</v>
      </c>
      <c r="L1140" t="s">
        <v>63</v>
      </c>
      <c r="M1140" t="s">
        <v>1179</v>
      </c>
      <c r="N1140" t="s">
        <v>26</v>
      </c>
      <c r="O1140" t="s">
        <v>21</v>
      </c>
      <c r="P1140" t="s">
        <v>31</v>
      </c>
      <c r="Q1140" t="s">
        <v>23</v>
      </c>
      <c r="R1140" t="b">
        <f>OR(Таблица1[[#This Row],[Ежемесячный платеж]]&lt;$AC$5, Таблица1[[#This Row],[Ежемесячный платеж]]&gt;$AC$6)</f>
        <v>0</v>
      </c>
      <c r="S1140" s="9">
        <f>(Таблица1[[#This Row],[Размер кредита]]-21824)/(789096-21824)</f>
        <v>0.37114347975685286</v>
      </c>
      <c r="T1140" s="9">
        <f>(Таблица1[[#This Row],[Кредитный рейтинг]]-586)/(751-586)</f>
        <v>0.61818181818181817</v>
      </c>
      <c r="U1140" s="9">
        <f>Таблица1[[#This Row],[Ежемесячный платеж]]/(Таблица1[[#This Row],[Годовой доход]]/12)</f>
        <v>0.22100069901769617</v>
      </c>
    </row>
    <row r="1141" spans="1:21" x14ac:dyDescent="0.3">
      <c r="A1141">
        <v>1140</v>
      </c>
      <c r="B1141">
        <v>0</v>
      </c>
      <c r="C1141" s="9">
        <v>440000</v>
      </c>
      <c r="D1141">
        <v>680</v>
      </c>
      <c r="E1141" s="1">
        <v>1425000</v>
      </c>
      <c r="F1141">
        <v>0</v>
      </c>
      <c r="G1141">
        <v>6234.47</v>
      </c>
      <c r="H1141">
        <v>8.8000000000000007</v>
      </c>
      <c r="I1141">
        <v>7</v>
      </c>
      <c r="J1141">
        <v>361703</v>
      </c>
      <c r="K1141">
        <v>594066</v>
      </c>
      <c r="L1141" t="s">
        <v>37</v>
      </c>
      <c r="M1141" t="s">
        <v>1180</v>
      </c>
      <c r="N1141" t="s">
        <v>26</v>
      </c>
      <c r="O1141" t="s">
        <v>34</v>
      </c>
      <c r="P1141" t="s">
        <v>22</v>
      </c>
      <c r="Q1141" t="s">
        <v>23</v>
      </c>
      <c r="R1141" t="b">
        <f>OR(Таблица1[[#This Row],[Ежемесячный платеж]]&lt;$AC$5, Таблица1[[#This Row],[Ежемесячный платеж]]&gt;$AC$6)</f>
        <v>0</v>
      </c>
      <c r="S1141" s="9">
        <f>(Таблица1[[#This Row],[Размер кредита]]-21824)/(789096-21824)</f>
        <v>0.54501663034751691</v>
      </c>
      <c r="T1141" s="9">
        <f>(Таблица1[[#This Row],[Кредитный рейтинг]]-586)/(751-586)</f>
        <v>0.5696969696969697</v>
      </c>
      <c r="U1141" s="9">
        <f>Таблица1[[#This Row],[Ежемесячный платеж]]/(Таблица1[[#This Row],[Годовой доход]]/12)</f>
        <v>5.25008E-2</v>
      </c>
    </row>
    <row r="1142" spans="1:21" x14ac:dyDescent="0.3">
      <c r="A1142">
        <v>1141</v>
      </c>
      <c r="B1142">
        <v>0</v>
      </c>
      <c r="C1142" s="9">
        <v>133034</v>
      </c>
      <c r="D1142">
        <f>$Y$13</f>
        <v>723</v>
      </c>
      <c r="E1142">
        <f>$AB$13</f>
        <v>1168044</v>
      </c>
      <c r="F1142">
        <v>0</v>
      </c>
      <c r="G1142">
        <v>14541.08</v>
      </c>
      <c r="H1142">
        <v>12.4</v>
      </c>
      <c r="I1142">
        <v>9</v>
      </c>
      <c r="J1142">
        <v>576840</v>
      </c>
      <c r="K1142">
        <v>905036</v>
      </c>
      <c r="L1142" t="s">
        <v>37</v>
      </c>
      <c r="M1142" t="s">
        <v>1181</v>
      </c>
      <c r="N1142" t="s">
        <v>76</v>
      </c>
      <c r="O1142" t="s">
        <v>34</v>
      </c>
      <c r="P1142" t="s">
        <v>22</v>
      </c>
      <c r="Q1142" t="s">
        <v>23</v>
      </c>
      <c r="R1142" t="b">
        <f>OR(Таблица1[[#This Row],[Ежемесячный платеж]]&lt;$AC$5, Таблица1[[#This Row],[Ежемесячный платеж]]&gt;$AC$6)</f>
        <v>0</v>
      </c>
      <c r="S1142" s="9">
        <f>(Таблица1[[#This Row],[Размер кредита]]-21824)/(789096-21824)</f>
        <v>0.1449420805138204</v>
      </c>
      <c r="T1142" s="9">
        <f>(Таблица1[[#This Row],[Кредитный рейтинг]]-586)/(751-586)</f>
        <v>0.83030303030303032</v>
      </c>
      <c r="U1142" s="9">
        <f>Таблица1[[#This Row],[Ежемесячный платеж]]/(Таблица1[[#This Row],[Годовой доход]]/12)</f>
        <v>0.1493890298653133</v>
      </c>
    </row>
    <row r="1143" spans="1:21" x14ac:dyDescent="0.3">
      <c r="A1143">
        <v>1142</v>
      </c>
      <c r="B1143">
        <v>0</v>
      </c>
      <c r="C1143" s="9">
        <v>212454</v>
      </c>
      <c r="D1143">
        <v>708</v>
      </c>
      <c r="E1143" s="1">
        <v>1146042</v>
      </c>
      <c r="F1143">
        <v>0</v>
      </c>
      <c r="G1143">
        <v>18403.400000000001</v>
      </c>
      <c r="H1143">
        <v>15.6</v>
      </c>
      <c r="I1143">
        <v>9</v>
      </c>
      <c r="J1143">
        <v>345876</v>
      </c>
      <c r="K1143">
        <v>422906</v>
      </c>
      <c r="L1143" t="s">
        <v>52</v>
      </c>
      <c r="M1143" t="s">
        <v>1182</v>
      </c>
      <c r="N1143" t="s">
        <v>26</v>
      </c>
      <c r="O1143" t="s">
        <v>34</v>
      </c>
      <c r="P1143" t="s">
        <v>31</v>
      </c>
      <c r="Q1143" t="s">
        <v>23</v>
      </c>
      <c r="R1143" t="b">
        <f>OR(Таблица1[[#This Row],[Ежемесячный платеж]]&lt;$AC$5, Таблица1[[#This Row],[Ежемесячный платеж]]&gt;$AC$6)</f>
        <v>0</v>
      </c>
      <c r="S1143" s="9">
        <f>(Таблица1[[#This Row],[Размер кредита]]-21824)/(789096-21824)</f>
        <v>0.24845165730014909</v>
      </c>
      <c r="T1143" s="9">
        <f>(Таблица1[[#This Row],[Кредитный рейтинг]]-586)/(751-586)</f>
        <v>0.73939393939393938</v>
      </c>
      <c r="U1143" s="9">
        <f>Таблица1[[#This Row],[Ежемесячный платеж]]/(Таблица1[[#This Row],[Годовой доход]]/12)</f>
        <v>0.19269869690639613</v>
      </c>
    </row>
    <row r="1144" spans="1:21" x14ac:dyDescent="0.3">
      <c r="A1144">
        <v>1143</v>
      </c>
      <c r="B1144">
        <v>0</v>
      </c>
      <c r="C1144" s="9">
        <v>264418</v>
      </c>
      <c r="D1144">
        <f>$Y$13</f>
        <v>723</v>
      </c>
      <c r="E1144">
        <f>$AB$13</f>
        <v>1168044</v>
      </c>
      <c r="F1144">
        <v>0</v>
      </c>
      <c r="G1144">
        <v>21499.45</v>
      </c>
      <c r="H1144">
        <v>15</v>
      </c>
      <c r="I1144">
        <v>13</v>
      </c>
      <c r="J1144">
        <v>256462</v>
      </c>
      <c r="K1144">
        <v>363440</v>
      </c>
      <c r="L1144" t="s">
        <v>24</v>
      </c>
      <c r="M1144" t="s">
        <v>1183</v>
      </c>
      <c r="N1144" t="s">
        <v>26</v>
      </c>
      <c r="O1144" t="s">
        <v>28</v>
      </c>
      <c r="P1144" t="s">
        <v>31</v>
      </c>
      <c r="Q1144" t="s">
        <v>23</v>
      </c>
      <c r="R1144" t="b">
        <f>OR(Таблица1[[#This Row],[Ежемесячный платеж]]&lt;$AC$5, Таблица1[[#This Row],[Ежемесячный платеж]]&gt;$AC$6)</f>
        <v>0</v>
      </c>
      <c r="S1144" s="9">
        <f>(Таблица1[[#This Row],[Размер кредита]]-21824)/(789096-21824)</f>
        <v>0.31617731391214587</v>
      </c>
      <c r="T1144" s="9">
        <f>(Таблица1[[#This Row],[Кредитный рейтинг]]-586)/(751-586)</f>
        <v>0.83030303030303032</v>
      </c>
      <c r="U1144" s="9">
        <f>Таблица1[[#This Row],[Ежемесячный платеж]]/(Таблица1[[#This Row],[Годовой доход]]/12)</f>
        <v>0.22087643958617997</v>
      </c>
    </row>
    <row r="1145" spans="1:21" x14ac:dyDescent="0.3">
      <c r="A1145">
        <v>1144</v>
      </c>
      <c r="B1145">
        <v>0</v>
      </c>
      <c r="C1145" s="9">
        <v>262922</v>
      </c>
      <c r="D1145">
        <v>714</v>
      </c>
      <c r="E1145" s="1">
        <v>2895087</v>
      </c>
      <c r="F1145">
        <v>19</v>
      </c>
      <c r="G1145">
        <v>44632.52</v>
      </c>
      <c r="H1145">
        <v>23.9</v>
      </c>
      <c r="I1145">
        <v>27</v>
      </c>
      <c r="J1145">
        <v>521835</v>
      </c>
      <c r="K1145">
        <v>1405184</v>
      </c>
      <c r="L1145" t="s">
        <v>50</v>
      </c>
      <c r="M1145" t="s">
        <v>1184</v>
      </c>
      <c r="N1145" t="s">
        <v>26</v>
      </c>
      <c r="O1145" t="s">
        <v>21</v>
      </c>
      <c r="P1145" t="s">
        <v>31</v>
      </c>
      <c r="Q1145" t="s">
        <v>23</v>
      </c>
      <c r="R1145" t="b">
        <f>OR(Таблица1[[#This Row],[Ежемесячный платеж]]&lt;$AC$5, Таблица1[[#This Row],[Ежемесячный платеж]]&gt;$AC$6)</f>
        <v>1</v>
      </c>
      <c r="S1145" s="9">
        <f>(Таблица1[[#This Row],[Размер кредита]]-21824)/(789096-21824)</f>
        <v>0.31422754903085215</v>
      </c>
      <c r="T1145" s="9">
        <f>(Таблица1[[#This Row],[Кредитный рейтинг]]-586)/(751-586)</f>
        <v>0.77575757575757576</v>
      </c>
      <c r="U1145" s="9">
        <f>Таблица1[[#This Row],[Ежемесячный платеж]]/(Таблица1[[#This Row],[Годовой доход]]/12)</f>
        <v>0.18499970467208757</v>
      </c>
    </row>
    <row r="1146" spans="1:21" x14ac:dyDescent="0.3">
      <c r="A1146">
        <v>1145</v>
      </c>
      <c r="B1146">
        <v>0</v>
      </c>
      <c r="D1146">
        <v>740</v>
      </c>
      <c r="E1146" s="1">
        <v>575852</v>
      </c>
      <c r="F1146">
        <v>0</v>
      </c>
      <c r="G1146">
        <v>3987.91</v>
      </c>
      <c r="H1146">
        <v>15.9</v>
      </c>
      <c r="I1146">
        <v>10</v>
      </c>
      <c r="J1146">
        <v>60800</v>
      </c>
      <c r="K1146">
        <v>372460</v>
      </c>
      <c r="L1146" t="s">
        <v>41</v>
      </c>
      <c r="M1146" t="s">
        <v>1185</v>
      </c>
      <c r="N1146" t="s">
        <v>26</v>
      </c>
      <c r="O1146" t="s">
        <v>34</v>
      </c>
      <c r="P1146" t="s">
        <v>22</v>
      </c>
      <c r="Q1146" t="s">
        <v>23</v>
      </c>
      <c r="R1146" t="b">
        <f>OR(Таблица1[[#This Row],[Ежемесячный платеж]]&lt;$AC$5, Таблица1[[#This Row],[Ежемесячный платеж]]&gt;$AC$6)</f>
        <v>0</v>
      </c>
      <c r="T1146" s="9">
        <f>(Таблица1[[#This Row],[Кредитный рейтинг]]-586)/(751-586)</f>
        <v>0.93333333333333335</v>
      </c>
      <c r="U1146" s="9">
        <f>Таблица1[[#This Row],[Ежемесячный платеж]]/(Таблица1[[#This Row],[Годовой доход]]/12)</f>
        <v>8.3102811138973207E-2</v>
      </c>
    </row>
    <row r="1147" spans="1:21" x14ac:dyDescent="0.3">
      <c r="A1147">
        <v>1146</v>
      </c>
      <c r="B1147">
        <v>0</v>
      </c>
      <c r="C1147" s="9">
        <v>556160</v>
      </c>
      <c r="D1147">
        <v>708</v>
      </c>
      <c r="E1147" s="1">
        <v>3266176</v>
      </c>
      <c r="F1147">
        <v>0</v>
      </c>
      <c r="G1147">
        <v>51034</v>
      </c>
      <c r="H1147">
        <v>29.5</v>
      </c>
      <c r="I1147">
        <v>8</v>
      </c>
      <c r="J1147">
        <v>1122254</v>
      </c>
      <c r="K1147">
        <v>1353594</v>
      </c>
      <c r="L1147" t="s">
        <v>37</v>
      </c>
      <c r="M1147" t="s">
        <v>1186</v>
      </c>
      <c r="N1147" t="s">
        <v>26</v>
      </c>
      <c r="O1147" t="s">
        <v>21</v>
      </c>
      <c r="P1147" t="s">
        <v>31</v>
      </c>
      <c r="Q1147" t="s">
        <v>23</v>
      </c>
      <c r="R1147" t="b">
        <f>OR(Таблица1[[#This Row],[Ежемесячный платеж]]&lt;$AC$5, Таблица1[[#This Row],[Ежемесячный платеж]]&gt;$AC$6)</f>
        <v>1</v>
      </c>
      <c r="S1147" s="9">
        <f>(Таблица1[[#This Row],[Размер кредита]]-21824)/(789096-21824)</f>
        <v>0.69641013877738278</v>
      </c>
      <c r="T1147" s="9">
        <f>(Таблица1[[#This Row],[Кредитный рейтинг]]-586)/(751-586)</f>
        <v>0.73939393939393938</v>
      </c>
      <c r="U1147" s="9">
        <f>Таблица1[[#This Row],[Ежемесячный платеж]]/(Таблица1[[#This Row],[Годовой доход]]/12)</f>
        <v>0.1875</v>
      </c>
    </row>
    <row r="1148" spans="1:21" x14ac:dyDescent="0.3">
      <c r="A1148">
        <v>1147</v>
      </c>
      <c r="B1148">
        <v>1</v>
      </c>
      <c r="C1148" s="9">
        <v>360162</v>
      </c>
      <c r="D1148">
        <v>738</v>
      </c>
      <c r="E1148" s="1">
        <v>738986</v>
      </c>
      <c r="F1148">
        <v>0</v>
      </c>
      <c r="G1148">
        <v>18228.41</v>
      </c>
      <c r="H1148">
        <v>26.2</v>
      </c>
      <c r="I1148">
        <v>11</v>
      </c>
      <c r="J1148">
        <v>204820</v>
      </c>
      <c r="K1148">
        <v>307604</v>
      </c>
      <c r="L1148" t="s">
        <v>24</v>
      </c>
      <c r="M1148" t="s">
        <v>1187</v>
      </c>
      <c r="N1148" t="s">
        <v>26</v>
      </c>
      <c r="O1148" t="s">
        <v>34</v>
      </c>
      <c r="P1148" t="s">
        <v>22</v>
      </c>
      <c r="Q1148" t="s">
        <v>36</v>
      </c>
      <c r="R1148" t="b">
        <f>OR(Таблица1[[#This Row],[Ежемесячный платеж]]&lt;$AC$5, Таблица1[[#This Row],[Ежемесячный платеж]]&gt;$AC$6)</f>
        <v>0</v>
      </c>
      <c r="S1148" s="9">
        <f>(Таблица1[[#This Row],[Размер кредита]]-21824)/(789096-21824)</f>
        <v>0.4409622663149444</v>
      </c>
      <c r="T1148" s="9">
        <f>(Таблица1[[#This Row],[Кредитный рейтинг]]-586)/(751-586)</f>
        <v>0.92121212121212126</v>
      </c>
      <c r="U1148" s="9">
        <f>Таблица1[[#This Row],[Ежемесячный платеж]]/(Таблица1[[#This Row],[Годовой доход]]/12)</f>
        <v>0.29600143981076776</v>
      </c>
    </row>
    <row r="1149" spans="1:21" x14ac:dyDescent="0.3">
      <c r="A1149">
        <v>1148</v>
      </c>
      <c r="B1149">
        <v>0</v>
      </c>
      <c r="C1149" s="9">
        <v>476498</v>
      </c>
      <c r="D1149">
        <v>737</v>
      </c>
      <c r="E1149" s="1">
        <v>1215867</v>
      </c>
      <c r="F1149">
        <v>0</v>
      </c>
      <c r="G1149">
        <v>16718.099999999999</v>
      </c>
      <c r="H1149">
        <v>21.6</v>
      </c>
      <c r="I1149">
        <v>18</v>
      </c>
      <c r="J1149">
        <v>239875</v>
      </c>
      <c r="K1149">
        <v>1310166</v>
      </c>
      <c r="L1149" t="s">
        <v>24</v>
      </c>
      <c r="M1149" t="s">
        <v>1188</v>
      </c>
      <c r="N1149" t="s">
        <v>26</v>
      </c>
      <c r="O1149" t="s">
        <v>34</v>
      </c>
      <c r="P1149" t="s">
        <v>31</v>
      </c>
      <c r="Q1149" t="s">
        <v>23</v>
      </c>
      <c r="R1149" t="b">
        <f>OR(Таблица1[[#This Row],[Ежемесячный платеж]]&lt;$AC$5, Таблица1[[#This Row],[Ежемесячный платеж]]&gt;$AC$6)</f>
        <v>0</v>
      </c>
      <c r="S1149" s="9">
        <f>(Таблица1[[#This Row],[Размер кредита]]-21824)/(789096-21824)</f>
        <v>0.59258515884849183</v>
      </c>
      <c r="T1149" s="9">
        <f>(Таблица1[[#This Row],[Кредитный рейтинг]]-586)/(751-586)</f>
        <v>0.91515151515151516</v>
      </c>
      <c r="U1149" s="9">
        <f>Таблица1[[#This Row],[Ежемесячный платеж]]/(Таблица1[[#This Row],[Годовой доход]]/12)</f>
        <v>0.16499929679808728</v>
      </c>
    </row>
    <row r="1150" spans="1:21" x14ac:dyDescent="0.3">
      <c r="A1150">
        <v>1149</v>
      </c>
      <c r="B1150">
        <v>0</v>
      </c>
      <c r="C1150" s="9">
        <v>288552</v>
      </c>
      <c r="D1150">
        <v>695</v>
      </c>
      <c r="E1150" s="1">
        <v>1015968</v>
      </c>
      <c r="F1150">
        <v>0</v>
      </c>
      <c r="G1150">
        <v>15493.36</v>
      </c>
      <c r="H1150">
        <v>6.2</v>
      </c>
      <c r="I1150">
        <v>11</v>
      </c>
      <c r="J1150">
        <v>191007</v>
      </c>
      <c r="K1150">
        <v>410322</v>
      </c>
      <c r="L1150" t="s">
        <v>47</v>
      </c>
      <c r="M1150" t="s">
        <v>1189</v>
      </c>
      <c r="N1150" t="s">
        <v>26</v>
      </c>
      <c r="O1150" t="s">
        <v>34</v>
      </c>
      <c r="P1150" t="s">
        <v>31</v>
      </c>
      <c r="Q1150" t="s">
        <v>23</v>
      </c>
      <c r="R1150" t="b">
        <f>OR(Таблица1[[#This Row],[Ежемесячный платеж]]&lt;$AC$5, Таблица1[[#This Row],[Ежемесячный платеж]]&gt;$AC$6)</f>
        <v>0</v>
      </c>
      <c r="S1150" s="9">
        <f>(Таблица1[[#This Row],[Размер кредита]]-21824)/(789096-21824)</f>
        <v>0.34763160912948732</v>
      </c>
      <c r="T1150" s="9">
        <f>(Таблица1[[#This Row],[Кредитный рейтинг]]-586)/(751-586)</f>
        <v>0.66060606060606064</v>
      </c>
      <c r="U1150" s="9">
        <f>Таблица1[[#This Row],[Ежемесячный платеж]]/(Таблица1[[#This Row],[Годовой доход]]/12)</f>
        <v>0.18299820466786357</v>
      </c>
    </row>
    <row r="1151" spans="1:21" x14ac:dyDescent="0.3">
      <c r="A1151">
        <v>1150</v>
      </c>
      <c r="B1151">
        <v>0</v>
      </c>
      <c r="C1151" s="9">
        <v>155782</v>
      </c>
      <c r="D1151">
        <f>$Y$13</f>
        <v>723</v>
      </c>
      <c r="E1151">
        <f>$AB$13</f>
        <v>1168044</v>
      </c>
      <c r="F1151">
        <v>0</v>
      </c>
      <c r="G1151">
        <v>5823.69</v>
      </c>
      <c r="H1151">
        <v>19</v>
      </c>
      <c r="I1151">
        <v>13</v>
      </c>
      <c r="J1151">
        <v>62472</v>
      </c>
      <c r="K1151">
        <v>556490</v>
      </c>
      <c r="L1151" t="s">
        <v>24</v>
      </c>
      <c r="M1151" t="s">
        <v>1190</v>
      </c>
      <c r="N1151" t="s">
        <v>26</v>
      </c>
      <c r="O1151" t="s">
        <v>34</v>
      </c>
      <c r="P1151" t="s">
        <v>22</v>
      </c>
      <c r="Q1151" t="s">
        <v>23</v>
      </c>
      <c r="R1151" t="b">
        <f>OR(Таблица1[[#This Row],[Ежемесячный платеж]]&lt;$AC$5, Таблица1[[#This Row],[Ежемесячный платеж]]&gt;$AC$6)</f>
        <v>0</v>
      </c>
      <c r="S1151" s="9">
        <f>(Таблица1[[#This Row],[Размер кредита]]-21824)/(789096-21824)</f>
        <v>0.17458997591466913</v>
      </c>
      <c r="T1151" s="9">
        <f>(Таблица1[[#This Row],[Кредитный рейтинг]]-586)/(751-586)</f>
        <v>0.83030303030303032</v>
      </c>
      <c r="U1151" s="9">
        <f>Таблица1[[#This Row],[Ежемесячный платеж]]/(Таблица1[[#This Row],[Годовой доход]]/12)</f>
        <v>5.9830177630294745E-2</v>
      </c>
    </row>
    <row r="1152" spans="1:21" x14ac:dyDescent="0.3">
      <c r="A1152">
        <v>1151</v>
      </c>
      <c r="B1152">
        <v>0</v>
      </c>
      <c r="C1152" s="9">
        <v>287408</v>
      </c>
      <c r="D1152">
        <v>747</v>
      </c>
      <c r="E1152" s="1">
        <v>754566</v>
      </c>
      <c r="F1152">
        <v>0</v>
      </c>
      <c r="G1152">
        <v>5652.88</v>
      </c>
      <c r="H1152">
        <v>15.4</v>
      </c>
      <c r="I1152">
        <v>6</v>
      </c>
      <c r="J1152">
        <v>217493</v>
      </c>
      <c r="K1152">
        <v>431222</v>
      </c>
      <c r="L1152" t="s">
        <v>47</v>
      </c>
      <c r="M1152" t="s">
        <v>1191</v>
      </c>
      <c r="N1152" t="s">
        <v>26</v>
      </c>
      <c r="O1152" t="s">
        <v>34</v>
      </c>
      <c r="P1152" t="s">
        <v>22</v>
      </c>
      <c r="Q1152" t="s">
        <v>23</v>
      </c>
      <c r="R1152" t="b">
        <f>OR(Таблица1[[#This Row],[Ежемесячный платеж]]&lt;$AC$5, Таблица1[[#This Row],[Ежемесячный платеж]]&gt;$AC$6)</f>
        <v>0</v>
      </c>
      <c r="S1152" s="9">
        <f>(Таблица1[[#This Row],[Размер кредита]]-21824)/(789096-21824)</f>
        <v>0.34614061245555683</v>
      </c>
      <c r="T1152" s="9">
        <f>(Таблица1[[#This Row],[Кредитный рейтинг]]-586)/(751-586)</f>
        <v>0.97575757575757571</v>
      </c>
      <c r="U1152" s="9">
        <f>Таблица1[[#This Row],[Ежемесячный платеж]]/(Таблица1[[#This Row],[Годовой доход]]/12)</f>
        <v>8.9898776250188855E-2</v>
      </c>
    </row>
    <row r="1153" spans="1:21" x14ac:dyDescent="0.3">
      <c r="A1153">
        <v>1152</v>
      </c>
      <c r="B1153">
        <v>0</v>
      </c>
      <c r="C1153" s="9">
        <v>108240</v>
      </c>
      <c r="D1153">
        <f>$Y$13</f>
        <v>723</v>
      </c>
      <c r="E1153">
        <f>$AB$13</f>
        <v>1168044</v>
      </c>
      <c r="F1153">
        <v>30</v>
      </c>
      <c r="G1153">
        <v>12202.37</v>
      </c>
      <c r="H1153">
        <v>27.2</v>
      </c>
      <c r="I1153">
        <v>10</v>
      </c>
      <c r="J1153">
        <v>68951</v>
      </c>
      <c r="K1153">
        <v>201102</v>
      </c>
      <c r="L1153" t="s">
        <v>24</v>
      </c>
      <c r="M1153" t="s">
        <v>1192</v>
      </c>
      <c r="N1153" t="s">
        <v>68</v>
      </c>
      <c r="O1153" t="s">
        <v>21</v>
      </c>
      <c r="P1153" t="s">
        <v>22</v>
      </c>
      <c r="Q1153" t="s">
        <v>23</v>
      </c>
      <c r="R1153" t="b">
        <f>OR(Таблица1[[#This Row],[Ежемесячный платеж]]&lt;$AC$5, Таблица1[[#This Row],[Ежемесячный платеж]]&gt;$AC$6)</f>
        <v>0</v>
      </c>
      <c r="S1153" s="9">
        <f>(Таблица1[[#This Row],[Размер кредита]]-21824)/(789096-21824)</f>
        <v>0.11262759490767289</v>
      </c>
      <c r="T1153" s="9">
        <f>(Таблица1[[#This Row],[Кредитный рейтинг]]-586)/(751-586)</f>
        <v>0.83030303030303032</v>
      </c>
      <c r="U1153" s="9">
        <f>Таблица1[[#This Row],[Ежемесячный платеж]]/(Таблица1[[#This Row],[Годовой доход]]/12)</f>
        <v>0.12536209252391178</v>
      </c>
    </row>
    <row r="1154" spans="1:21" x14ac:dyDescent="0.3">
      <c r="A1154">
        <v>1153</v>
      </c>
      <c r="B1154">
        <v>0</v>
      </c>
      <c r="C1154" s="9">
        <v>249546</v>
      </c>
      <c r="D1154">
        <v>724</v>
      </c>
      <c r="E1154" s="1">
        <v>2309184</v>
      </c>
      <c r="F1154">
        <v>18</v>
      </c>
      <c r="G1154">
        <v>16279.77</v>
      </c>
      <c r="H1154">
        <v>18.8</v>
      </c>
      <c r="I1154">
        <v>8</v>
      </c>
      <c r="J1154">
        <v>60743</v>
      </c>
      <c r="K1154">
        <v>265430</v>
      </c>
      <c r="L1154" t="s">
        <v>63</v>
      </c>
      <c r="M1154" t="s">
        <v>1193</v>
      </c>
      <c r="N1154" t="s">
        <v>26</v>
      </c>
      <c r="O1154" t="s">
        <v>21</v>
      </c>
      <c r="P1154" t="s">
        <v>31</v>
      </c>
      <c r="Q1154" t="s">
        <v>23</v>
      </c>
      <c r="R1154" t="b">
        <f>OR(Таблица1[[#This Row],[Ежемесячный платеж]]&lt;$AC$5, Таблица1[[#This Row],[Ежемесячный платеж]]&gt;$AC$6)</f>
        <v>0</v>
      </c>
      <c r="S1154" s="9">
        <f>(Таблица1[[#This Row],[Размер кредита]]-21824)/(789096-21824)</f>
        <v>0.29679435715104946</v>
      </c>
      <c r="T1154" s="9">
        <f>(Таблица1[[#This Row],[Кредитный рейтинг]]-586)/(751-586)</f>
        <v>0.83636363636363631</v>
      </c>
      <c r="U1154" s="9">
        <f>Таблица1[[#This Row],[Ежемесячный платеж]]/(Таблица1[[#This Row],[Годовой доход]]/12)</f>
        <v>8.4600118483412326E-2</v>
      </c>
    </row>
    <row r="1155" spans="1:21" x14ac:dyDescent="0.3">
      <c r="A1155">
        <v>1154</v>
      </c>
      <c r="B1155">
        <v>0</v>
      </c>
      <c r="C1155" s="9">
        <v>201146</v>
      </c>
      <c r="D1155">
        <v>702</v>
      </c>
      <c r="E1155" s="1">
        <v>778297</v>
      </c>
      <c r="F1155">
        <v>0</v>
      </c>
      <c r="G1155">
        <v>16279.2</v>
      </c>
      <c r="H1155">
        <v>10</v>
      </c>
      <c r="I1155">
        <v>14</v>
      </c>
      <c r="J1155">
        <v>350512</v>
      </c>
      <c r="K1155">
        <v>737924</v>
      </c>
      <c r="L1155" t="s">
        <v>50</v>
      </c>
      <c r="M1155" t="s">
        <v>1194</v>
      </c>
      <c r="N1155" t="s">
        <v>26</v>
      </c>
      <c r="O1155" t="s">
        <v>34</v>
      </c>
      <c r="P1155" t="s">
        <v>22</v>
      </c>
      <c r="Q1155" t="s">
        <v>23</v>
      </c>
      <c r="R1155" t="b">
        <f>OR(Таблица1[[#This Row],[Ежемесячный платеж]]&lt;$AC$5, Таблица1[[#This Row],[Ежемесячный платеж]]&gt;$AC$6)</f>
        <v>0</v>
      </c>
      <c r="S1155" s="9">
        <f>(Таблица1[[#This Row],[Размер кредита]]-21824)/(789096-21824)</f>
        <v>0.23371372863860534</v>
      </c>
      <c r="T1155" s="9">
        <f>(Таблица1[[#This Row],[Кредитный рейтинг]]-586)/(751-586)</f>
        <v>0.70303030303030301</v>
      </c>
      <c r="U1155" s="9">
        <f>Таблица1[[#This Row],[Ежемесячный платеж]]/(Таблица1[[#This Row],[Годовой доход]]/12)</f>
        <v>0.25099724141298246</v>
      </c>
    </row>
    <row r="1156" spans="1:21" x14ac:dyDescent="0.3">
      <c r="A1156">
        <v>1155</v>
      </c>
      <c r="B1156">
        <v>0</v>
      </c>
      <c r="C1156" s="9">
        <v>220726</v>
      </c>
      <c r="D1156">
        <f>$Y$13</f>
        <v>723</v>
      </c>
      <c r="E1156">
        <f>$AB$13</f>
        <v>1168044</v>
      </c>
      <c r="F1156">
        <v>18</v>
      </c>
      <c r="G1156">
        <v>1120.24</v>
      </c>
      <c r="H1156">
        <v>16</v>
      </c>
      <c r="I1156">
        <v>4</v>
      </c>
      <c r="J1156">
        <v>0</v>
      </c>
      <c r="K1156">
        <v>0</v>
      </c>
      <c r="L1156" t="s">
        <v>47</v>
      </c>
      <c r="M1156" t="s">
        <v>1195</v>
      </c>
      <c r="N1156" t="s">
        <v>71</v>
      </c>
      <c r="O1156" t="s">
        <v>21</v>
      </c>
      <c r="P1156" t="s">
        <v>22</v>
      </c>
      <c r="Q1156" t="s">
        <v>23</v>
      </c>
      <c r="R1156" t="b">
        <f>OR(Таблица1[[#This Row],[Ежемесячный платеж]]&lt;$AC$5, Таблица1[[#This Row],[Ежемесячный платеж]]&gt;$AC$6)</f>
        <v>0</v>
      </c>
      <c r="S1156" s="9">
        <f>(Таблица1[[#This Row],[Размер кредита]]-21824)/(789096-21824)</f>
        <v>0.259232710173185</v>
      </c>
      <c r="T1156" s="9">
        <f>(Таблица1[[#This Row],[Кредитный рейтинг]]-586)/(751-586)</f>
        <v>0.83030303030303032</v>
      </c>
      <c r="U1156" s="9">
        <f>Таблица1[[#This Row],[Ежемесячный платеж]]/(Таблица1[[#This Row],[Годовой доход]]/12)</f>
        <v>1.1508881514737458E-2</v>
      </c>
    </row>
    <row r="1157" spans="1:21" x14ac:dyDescent="0.3">
      <c r="A1157">
        <v>1156</v>
      </c>
      <c r="B1157">
        <v>0</v>
      </c>
      <c r="C1157" s="9">
        <v>758450</v>
      </c>
      <c r="D1157">
        <v>723</v>
      </c>
      <c r="E1157" s="1">
        <v>2245800</v>
      </c>
      <c r="F1157">
        <v>0</v>
      </c>
      <c r="G1157">
        <v>20960.8</v>
      </c>
      <c r="H1157">
        <v>18.2</v>
      </c>
      <c r="I1157">
        <v>7</v>
      </c>
      <c r="J1157">
        <v>641725</v>
      </c>
      <c r="K1157">
        <v>762872</v>
      </c>
      <c r="L1157" t="s">
        <v>24</v>
      </c>
      <c r="M1157" t="s">
        <v>1196</v>
      </c>
      <c r="N1157" t="s">
        <v>26</v>
      </c>
      <c r="O1157" t="s">
        <v>28</v>
      </c>
      <c r="P1157" t="s">
        <v>31</v>
      </c>
      <c r="Q1157" t="s">
        <v>23</v>
      </c>
      <c r="R1157" t="b">
        <f>OR(Таблица1[[#This Row],[Ежемесячный платеж]]&lt;$AC$5, Таблица1[[#This Row],[Ежемесячный платеж]]&gt;$AC$6)</f>
        <v>0</v>
      </c>
      <c r="S1157" s="9">
        <f>(Таблица1[[#This Row],[Размер кредита]]-21824)/(789096-21824)</f>
        <v>0.96005849294643886</v>
      </c>
      <c r="T1157" s="9">
        <f>(Таблица1[[#This Row],[Кредитный рейтинг]]-586)/(751-586)</f>
        <v>0.83030303030303032</v>
      </c>
      <c r="U1157" s="9">
        <f>Таблица1[[#This Row],[Ежемесячный платеж]]/(Таблица1[[#This Row],[Годовой доход]]/12)</f>
        <v>0.112</v>
      </c>
    </row>
    <row r="1158" spans="1:21" x14ac:dyDescent="0.3">
      <c r="A1158">
        <v>1157</v>
      </c>
      <c r="B1158">
        <v>1</v>
      </c>
      <c r="C1158" s="9">
        <v>86262</v>
      </c>
      <c r="D1158">
        <v>738</v>
      </c>
      <c r="E1158" s="1">
        <v>863208</v>
      </c>
      <c r="F1158">
        <v>46</v>
      </c>
      <c r="G1158">
        <v>19997.88</v>
      </c>
      <c r="H1158">
        <v>20.399999999999999</v>
      </c>
      <c r="I1158">
        <v>21</v>
      </c>
      <c r="J1158">
        <v>269021</v>
      </c>
      <c r="K1158">
        <v>1207338</v>
      </c>
      <c r="L1158" t="s">
        <v>29</v>
      </c>
      <c r="M1158" t="s">
        <v>1197</v>
      </c>
      <c r="N1158" t="s">
        <v>26</v>
      </c>
      <c r="O1158" t="s">
        <v>28</v>
      </c>
      <c r="P1158" t="s">
        <v>22</v>
      </c>
      <c r="Q1158" t="s">
        <v>23</v>
      </c>
      <c r="R1158" t="b">
        <f>OR(Таблица1[[#This Row],[Ежемесячный платеж]]&lt;$AC$5, Таблица1[[#This Row],[Ежемесячный платеж]]&gt;$AC$6)</f>
        <v>0</v>
      </c>
      <c r="S1158" s="9">
        <f>(Таблица1[[#This Row],[Размер кредита]]-21824)/(789096-21824)</f>
        <v>8.3983254960431242E-2</v>
      </c>
      <c r="T1158" s="9">
        <f>(Таблица1[[#This Row],[Кредитный рейтинг]]-586)/(751-586)</f>
        <v>0.92121212121212126</v>
      </c>
      <c r="U1158" s="9">
        <f>Таблица1[[#This Row],[Ежемесячный платеж]]/(Таблица1[[#This Row],[Годовой доход]]/12)</f>
        <v>0.2780031695721078</v>
      </c>
    </row>
    <row r="1159" spans="1:21" x14ac:dyDescent="0.3">
      <c r="A1159">
        <v>1158</v>
      </c>
      <c r="B1159">
        <v>0</v>
      </c>
      <c r="C1159" s="9">
        <v>134112</v>
      </c>
      <c r="D1159">
        <f>$Y$13</f>
        <v>723</v>
      </c>
      <c r="E1159">
        <f>$AB$13</f>
        <v>1168044</v>
      </c>
      <c r="F1159">
        <v>12</v>
      </c>
      <c r="G1159">
        <v>17952.72</v>
      </c>
      <c r="H1159">
        <v>8.1999999999999993</v>
      </c>
      <c r="I1159">
        <v>14</v>
      </c>
      <c r="J1159">
        <v>137332</v>
      </c>
      <c r="K1159">
        <v>333366</v>
      </c>
      <c r="L1159" t="s">
        <v>63</v>
      </c>
      <c r="M1159" t="s">
        <v>1198</v>
      </c>
      <c r="N1159" t="s">
        <v>26</v>
      </c>
      <c r="O1159" t="s">
        <v>34</v>
      </c>
      <c r="P1159" t="s">
        <v>22</v>
      </c>
      <c r="Q1159" t="s">
        <v>23</v>
      </c>
      <c r="R1159" t="b">
        <f>OR(Таблица1[[#This Row],[Ежемесячный платеж]]&lt;$AC$5, Таблица1[[#This Row],[Ежемесячный платеж]]&gt;$AC$6)</f>
        <v>0</v>
      </c>
      <c r="S1159" s="9">
        <f>(Таблица1[[#This Row],[Размер кредита]]-21824)/(789096-21824)</f>
        <v>0.14634705814887028</v>
      </c>
      <c r="T1159" s="9">
        <f>(Таблица1[[#This Row],[Кредитный рейтинг]]-586)/(751-586)</f>
        <v>0.83030303030303032</v>
      </c>
      <c r="U1159" s="9">
        <f>Таблица1[[#This Row],[Ежемесячный платеж]]/(Таблица1[[#This Row],[Годовой доход]]/12)</f>
        <v>0.18443880538746829</v>
      </c>
    </row>
    <row r="1160" spans="1:21" x14ac:dyDescent="0.3">
      <c r="A1160">
        <v>1159</v>
      </c>
      <c r="B1160">
        <v>0</v>
      </c>
      <c r="C1160" s="9">
        <v>178860</v>
      </c>
      <c r="D1160">
        <v>704</v>
      </c>
      <c r="E1160" s="1">
        <v>1062043</v>
      </c>
      <c r="F1160">
        <v>0</v>
      </c>
      <c r="G1160">
        <v>13983.43</v>
      </c>
      <c r="H1160">
        <v>7</v>
      </c>
      <c r="I1160">
        <v>6</v>
      </c>
      <c r="J1160">
        <v>145730</v>
      </c>
      <c r="K1160">
        <v>268268</v>
      </c>
      <c r="L1160" t="s">
        <v>47</v>
      </c>
      <c r="M1160" t="s">
        <v>1199</v>
      </c>
      <c r="N1160" t="s">
        <v>26</v>
      </c>
      <c r="O1160" t="s">
        <v>34</v>
      </c>
      <c r="P1160" t="s">
        <v>22</v>
      </c>
      <c r="Q1160" t="s">
        <v>36</v>
      </c>
      <c r="R1160" t="b">
        <f>OR(Таблица1[[#This Row],[Ежемесячный платеж]]&lt;$AC$5, Таблица1[[#This Row],[Ежемесячный платеж]]&gt;$AC$6)</f>
        <v>0</v>
      </c>
      <c r="S1160" s="9">
        <f>(Таблица1[[#This Row],[Размер кредита]]-21824)/(789096-21824)</f>
        <v>0.20466796650992086</v>
      </c>
      <c r="T1160" s="9">
        <f>(Таблица1[[#This Row],[Кредитный рейтинг]]-586)/(751-586)</f>
        <v>0.7151515151515152</v>
      </c>
      <c r="U1160" s="9">
        <f>Таблица1[[#This Row],[Ежемесячный платеж]]/(Таблица1[[#This Row],[Годовой доход]]/12)</f>
        <v>0.15799846145589211</v>
      </c>
    </row>
    <row r="1161" spans="1:21" x14ac:dyDescent="0.3">
      <c r="A1161">
        <v>1160</v>
      </c>
      <c r="B1161">
        <v>0</v>
      </c>
      <c r="C1161" s="9">
        <v>224752</v>
      </c>
      <c r="D1161">
        <f>$Y$13</f>
        <v>723</v>
      </c>
      <c r="E1161">
        <f>$AB$13</f>
        <v>1168044</v>
      </c>
      <c r="F1161">
        <v>0</v>
      </c>
      <c r="G1161">
        <v>1536.72</v>
      </c>
      <c r="H1161">
        <v>13.6</v>
      </c>
      <c r="I1161">
        <v>3</v>
      </c>
      <c r="J1161">
        <v>75107</v>
      </c>
      <c r="K1161">
        <v>526988</v>
      </c>
      <c r="L1161" t="s">
        <v>29</v>
      </c>
      <c r="M1161" t="s">
        <v>1200</v>
      </c>
      <c r="N1161" t="s">
        <v>103</v>
      </c>
      <c r="O1161" t="s">
        <v>34</v>
      </c>
      <c r="P1161" t="s">
        <v>22</v>
      </c>
      <c r="Q1161" t="s">
        <v>23</v>
      </c>
      <c r="R1161" t="b">
        <f>OR(Таблица1[[#This Row],[Ежемесячный платеж]]&lt;$AC$5, Таблица1[[#This Row],[Ежемесячный платеж]]&gt;$AC$6)</f>
        <v>0</v>
      </c>
      <c r="S1161" s="9">
        <f>(Таблица1[[#This Row],[Размер кредита]]-21824)/(789096-21824)</f>
        <v>0.26447987154490193</v>
      </c>
      <c r="T1161" s="9">
        <f>(Таблица1[[#This Row],[Кредитный рейтинг]]-586)/(751-586)</f>
        <v>0.83030303030303032</v>
      </c>
      <c r="U1161" s="9">
        <f>Таблица1[[#This Row],[Ежемесячный платеж]]/(Таблица1[[#This Row],[Годовой доход]]/12)</f>
        <v>1.5787624438805388E-2</v>
      </c>
    </row>
    <row r="1162" spans="1:21" x14ac:dyDescent="0.3">
      <c r="A1162">
        <v>1161</v>
      </c>
      <c r="B1162">
        <v>1</v>
      </c>
      <c r="C1162" s="9">
        <v>215270</v>
      </c>
      <c r="D1162">
        <v>726</v>
      </c>
      <c r="E1162" s="1">
        <v>855209</v>
      </c>
      <c r="F1162">
        <v>10</v>
      </c>
      <c r="G1162">
        <v>6841.71</v>
      </c>
      <c r="H1162">
        <v>25.6</v>
      </c>
      <c r="I1162">
        <v>10</v>
      </c>
      <c r="J1162">
        <v>82536</v>
      </c>
      <c r="K1162">
        <v>264704</v>
      </c>
      <c r="L1162" t="s">
        <v>24</v>
      </c>
      <c r="M1162" t="s">
        <v>1201</v>
      </c>
      <c r="N1162" t="s">
        <v>26</v>
      </c>
      <c r="O1162" t="s">
        <v>34</v>
      </c>
      <c r="P1162" t="s">
        <v>22</v>
      </c>
      <c r="Q1162" t="s">
        <v>36</v>
      </c>
      <c r="R1162" t="b">
        <f>OR(Таблица1[[#This Row],[Ежемесячный платеж]]&lt;$AC$5, Таблица1[[#This Row],[Ежемесячный платеж]]&gt;$AC$6)</f>
        <v>0</v>
      </c>
      <c r="S1162" s="9">
        <f>(Таблица1[[#This Row],[Размер кредита]]-21824)/(789096-21824)</f>
        <v>0.25212180295905495</v>
      </c>
      <c r="T1162" s="9">
        <f>(Таблица1[[#This Row],[Кредитный рейтинг]]-586)/(751-586)</f>
        <v>0.84848484848484851</v>
      </c>
      <c r="U1162" s="9">
        <f>Таблица1[[#This Row],[Ежемесячный платеж]]/(Таблица1[[#This Row],[Годовой доход]]/12)</f>
        <v>9.6000533202994814E-2</v>
      </c>
    </row>
    <row r="1163" spans="1:21" x14ac:dyDescent="0.3">
      <c r="A1163">
        <v>1162</v>
      </c>
      <c r="B1163">
        <v>0</v>
      </c>
      <c r="C1163" s="9">
        <v>625372</v>
      </c>
      <c r="D1163">
        <f>$Y$13</f>
        <v>723</v>
      </c>
      <c r="E1163">
        <f>$AB$13</f>
        <v>1168044</v>
      </c>
      <c r="F1163">
        <v>0</v>
      </c>
      <c r="G1163">
        <v>43587.9</v>
      </c>
      <c r="H1163">
        <v>9.6</v>
      </c>
      <c r="I1163">
        <v>22</v>
      </c>
      <c r="J1163">
        <v>818045</v>
      </c>
      <c r="K1163">
        <v>1473098</v>
      </c>
      <c r="L1163" t="s">
        <v>37</v>
      </c>
      <c r="M1163" s="2" t="s">
        <v>1202</v>
      </c>
      <c r="N1163" t="s">
        <v>26</v>
      </c>
      <c r="O1163" t="s">
        <v>34</v>
      </c>
      <c r="P1163" t="s">
        <v>31</v>
      </c>
      <c r="Q1163" t="s">
        <v>23</v>
      </c>
      <c r="R1163" t="b">
        <f>OR(Таблица1[[#This Row],[Ежемесячный платеж]]&lt;$AC$5, Таблица1[[#This Row],[Ежемесячный платеж]]&gt;$AC$6)</f>
        <v>0</v>
      </c>
      <c r="S1163" s="9">
        <f>(Таблица1[[#This Row],[Размер кредита]]-21824)/(789096-21824)</f>
        <v>0.78661543755017782</v>
      </c>
      <c r="T1163" s="9">
        <f>(Таблица1[[#This Row],[Кредитный рейтинг]]-586)/(751-586)</f>
        <v>0.83030303030303032</v>
      </c>
      <c r="U1163" s="9">
        <f>Таблица1[[#This Row],[Ежемесячный платеж]]/(Таблица1[[#This Row],[Годовой доход]]/12)</f>
        <v>0.44780402108139761</v>
      </c>
    </row>
    <row r="1164" spans="1:21" x14ac:dyDescent="0.3">
      <c r="A1164">
        <v>1163</v>
      </c>
      <c r="B1164">
        <v>0</v>
      </c>
      <c r="C1164" s="9">
        <v>171820</v>
      </c>
      <c r="D1164">
        <v>742</v>
      </c>
      <c r="E1164" s="1">
        <v>797639</v>
      </c>
      <c r="F1164">
        <v>0</v>
      </c>
      <c r="G1164">
        <v>14025.04</v>
      </c>
      <c r="H1164">
        <v>11.9</v>
      </c>
      <c r="I1164">
        <v>12</v>
      </c>
      <c r="J1164">
        <v>173660</v>
      </c>
      <c r="K1164">
        <v>305118</v>
      </c>
      <c r="L1164" t="s">
        <v>52</v>
      </c>
      <c r="M1164" s="2" t="s">
        <v>1203</v>
      </c>
      <c r="N1164" t="s">
        <v>26</v>
      </c>
      <c r="O1164" t="s">
        <v>34</v>
      </c>
      <c r="P1164" t="s">
        <v>22</v>
      </c>
      <c r="Q1164" t="s">
        <v>23</v>
      </c>
      <c r="R1164" t="b">
        <f>OR(Таблица1[[#This Row],[Ежемесячный платеж]]&lt;$AC$5, Таблица1[[#This Row],[Ежемесячный платеж]]&gt;$AC$6)</f>
        <v>0</v>
      </c>
      <c r="S1164" s="9">
        <f>(Таблица1[[#This Row],[Размер кредита]]-21824)/(789096-21824)</f>
        <v>0.19549260236265628</v>
      </c>
      <c r="T1164" s="9">
        <f>(Таблица1[[#This Row],[Кредитный рейтинг]]-586)/(751-586)</f>
        <v>0.94545454545454544</v>
      </c>
      <c r="U1164" s="9">
        <f>Таблица1[[#This Row],[Ежемесячный платеж]]/(Таблица1[[#This Row],[Годовой доход]]/12)</f>
        <v>0.21099830875872419</v>
      </c>
    </row>
    <row r="1165" spans="1:21" x14ac:dyDescent="0.3">
      <c r="A1165">
        <v>1164</v>
      </c>
      <c r="B1165">
        <v>0</v>
      </c>
      <c r="C1165" s="9">
        <v>536602</v>
      </c>
      <c r="D1165">
        <f>$Y$13</f>
        <v>723</v>
      </c>
      <c r="E1165">
        <f>$AB$13</f>
        <v>1168044</v>
      </c>
      <c r="F1165">
        <v>0</v>
      </c>
      <c r="G1165">
        <v>10057.08</v>
      </c>
      <c r="H1165">
        <v>5.4</v>
      </c>
      <c r="I1165">
        <v>8</v>
      </c>
      <c r="J1165">
        <v>50388</v>
      </c>
      <c r="K1165">
        <v>136290</v>
      </c>
      <c r="L1165" t="s">
        <v>37</v>
      </c>
      <c r="M1165" t="s">
        <v>1204</v>
      </c>
      <c r="N1165" t="s">
        <v>68</v>
      </c>
      <c r="O1165" t="s">
        <v>34</v>
      </c>
      <c r="P1165" t="s">
        <v>22</v>
      </c>
      <c r="Q1165" t="s">
        <v>23</v>
      </c>
      <c r="R1165" t="b">
        <f>OR(Таблица1[[#This Row],[Ежемесячный платеж]]&lt;$AC$5, Таблица1[[#This Row],[Ежемесячный платеж]]&gt;$AC$6)</f>
        <v>0</v>
      </c>
      <c r="S1165" s="9">
        <f>(Таблица1[[#This Row],[Размер кредита]]-21824)/(789096-21824)</f>
        <v>0.67091983025576329</v>
      </c>
      <c r="T1165" s="9">
        <f>(Таблица1[[#This Row],[Кредитный рейтинг]]-586)/(751-586)</f>
        <v>0.83030303030303032</v>
      </c>
      <c r="U1165" s="9">
        <f>Таблица1[[#This Row],[Ежемесячный платеж]]/(Таблица1[[#This Row],[Годовой доход]]/12)</f>
        <v>0.10332227210618777</v>
      </c>
    </row>
    <row r="1166" spans="1:21" x14ac:dyDescent="0.3">
      <c r="A1166">
        <v>1165</v>
      </c>
      <c r="B1166">
        <v>0</v>
      </c>
      <c r="C1166" s="9">
        <v>110396</v>
      </c>
      <c r="D1166">
        <f>$Y$13</f>
        <v>723</v>
      </c>
      <c r="E1166">
        <f>$AB$13</f>
        <v>1168044</v>
      </c>
      <c r="F1166">
        <v>26</v>
      </c>
      <c r="G1166">
        <v>19505.02</v>
      </c>
      <c r="H1166">
        <v>17.8</v>
      </c>
      <c r="I1166">
        <v>15</v>
      </c>
      <c r="J1166">
        <v>30305</v>
      </c>
      <c r="K1166">
        <v>178970</v>
      </c>
      <c r="L1166" t="s">
        <v>69</v>
      </c>
      <c r="M1166" t="s">
        <v>1205</v>
      </c>
      <c r="N1166" t="s">
        <v>68</v>
      </c>
      <c r="O1166" t="s">
        <v>34</v>
      </c>
      <c r="P1166" t="s">
        <v>22</v>
      </c>
      <c r="Q1166" t="s">
        <v>36</v>
      </c>
      <c r="R1166" t="b">
        <f>OR(Таблица1[[#This Row],[Ежемесячный платеж]]&lt;$AC$5, Таблица1[[#This Row],[Ежемесячный платеж]]&gt;$AC$6)</f>
        <v>0</v>
      </c>
      <c r="S1166" s="9">
        <f>(Таблица1[[#This Row],[Размер кредита]]-21824)/(789096-21824)</f>
        <v>0.11543755017777269</v>
      </c>
      <c r="T1166" s="9">
        <f>(Таблица1[[#This Row],[Кредитный рейтинг]]-586)/(751-586)</f>
        <v>0.83030303030303032</v>
      </c>
      <c r="U1166" s="9">
        <f>Таблица1[[#This Row],[Ежемесячный платеж]]/(Таблица1[[#This Row],[Годовой доход]]/12)</f>
        <v>0.20038649228967403</v>
      </c>
    </row>
    <row r="1167" spans="1:21" x14ac:dyDescent="0.3">
      <c r="A1167">
        <v>1166</v>
      </c>
      <c r="B1167">
        <v>0</v>
      </c>
      <c r="C1167" s="9">
        <v>778316</v>
      </c>
      <c r="D1167">
        <v>709</v>
      </c>
      <c r="E1167" s="1">
        <v>2016546</v>
      </c>
      <c r="F1167">
        <v>0</v>
      </c>
      <c r="G1167">
        <v>52262.16</v>
      </c>
      <c r="H1167">
        <v>22.5</v>
      </c>
      <c r="I1167">
        <v>28</v>
      </c>
      <c r="J1167">
        <v>1009375</v>
      </c>
      <c r="K1167">
        <v>2557412</v>
      </c>
      <c r="L1167" t="s">
        <v>52</v>
      </c>
      <c r="M1167" t="s">
        <v>1206</v>
      </c>
      <c r="N1167" t="s">
        <v>26</v>
      </c>
      <c r="O1167" t="s">
        <v>21</v>
      </c>
      <c r="P1167" t="s">
        <v>31</v>
      </c>
      <c r="Q1167" t="s">
        <v>36</v>
      </c>
      <c r="R1167" t="b">
        <f>OR(Таблица1[[#This Row],[Ежемесячный платеж]]&lt;$AC$5, Таблица1[[#This Row],[Ежемесячный платеж]]&gt;$AC$6)</f>
        <v>1</v>
      </c>
      <c r="S1167" s="9">
        <f>(Таблица1[[#This Row],[Размер кредита]]-21824)/(789096-21824)</f>
        <v>0.98595022364950113</v>
      </c>
      <c r="T1167" s="9">
        <f>(Таблица1[[#This Row],[Кредитный рейтинг]]-586)/(751-586)</f>
        <v>0.74545454545454548</v>
      </c>
      <c r="U1167" s="9">
        <f>Таблица1[[#This Row],[Ежемесячный платеж]]/(Таблица1[[#This Row],[Годовой доход]]/12)</f>
        <v>0.31100005653230822</v>
      </c>
    </row>
    <row r="1168" spans="1:21" x14ac:dyDescent="0.3">
      <c r="A1168">
        <v>1167</v>
      </c>
      <c r="B1168">
        <v>0</v>
      </c>
      <c r="C1168" s="9">
        <v>184690</v>
      </c>
      <c r="D1168">
        <v>736</v>
      </c>
      <c r="E1168" s="1">
        <v>945535</v>
      </c>
      <c r="F1168">
        <v>46</v>
      </c>
      <c r="G1168">
        <v>8903.9699999999993</v>
      </c>
      <c r="H1168">
        <v>16.100000000000001</v>
      </c>
      <c r="I1168">
        <v>7</v>
      </c>
      <c r="J1168">
        <v>57038</v>
      </c>
      <c r="K1168">
        <v>293546</v>
      </c>
      <c r="L1168" t="s">
        <v>47</v>
      </c>
      <c r="M1168" t="s">
        <v>1207</v>
      </c>
      <c r="N1168" t="s">
        <v>26</v>
      </c>
      <c r="O1168" t="s">
        <v>34</v>
      </c>
      <c r="P1168" t="s">
        <v>22</v>
      </c>
      <c r="Q1168" t="s">
        <v>36</v>
      </c>
      <c r="R1168" t="b">
        <f>OR(Таблица1[[#This Row],[Ежемесячный платеж]]&lt;$AC$5, Таблица1[[#This Row],[Ежемесячный платеж]]&gt;$AC$6)</f>
        <v>0</v>
      </c>
      <c r="S1168" s="9">
        <f>(Таблица1[[#This Row],[Размер кредита]]-21824)/(789096-21824)</f>
        <v>0.21226631494437437</v>
      </c>
      <c r="T1168" s="9">
        <f>(Таблица1[[#This Row],[Кредитный рейтинг]]-586)/(751-586)</f>
        <v>0.90909090909090906</v>
      </c>
      <c r="U1168" s="9">
        <f>Таблица1[[#This Row],[Ежемесячный платеж]]/(Таблица1[[#This Row],[Годовой доход]]/12)</f>
        <v>0.11300231086104692</v>
      </c>
    </row>
    <row r="1169" spans="1:21" x14ac:dyDescent="0.3">
      <c r="A1169">
        <v>1168</v>
      </c>
      <c r="B1169">
        <v>0</v>
      </c>
      <c r="C1169" s="9">
        <v>216040</v>
      </c>
      <c r="D1169">
        <v>727</v>
      </c>
      <c r="E1169" s="1">
        <v>932881</v>
      </c>
      <c r="F1169">
        <v>0</v>
      </c>
      <c r="G1169">
        <v>16014.53</v>
      </c>
      <c r="H1169">
        <v>14.4</v>
      </c>
      <c r="I1169">
        <v>8</v>
      </c>
      <c r="J1169">
        <v>195054</v>
      </c>
      <c r="K1169">
        <v>276782</v>
      </c>
      <c r="L1169" t="s">
        <v>37</v>
      </c>
      <c r="M1169" t="s">
        <v>1208</v>
      </c>
      <c r="N1169" t="s">
        <v>26</v>
      </c>
      <c r="O1169" t="s">
        <v>34</v>
      </c>
      <c r="P1169" t="s">
        <v>22</v>
      </c>
      <c r="Q1169" t="s">
        <v>23</v>
      </c>
      <c r="R1169" t="b">
        <f>OR(Таблица1[[#This Row],[Ежемесячный платеж]]&lt;$AC$5, Таблица1[[#This Row],[Ежемесячный платеж]]&gt;$AC$6)</f>
        <v>0</v>
      </c>
      <c r="S1169" s="9">
        <f>(Таблица1[[#This Row],[Размер кредита]]-21824)/(789096-21824)</f>
        <v>0.25312535841266198</v>
      </c>
      <c r="T1169" s="9">
        <f>(Таблица1[[#This Row],[Кредитный рейтинг]]-586)/(751-586)</f>
        <v>0.8545454545454545</v>
      </c>
      <c r="U1169" s="9">
        <f>Таблица1[[#This Row],[Ежемесячный платеж]]/(Таблица1[[#This Row],[Годовой доход]]/12)</f>
        <v>0.20600093688262491</v>
      </c>
    </row>
    <row r="1170" spans="1:21" x14ac:dyDescent="0.3">
      <c r="A1170">
        <v>1169</v>
      </c>
      <c r="B1170">
        <v>1</v>
      </c>
      <c r="D1170">
        <v>729</v>
      </c>
      <c r="E1170" s="1">
        <v>975251</v>
      </c>
      <c r="F1170">
        <v>49</v>
      </c>
      <c r="G1170">
        <v>8777.24</v>
      </c>
      <c r="H1170">
        <v>23.4</v>
      </c>
      <c r="I1170">
        <v>7</v>
      </c>
      <c r="J1170">
        <v>110732</v>
      </c>
      <c r="K1170">
        <v>208472</v>
      </c>
      <c r="L1170" t="s">
        <v>29</v>
      </c>
      <c r="M1170" t="s">
        <v>1209</v>
      </c>
      <c r="N1170" t="s">
        <v>26</v>
      </c>
      <c r="O1170" t="s">
        <v>34</v>
      </c>
      <c r="P1170" t="s">
        <v>22</v>
      </c>
      <c r="Q1170" t="s">
        <v>23</v>
      </c>
      <c r="R1170" t="b">
        <f>OR(Таблица1[[#This Row],[Ежемесячный платеж]]&lt;$AC$5, Таблица1[[#This Row],[Ежемесячный платеж]]&gt;$AC$6)</f>
        <v>0</v>
      </c>
      <c r="T1170" s="9">
        <f>(Таблица1[[#This Row],[Кредитный рейтинг]]-586)/(751-586)</f>
        <v>0.8666666666666667</v>
      </c>
      <c r="U1170" s="9">
        <f>Таблица1[[#This Row],[Ежемесячный платеж]]/(Таблица1[[#This Row],[Годовой доход]]/12)</f>
        <v>0.10799976621403104</v>
      </c>
    </row>
    <row r="1171" spans="1:21" x14ac:dyDescent="0.3">
      <c r="A1171">
        <v>1170</v>
      </c>
      <c r="B1171">
        <v>0</v>
      </c>
      <c r="C1171" s="9">
        <v>668976</v>
      </c>
      <c r="D1171">
        <v>691</v>
      </c>
      <c r="E1171" s="1">
        <v>2311008</v>
      </c>
      <c r="F1171">
        <v>14</v>
      </c>
      <c r="G1171">
        <v>35242.910000000003</v>
      </c>
      <c r="H1171">
        <v>30</v>
      </c>
      <c r="I1171">
        <v>13</v>
      </c>
      <c r="J1171">
        <v>184889</v>
      </c>
      <c r="K1171">
        <v>601326</v>
      </c>
      <c r="L1171" t="s">
        <v>24</v>
      </c>
      <c r="M1171" t="s">
        <v>1210</v>
      </c>
      <c r="N1171" t="s">
        <v>26</v>
      </c>
      <c r="O1171" t="s">
        <v>21</v>
      </c>
      <c r="P1171" t="s">
        <v>31</v>
      </c>
      <c r="Q1171" t="s">
        <v>36</v>
      </c>
      <c r="R1171" t="b">
        <f>OR(Таблица1[[#This Row],[Ежемесячный платеж]]&lt;$AC$5, Таблица1[[#This Row],[Ежемесячный платеж]]&gt;$AC$6)</f>
        <v>0</v>
      </c>
      <c r="S1171" s="9">
        <f>(Таблица1[[#This Row],[Размер кредита]]-21824)/(789096-21824)</f>
        <v>0.84344534923729786</v>
      </c>
      <c r="T1171" s="9">
        <f>(Таблица1[[#This Row],[Кредитный рейтинг]]-586)/(751-586)</f>
        <v>0.63636363636363635</v>
      </c>
      <c r="U1171" s="9">
        <f>Таблица1[[#This Row],[Ежемесячный платеж]]/(Таблица1[[#This Row],[Годовой доход]]/12)</f>
        <v>0.18300019731649567</v>
      </c>
    </row>
    <row r="1172" spans="1:21" x14ac:dyDescent="0.3">
      <c r="A1172">
        <v>1171</v>
      </c>
      <c r="B1172">
        <v>0</v>
      </c>
      <c r="C1172" s="9">
        <v>107316</v>
      </c>
      <c r="D1172">
        <f>$Y$13</f>
        <v>723</v>
      </c>
      <c r="E1172">
        <f>$AB$13</f>
        <v>1168044</v>
      </c>
      <c r="F1172">
        <v>29</v>
      </c>
      <c r="G1172">
        <v>4077.97</v>
      </c>
      <c r="H1172">
        <v>40.1</v>
      </c>
      <c r="I1172">
        <v>8</v>
      </c>
      <c r="J1172">
        <v>119472</v>
      </c>
      <c r="K1172">
        <v>423016</v>
      </c>
      <c r="L1172" t="s">
        <v>37</v>
      </c>
      <c r="M1172" t="s">
        <v>1211</v>
      </c>
      <c r="N1172" t="s">
        <v>68</v>
      </c>
      <c r="O1172" t="s">
        <v>34</v>
      </c>
      <c r="P1172" t="s">
        <v>22</v>
      </c>
      <c r="Q1172" t="s">
        <v>36</v>
      </c>
      <c r="R1172" t="b">
        <f>OR(Таблица1[[#This Row],[Ежемесячный платеж]]&lt;$AC$5, Таблица1[[#This Row],[Ежемесячный платеж]]&gt;$AC$6)</f>
        <v>0</v>
      </c>
      <c r="S1172" s="9">
        <f>(Таблица1[[#This Row],[Размер кредита]]-21824)/(789096-21824)</f>
        <v>0.11142332836334443</v>
      </c>
      <c r="T1172" s="9">
        <f>(Таблица1[[#This Row],[Кредитный рейтинг]]-586)/(751-586)</f>
        <v>0.83030303030303032</v>
      </c>
      <c r="U1172" s="9">
        <f>Таблица1[[#This Row],[Ежемесячный платеж]]/(Таблица1[[#This Row],[Годовой доход]]/12)</f>
        <v>4.1895373804411475E-2</v>
      </c>
    </row>
    <row r="1173" spans="1:21" x14ac:dyDescent="0.3">
      <c r="A1173">
        <v>1172</v>
      </c>
      <c r="B1173">
        <v>0</v>
      </c>
      <c r="C1173" s="9">
        <v>417164</v>
      </c>
      <c r="D1173">
        <v>709</v>
      </c>
      <c r="E1173" s="1">
        <v>1002364</v>
      </c>
      <c r="F1173">
        <v>45</v>
      </c>
      <c r="G1173">
        <v>9271.81</v>
      </c>
      <c r="H1173">
        <v>21.7</v>
      </c>
      <c r="I1173">
        <v>8</v>
      </c>
      <c r="J1173">
        <v>136705</v>
      </c>
      <c r="K1173">
        <v>205832</v>
      </c>
      <c r="L1173" t="s">
        <v>24</v>
      </c>
      <c r="M1173" t="s">
        <v>1212</v>
      </c>
      <c r="N1173" t="s">
        <v>26</v>
      </c>
      <c r="O1173" t="s">
        <v>21</v>
      </c>
      <c r="P1173" t="s">
        <v>22</v>
      </c>
      <c r="Q1173" t="s">
        <v>23</v>
      </c>
      <c r="R1173" t="b">
        <f>OR(Таблица1[[#This Row],[Ежемесячный платеж]]&lt;$AC$5, Таблица1[[#This Row],[Ежемесячный платеж]]&gt;$AC$6)</f>
        <v>0</v>
      </c>
      <c r="S1173" s="9">
        <f>(Таблица1[[#This Row],[Размер кредита]]-21824)/(789096-21824)</f>
        <v>0.51525404289482735</v>
      </c>
      <c r="T1173" s="9">
        <f>(Таблица1[[#This Row],[Кредитный рейтинг]]-586)/(751-586)</f>
        <v>0.74545454545454548</v>
      </c>
      <c r="U1173" s="9">
        <f>Таблица1[[#This Row],[Ежемесячный платеж]]/(Таблица1[[#This Row],[Годовой доход]]/12)</f>
        <v>0.11099931761316248</v>
      </c>
    </row>
    <row r="1174" spans="1:21" x14ac:dyDescent="0.3">
      <c r="A1174">
        <v>1173</v>
      </c>
      <c r="B1174">
        <v>0</v>
      </c>
      <c r="C1174" s="9">
        <v>60962</v>
      </c>
      <c r="D1174">
        <v>746</v>
      </c>
      <c r="E1174" s="1">
        <v>285893</v>
      </c>
      <c r="F1174">
        <v>0</v>
      </c>
      <c r="G1174">
        <v>5396.38</v>
      </c>
      <c r="H1174">
        <v>10.4</v>
      </c>
      <c r="I1174">
        <v>5</v>
      </c>
      <c r="J1174">
        <v>144818</v>
      </c>
      <c r="K1174">
        <v>574222</v>
      </c>
      <c r="L1174" t="s">
        <v>24</v>
      </c>
      <c r="M1174" t="s">
        <v>1213</v>
      </c>
      <c r="N1174" t="s">
        <v>68</v>
      </c>
      <c r="O1174" t="s">
        <v>21</v>
      </c>
      <c r="P1174" t="s">
        <v>22</v>
      </c>
      <c r="Q1174" t="s">
        <v>36</v>
      </c>
      <c r="R1174" t="b">
        <f>OR(Таблица1[[#This Row],[Ежемесячный платеж]]&lt;$AC$5, Таблица1[[#This Row],[Ежемесячный платеж]]&gt;$AC$6)</f>
        <v>0</v>
      </c>
      <c r="S1174" s="9">
        <f>(Таблица1[[#This Row],[Размер кредита]]-21824)/(789096-21824)</f>
        <v>5.1009290056199107E-2</v>
      </c>
      <c r="T1174" s="9">
        <f>(Таблица1[[#This Row],[Кредитный рейтинг]]-586)/(751-586)</f>
        <v>0.96969696969696972</v>
      </c>
      <c r="U1174" s="9">
        <f>Таблица1[[#This Row],[Ежемесячный платеж]]/(Таблица1[[#This Row],[Годовой доход]]/12)</f>
        <v>0.22650628032165879</v>
      </c>
    </row>
    <row r="1175" spans="1:21" x14ac:dyDescent="0.3">
      <c r="A1175">
        <v>1174</v>
      </c>
      <c r="B1175">
        <v>0</v>
      </c>
      <c r="C1175" s="9">
        <v>525096</v>
      </c>
      <c r="D1175">
        <v>748</v>
      </c>
      <c r="E1175" s="1">
        <v>1011028</v>
      </c>
      <c r="F1175">
        <v>42</v>
      </c>
      <c r="G1175">
        <v>13985.71</v>
      </c>
      <c r="H1175">
        <v>22.4</v>
      </c>
      <c r="I1175">
        <v>7</v>
      </c>
      <c r="J1175">
        <v>172140</v>
      </c>
      <c r="K1175">
        <v>476872</v>
      </c>
      <c r="L1175" t="s">
        <v>69</v>
      </c>
      <c r="M1175" t="s">
        <v>1214</v>
      </c>
      <c r="N1175" t="s">
        <v>26</v>
      </c>
      <c r="O1175" t="s">
        <v>21</v>
      </c>
      <c r="P1175" t="s">
        <v>22</v>
      </c>
      <c r="Q1175" t="s">
        <v>36</v>
      </c>
      <c r="R1175" t="b">
        <f>OR(Таблица1[[#This Row],[Ежемесячный платеж]]&lt;$AC$5, Таблица1[[#This Row],[Ежемесячный платеж]]&gt;$AC$6)</f>
        <v>0</v>
      </c>
      <c r="S1175" s="9">
        <f>(Таблица1[[#This Row],[Размер кредита]]-21824)/(789096-21824)</f>
        <v>0.65592384447757768</v>
      </c>
      <c r="T1175" s="9">
        <f>(Таблица1[[#This Row],[Кредитный рейтинг]]-586)/(751-586)</f>
        <v>0.98181818181818181</v>
      </c>
      <c r="U1175" s="9">
        <f>Таблица1[[#This Row],[Ежемесячный платеж]]/(Таблица1[[#This Row],[Годовой доход]]/12)</f>
        <v>0.16599789521160641</v>
      </c>
    </row>
    <row r="1176" spans="1:21" x14ac:dyDescent="0.3">
      <c r="A1176">
        <v>1175</v>
      </c>
      <c r="B1176">
        <v>0</v>
      </c>
      <c r="C1176" s="9">
        <v>158136</v>
      </c>
      <c r="D1176">
        <v>690</v>
      </c>
      <c r="E1176" s="1">
        <v>866476</v>
      </c>
      <c r="F1176">
        <v>36</v>
      </c>
      <c r="G1176">
        <v>2729.35</v>
      </c>
      <c r="H1176">
        <v>14.1</v>
      </c>
      <c r="I1176">
        <v>15</v>
      </c>
      <c r="J1176">
        <v>63156</v>
      </c>
      <c r="K1176">
        <v>115522</v>
      </c>
      <c r="L1176" t="s">
        <v>41</v>
      </c>
      <c r="M1176" t="s">
        <v>1215</v>
      </c>
      <c r="N1176" t="s">
        <v>68</v>
      </c>
      <c r="O1176" t="s">
        <v>34</v>
      </c>
      <c r="P1176" t="s">
        <v>22</v>
      </c>
      <c r="Q1176" t="s">
        <v>23</v>
      </c>
      <c r="R1176" t="b">
        <f>OR(Таблица1[[#This Row],[Ежемесячный платеж]]&lt;$AC$5, Таблица1[[#This Row],[Ежемесячный платеж]]&gt;$AC$6)</f>
        <v>0</v>
      </c>
      <c r="S1176" s="9">
        <f>(Таблица1[[#This Row],[Размер кредита]]-21824)/(789096-21824)</f>
        <v>0.17765798830141072</v>
      </c>
      <c r="T1176" s="9">
        <f>(Таблица1[[#This Row],[Кредитный рейтинг]]-586)/(751-586)</f>
        <v>0.63030303030303025</v>
      </c>
      <c r="U1176" s="9">
        <f>Таблица1[[#This Row],[Ежемесячный платеж]]/(Таблица1[[#This Row],[Годовой доход]]/12)</f>
        <v>3.7799315849486891E-2</v>
      </c>
    </row>
    <row r="1177" spans="1:21" x14ac:dyDescent="0.3">
      <c r="A1177">
        <v>1176</v>
      </c>
      <c r="B1177">
        <v>1</v>
      </c>
      <c r="C1177" s="9">
        <v>225126</v>
      </c>
      <c r="D1177">
        <v>720</v>
      </c>
      <c r="E1177" s="1">
        <v>731044</v>
      </c>
      <c r="F1177">
        <v>15</v>
      </c>
      <c r="G1177">
        <v>7188.46</v>
      </c>
      <c r="H1177">
        <v>19.399999999999999</v>
      </c>
      <c r="I1177">
        <v>10</v>
      </c>
      <c r="J1177">
        <v>200013</v>
      </c>
      <c r="K1177">
        <v>238744</v>
      </c>
      <c r="L1177" t="s">
        <v>50</v>
      </c>
      <c r="M1177" t="s">
        <v>1216</v>
      </c>
      <c r="N1177" t="s">
        <v>26</v>
      </c>
      <c r="O1177" t="s">
        <v>34</v>
      </c>
      <c r="P1177" t="s">
        <v>22</v>
      </c>
      <c r="Q1177" t="s">
        <v>23</v>
      </c>
      <c r="R1177" t="b">
        <f>OR(Таблица1[[#This Row],[Ежемесячный платеж]]&lt;$AC$5, Таблица1[[#This Row],[Ежемесячный платеж]]&gt;$AC$6)</f>
        <v>0</v>
      </c>
      <c r="S1177" s="9">
        <f>(Таблица1[[#This Row],[Размер кредита]]-21824)/(789096-21824)</f>
        <v>0.26496731276522539</v>
      </c>
      <c r="T1177" s="9">
        <f>(Таблица1[[#This Row],[Кредитный рейтинг]]-586)/(751-586)</f>
        <v>0.81212121212121213</v>
      </c>
      <c r="U1177" s="9">
        <f>Таблица1[[#This Row],[Ежемесячный платеж]]/(Таблица1[[#This Row],[Годовой доход]]/12)</f>
        <v>0.11799771285996465</v>
      </c>
    </row>
    <row r="1178" spans="1:21" x14ac:dyDescent="0.3">
      <c r="A1178">
        <v>1177</v>
      </c>
      <c r="B1178">
        <v>0</v>
      </c>
      <c r="C1178" s="9">
        <v>26400</v>
      </c>
      <c r="D1178">
        <v>659</v>
      </c>
      <c r="E1178" s="1">
        <v>1330532</v>
      </c>
      <c r="F1178">
        <v>0</v>
      </c>
      <c r="G1178">
        <v>24392.959999999999</v>
      </c>
      <c r="H1178">
        <v>15.7</v>
      </c>
      <c r="I1178">
        <v>16</v>
      </c>
      <c r="J1178">
        <v>602699</v>
      </c>
      <c r="K1178">
        <v>1166968</v>
      </c>
      <c r="L1178" t="s">
        <v>47</v>
      </c>
      <c r="M1178" t="s">
        <v>1217</v>
      </c>
      <c r="N1178" t="s">
        <v>20</v>
      </c>
      <c r="O1178" t="s">
        <v>21</v>
      </c>
      <c r="P1178" t="s">
        <v>22</v>
      </c>
      <c r="Q1178" t="s">
        <v>23</v>
      </c>
      <c r="R1178" t="b">
        <f>OR(Таблица1[[#This Row],[Ежемесячный платеж]]&lt;$AC$5, Таблица1[[#This Row],[Ежемесячный платеж]]&gt;$AC$6)</f>
        <v>0</v>
      </c>
      <c r="S1178" s="9">
        <f>(Таблица1[[#This Row],[Размер кредита]]-21824)/(789096-21824)</f>
        <v>5.9639866957219862E-3</v>
      </c>
      <c r="T1178" s="9">
        <f>(Таблица1[[#This Row],[Кредитный рейтинг]]-586)/(751-586)</f>
        <v>0.44242424242424244</v>
      </c>
      <c r="U1178" s="9">
        <f>Таблица1[[#This Row],[Ежемесячный платеж]]/(Таблица1[[#This Row],[Годовой доход]]/12)</f>
        <v>0.21999885759981719</v>
      </c>
    </row>
    <row r="1179" spans="1:21" x14ac:dyDescent="0.3">
      <c r="A1179">
        <v>1178</v>
      </c>
      <c r="B1179">
        <v>0</v>
      </c>
      <c r="C1179" s="9">
        <v>296274</v>
      </c>
      <c r="D1179">
        <v>725</v>
      </c>
      <c r="E1179" s="1">
        <v>583737</v>
      </c>
      <c r="F1179">
        <v>0</v>
      </c>
      <c r="G1179">
        <v>13815.09</v>
      </c>
      <c r="H1179">
        <v>23.2</v>
      </c>
      <c r="I1179">
        <v>16</v>
      </c>
      <c r="J1179">
        <v>436943</v>
      </c>
      <c r="K1179">
        <v>869308</v>
      </c>
      <c r="L1179" t="s">
        <v>18</v>
      </c>
      <c r="M1179" t="s">
        <v>1218</v>
      </c>
      <c r="N1179" t="s">
        <v>26</v>
      </c>
      <c r="O1179" t="s">
        <v>34</v>
      </c>
      <c r="P1179" t="s">
        <v>22</v>
      </c>
      <c r="Q1179" t="s">
        <v>23</v>
      </c>
      <c r="R1179" t="b">
        <f>OR(Таблица1[[#This Row],[Ежемесячный платеж]]&lt;$AC$5, Таблица1[[#This Row],[Ежемесячный платеж]]&gt;$AC$6)</f>
        <v>0</v>
      </c>
      <c r="S1179" s="9">
        <f>(Таблица1[[#This Row],[Размер кредита]]-21824)/(789096-21824)</f>
        <v>0.35769583667851818</v>
      </c>
      <c r="T1179" s="9">
        <f>(Таблица1[[#This Row],[Кредитный рейтинг]]-586)/(751-586)</f>
        <v>0.84242424242424241</v>
      </c>
      <c r="U1179" s="9">
        <f>Таблица1[[#This Row],[Ежемесячный платеж]]/(Таблица1[[#This Row],[Годовой доход]]/12)</f>
        <v>0.28399960941314323</v>
      </c>
    </row>
    <row r="1180" spans="1:21" x14ac:dyDescent="0.3">
      <c r="A1180">
        <v>1179</v>
      </c>
      <c r="B1180">
        <v>0</v>
      </c>
      <c r="C1180" s="9">
        <v>393976</v>
      </c>
      <c r="D1180">
        <v>630</v>
      </c>
      <c r="E1180" s="1">
        <v>1455533</v>
      </c>
      <c r="F1180">
        <v>32</v>
      </c>
      <c r="G1180">
        <v>21347.83</v>
      </c>
      <c r="H1180">
        <v>21.5</v>
      </c>
      <c r="I1180">
        <v>14</v>
      </c>
      <c r="J1180">
        <v>282264</v>
      </c>
      <c r="K1180">
        <v>415800</v>
      </c>
      <c r="L1180" t="s">
        <v>24</v>
      </c>
      <c r="M1180" t="s">
        <v>1219</v>
      </c>
      <c r="N1180" t="s">
        <v>26</v>
      </c>
      <c r="O1180" t="s">
        <v>21</v>
      </c>
      <c r="P1180" t="s">
        <v>31</v>
      </c>
      <c r="Q1180" t="s">
        <v>23</v>
      </c>
      <c r="R1180" t="b">
        <f>OR(Таблица1[[#This Row],[Ежемесячный платеж]]&lt;$AC$5, Таблица1[[#This Row],[Ежемесячный платеж]]&gt;$AC$6)</f>
        <v>0</v>
      </c>
      <c r="S1180" s="9">
        <f>(Таблица1[[#This Row],[Размер кредита]]-21824)/(789096-21824)</f>
        <v>0.48503268723477461</v>
      </c>
      <c r="T1180" s="9">
        <f>(Таблица1[[#This Row],[Кредитный рейтинг]]-586)/(751-586)</f>
        <v>0.26666666666666666</v>
      </c>
      <c r="U1180" s="9">
        <f>Таблица1[[#This Row],[Ежемесячный платеж]]/(Таблица1[[#This Row],[Годовой доход]]/12)</f>
        <v>0.17600010442909916</v>
      </c>
    </row>
    <row r="1181" spans="1:21" x14ac:dyDescent="0.3">
      <c r="A1181">
        <v>1180</v>
      </c>
      <c r="B1181">
        <v>0</v>
      </c>
      <c r="D1181">
        <v>744</v>
      </c>
      <c r="E1181" s="1">
        <v>751564</v>
      </c>
      <c r="F1181">
        <v>0</v>
      </c>
      <c r="G1181">
        <v>16283.95</v>
      </c>
      <c r="H1181">
        <v>12</v>
      </c>
      <c r="I1181">
        <v>6</v>
      </c>
      <c r="J1181">
        <v>281751</v>
      </c>
      <c r="K1181">
        <v>520300</v>
      </c>
      <c r="L1181" t="s">
        <v>50</v>
      </c>
      <c r="M1181" t="s">
        <v>1220</v>
      </c>
      <c r="N1181" t="s">
        <v>26</v>
      </c>
      <c r="O1181" t="s">
        <v>34</v>
      </c>
      <c r="P1181" t="s">
        <v>22</v>
      </c>
      <c r="Q1181" t="s">
        <v>23</v>
      </c>
      <c r="R1181" t="b">
        <f>OR(Таблица1[[#This Row],[Ежемесячный платеж]]&lt;$AC$5, Таблица1[[#This Row],[Ежемесячный платеж]]&gt;$AC$6)</f>
        <v>0</v>
      </c>
      <c r="T1181" s="9">
        <f>(Таблица1[[#This Row],[Кредитный рейтинг]]-586)/(751-586)</f>
        <v>0.95757575757575752</v>
      </c>
      <c r="U1181" s="9">
        <f>Таблица1[[#This Row],[Ежемесячный платеж]]/(Таблица1[[#This Row],[Годовой доход]]/12)</f>
        <v>0.26000101122459296</v>
      </c>
    </row>
    <row r="1182" spans="1:21" x14ac:dyDescent="0.3">
      <c r="A1182">
        <v>1181</v>
      </c>
      <c r="B1182">
        <v>0</v>
      </c>
      <c r="C1182" s="9">
        <v>55946</v>
      </c>
      <c r="D1182">
        <v>727</v>
      </c>
      <c r="E1182" s="1">
        <v>501771</v>
      </c>
      <c r="F1182">
        <v>0</v>
      </c>
      <c r="G1182">
        <v>8655.4500000000007</v>
      </c>
      <c r="H1182">
        <v>16.8</v>
      </c>
      <c r="I1182">
        <v>6</v>
      </c>
      <c r="J1182">
        <v>40432</v>
      </c>
      <c r="K1182">
        <v>212828</v>
      </c>
      <c r="L1182" t="s">
        <v>41</v>
      </c>
      <c r="M1182" t="s">
        <v>1221</v>
      </c>
      <c r="N1182" t="s">
        <v>26</v>
      </c>
      <c r="O1182" t="s">
        <v>34</v>
      </c>
      <c r="P1182" t="s">
        <v>22</v>
      </c>
      <c r="Q1182" t="s">
        <v>36</v>
      </c>
      <c r="R1182" t="b">
        <f>OR(Таблица1[[#This Row],[Ежемесячный платеж]]&lt;$AC$5, Таблица1[[#This Row],[Ежемесячный платеж]]&gt;$AC$6)</f>
        <v>0</v>
      </c>
      <c r="S1182" s="9">
        <f>(Таблица1[[#This Row],[Размер кредита]]-21824)/(789096-21824)</f>
        <v>4.4471843101273084E-2</v>
      </c>
      <c r="T1182" s="9">
        <f>(Таблица1[[#This Row],[Кредитный рейтинг]]-586)/(751-586)</f>
        <v>0.8545454545454545</v>
      </c>
      <c r="U1182" s="9">
        <f>Таблица1[[#This Row],[Ежемесячный платеж]]/(Таблица1[[#This Row],[Годовой доход]]/12)</f>
        <v>0.20699761444961948</v>
      </c>
    </row>
    <row r="1183" spans="1:21" x14ac:dyDescent="0.3">
      <c r="A1183">
        <v>1182</v>
      </c>
      <c r="B1183">
        <v>0</v>
      </c>
      <c r="C1183" s="9">
        <v>272646</v>
      </c>
      <c r="D1183">
        <v>744</v>
      </c>
      <c r="E1183" s="1">
        <v>1506928</v>
      </c>
      <c r="F1183">
        <v>40</v>
      </c>
      <c r="G1183">
        <v>26120.06</v>
      </c>
      <c r="H1183">
        <v>21.3</v>
      </c>
      <c r="I1183">
        <v>10</v>
      </c>
      <c r="J1183">
        <v>965903</v>
      </c>
      <c r="K1183">
        <v>1686894</v>
      </c>
      <c r="L1183" t="s">
        <v>24</v>
      </c>
      <c r="M1183" t="s">
        <v>1222</v>
      </c>
      <c r="N1183" t="s">
        <v>26</v>
      </c>
      <c r="O1183" t="s">
        <v>21</v>
      </c>
      <c r="P1183" t="s">
        <v>22</v>
      </c>
      <c r="Q1183" t="s">
        <v>23</v>
      </c>
      <c r="R1183" t="b">
        <f>OR(Таблица1[[#This Row],[Ежемесячный платеж]]&lt;$AC$5, Таблица1[[#This Row],[Ежемесячный платеж]]&gt;$AC$6)</f>
        <v>0</v>
      </c>
      <c r="S1183" s="9">
        <f>(Таблица1[[#This Row],[Размер кредита]]-21824)/(789096-21824)</f>
        <v>0.32690102075926136</v>
      </c>
      <c r="T1183" s="9">
        <f>(Таблица1[[#This Row],[Кредитный рейтинг]]-586)/(751-586)</f>
        <v>0.95757575757575752</v>
      </c>
      <c r="U1183" s="9">
        <f>Таблица1[[#This Row],[Ежемесячный платеж]]/(Таблица1[[#This Row],[Годовой доход]]/12)</f>
        <v>0.20799979826507969</v>
      </c>
    </row>
    <row r="1184" spans="1:21" x14ac:dyDescent="0.3">
      <c r="A1184">
        <v>1183</v>
      </c>
      <c r="B1184">
        <v>0</v>
      </c>
      <c r="C1184" s="9">
        <v>725406</v>
      </c>
      <c r="D1184">
        <v>724</v>
      </c>
      <c r="E1184" s="1">
        <v>2432000</v>
      </c>
      <c r="F1184">
        <v>0</v>
      </c>
      <c r="G1184">
        <v>36480</v>
      </c>
      <c r="H1184">
        <v>14.4</v>
      </c>
      <c r="I1184">
        <v>9</v>
      </c>
      <c r="J1184">
        <v>411331</v>
      </c>
      <c r="K1184">
        <v>862840</v>
      </c>
      <c r="L1184" t="s">
        <v>50</v>
      </c>
      <c r="M1184" t="s">
        <v>1223</v>
      </c>
      <c r="N1184" t="s">
        <v>26</v>
      </c>
      <c r="O1184" t="s">
        <v>21</v>
      </c>
      <c r="P1184" t="s">
        <v>31</v>
      </c>
      <c r="Q1184" t="s">
        <v>23</v>
      </c>
      <c r="R1184" t="b">
        <f>OR(Таблица1[[#This Row],[Ежемесячный платеж]]&lt;$AC$5, Таблица1[[#This Row],[Ежемесячный платеж]]&gt;$AC$6)</f>
        <v>0</v>
      </c>
      <c r="S1184" s="9">
        <f>(Таблица1[[#This Row],[Размер кредита]]-21824)/(789096-21824)</f>
        <v>0.91699162748021568</v>
      </c>
      <c r="T1184" s="9">
        <f>(Таблица1[[#This Row],[Кредитный рейтинг]]-586)/(751-586)</f>
        <v>0.83636363636363631</v>
      </c>
      <c r="U1184" s="9">
        <f>Таблица1[[#This Row],[Ежемесячный платеж]]/(Таблица1[[#This Row],[Годовой доход]]/12)</f>
        <v>0.18000000000000002</v>
      </c>
    </row>
    <row r="1185" spans="1:21" x14ac:dyDescent="0.3">
      <c r="A1185">
        <v>1184</v>
      </c>
      <c r="B1185">
        <v>0</v>
      </c>
      <c r="C1185" s="9">
        <v>129844</v>
      </c>
      <c r="D1185">
        <v>735</v>
      </c>
      <c r="E1185" s="1">
        <v>2990144</v>
      </c>
      <c r="F1185">
        <v>16</v>
      </c>
      <c r="G1185">
        <v>33888.21</v>
      </c>
      <c r="H1185">
        <v>28.9</v>
      </c>
      <c r="I1185">
        <v>9</v>
      </c>
      <c r="J1185">
        <v>391400</v>
      </c>
      <c r="K1185">
        <v>538868</v>
      </c>
      <c r="L1185" t="s">
        <v>24</v>
      </c>
      <c r="M1185" t="s">
        <v>1224</v>
      </c>
      <c r="N1185" t="s">
        <v>68</v>
      </c>
      <c r="O1185" t="s">
        <v>21</v>
      </c>
      <c r="P1185" t="s">
        <v>22</v>
      </c>
      <c r="Q1185" t="s">
        <v>23</v>
      </c>
      <c r="R1185" t="b">
        <f>OR(Таблица1[[#This Row],[Ежемесячный платеж]]&lt;$AC$5, Таблица1[[#This Row],[Ежемесячный платеж]]&gt;$AC$6)</f>
        <v>0</v>
      </c>
      <c r="S1185" s="9">
        <f>(Таблица1[[#This Row],[Размер кредита]]-21824)/(789096-21824)</f>
        <v>0.14078449363459111</v>
      </c>
      <c r="T1185" s="9">
        <f>(Таблица1[[#This Row],[Кредитный рейтинг]]-586)/(751-586)</f>
        <v>0.90303030303030307</v>
      </c>
      <c r="U1185" s="9">
        <f>Таблица1[[#This Row],[Ежемесячный платеж]]/(Таблица1[[#This Row],[Годовой доход]]/12)</f>
        <v>0.13599964416429444</v>
      </c>
    </row>
    <row r="1186" spans="1:21" x14ac:dyDescent="0.3">
      <c r="A1186">
        <v>1185</v>
      </c>
      <c r="B1186">
        <v>0</v>
      </c>
      <c r="C1186" s="9">
        <v>612304</v>
      </c>
      <c r="D1186">
        <v>747</v>
      </c>
      <c r="E1186" s="1">
        <v>1794170</v>
      </c>
      <c r="F1186">
        <v>24</v>
      </c>
      <c r="G1186">
        <v>14248.67</v>
      </c>
      <c r="H1186">
        <v>29.9</v>
      </c>
      <c r="I1186">
        <v>9</v>
      </c>
      <c r="J1186">
        <v>510720</v>
      </c>
      <c r="K1186">
        <v>1411344</v>
      </c>
      <c r="L1186" t="s">
        <v>47</v>
      </c>
      <c r="M1186" t="s">
        <v>1225</v>
      </c>
      <c r="N1186" t="s">
        <v>26</v>
      </c>
      <c r="O1186" t="s">
        <v>21</v>
      </c>
      <c r="P1186" t="s">
        <v>22</v>
      </c>
      <c r="Q1186" t="s">
        <v>23</v>
      </c>
      <c r="R1186" t="b">
        <f>OR(Таблица1[[#This Row],[Ежемесячный платеж]]&lt;$AC$5, Таблица1[[#This Row],[Ежемесячный платеж]]&gt;$AC$6)</f>
        <v>0</v>
      </c>
      <c r="S1186" s="9">
        <f>(Таблица1[[#This Row],[Размер кредита]]-21824)/(789096-21824)</f>
        <v>0.76958366785181787</v>
      </c>
      <c r="T1186" s="9">
        <f>(Таблица1[[#This Row],[Кредитный рейтинг]]-586)/(751-586)</f>
        <v>0.97575757575757571</v>
      </c>
      <c r="U1186" s="9">
        <f>Таблица1[[#This Row],[Ежемесячный платеж]]/(Таблица1[[#This Row],[Годовой доход]]/12)</f>
        <v>9.5299798792756546E-2</v>
      </c>
    </row>
    <row r="1187" spans="1:21" x14ac:dyDescent="0.3">
      <c r="A1187">
        <v>1186</v>
      </c>
      <c r="B1187">
        <v>0</v>
      </c>
      <c r="C1187" s="9">
        <v>257400</v>
      </c>
      <c r="D1187">
        <v>720</v>
      </c>
      <c r="E1187" s="1">
        <v>703950</v>
      </c>
      <c r="F1187">
        <v>0</v>
      </c>
      <c r="G1187">
        <v>3132.53</v>
      </c>
      <c r="H1187">
        <v>11.4</v>
      </c>
      <c r="I1187">
        <v>5</v>
      </c>
      <c r="J1187">
        <v>93233</v>
      </c>
      <c r="K1187">
        <v>175824</v>
      </c>
      <c r="L1187" t="s">
        <v>29</v>
      </c>
      <c r="M1187" t="s">
        <v>1226</v>
      </c>
      <c r="N1187" t="s">
        <v>68</v>
      </c>
      <c r="O1187" t="s">
        <v>34</v>
      </c>
      <c r="P1187" t="s">
        <v>22</v>
      </c>
      <c r="Q1187" t="s">
        <v>23</v>
      </c>
      <c r="R1187" t="b">
        <f>OR(Таблица1[[#This Row],[Ежемесячный платеж]]&lt;$AC$5, Таблица1[[#This Row],[Ежемесячный платеж]]&gt;$AC$6)</f>
        <v>0</v>
      </c>
      <c r="S1187" s="9">
        <f>(Таблица1[[#This Row],[Размер кредита]]-21824)/(789096-21824)</f>
        <v>0.30703062277784149</v>
      </c>
      <c r="T1187" s="9">
        <f>(Таблица1[[#This Row],[Кредитный рейтинг]]-586)/(751-586)</f>
        <v>0.81212121212121213</v>
      </c>
      <c r="U1187" s="9">
        <f>Таблица1[[#This Row],[Ежемесячный платеж]]/(Таблица1[[#This Row],[Годовой доход]]/12)</f>
        <v>5.3399190283400816E-2</v>
      </c>
    </row>
    <row r="1188" spans="1:21" x14ac:dyDescent="0.3">
      <c r="A1188">
        <v>1187</v>
      </c>
      <c r="B1188">
        <v>0</v>
      </c>
      <c r="D1188">
        <v>751</v>
      </c>
      <c r="E1188" s="1">
        <v>3715260</v>
      </c>
      <c r="F1188">
        <v>0</v>
      </c>
      <c r="G1188">
        <v>21486.720000000001</v>
      </c>
      <c r="H1188">
        <v>28.5</v>
      </c>
      <c r="I1188">
        <v>6</v>
      </c>
      <c r="J1188">
        <v>1193827</v>
      </c>
      <c r="K1188">
        <v>2273568</v>
      </c>
      <c r="L1188" t="s">
        <v>24</v>
      </c>
      <c r="M1188" t="s">
        <v>1227</v>
      </c>
      <c r="N1188" t="s">
        <v>76</v>
      </c>
      <c r="O1188" t="s">
        <v>28</v>
      </c>
      <c r="P1188" t="s">
        <v>22</v>
      </c>
      <c r="Q1188" t="s">
        <v>23</v>
      </c>
      <c r="R1188" t="b">
        <f>OR(Таблица1[[#This Row],[Ежемесячный платеж]]&lt;$AC$5, Таблица1[[#This Row],[Ежемесячный платеж]]&gt;$AC$6)</f>
        <v>0</v>
      </c>
      <c r="T1188" s="9">
        <f>(Таблица1[[#This Row],[Кредитный рейтинг]]-586)/(751-586)</f>
        <v>1</v>
      </c>
      <c r="U1188" s="9">
        <f>Таблица1[[#This Row],[Ежемесячный платеж]]/(Таблица1[[#This Row],[Годовой доход]]/12)</f>
        <v>6.9400429579625653E-2</v>
      </c>
    </row>
    <row r="1189" spans="1:21" x14ac:dyDescent="0.3">
      <c r="A1189">
        <v>1188</v>
      </c>
      <c r="B1189">
        <v>0</v>
      </c>
      <c r="C1189" s="9">
        <v>279488</v>
      </c>
      <c r="D1189">
        <v>700</v>
      </c>
      <c r="E1189" s="1">
        <v>626373</v>
      </c>
      <c r="F1189">
        <v>60</v>
      </c>
      <c r="G1189">
        <v>6837.91</v>
      </c>
      <c r="H1189">
        <v>12.1</v>
      </c>
      <c r="I1189">
        <v>9</v>
      </c>
      <c r="J1189">
        <v>235239</v>
      </c>
      <c r="K1189">
        <v>315986</v>
      </c>
      <c r="L1189" t="s">
        <v>29</v>
      </c>
      <c r="M1189" t="s">
        <v>1228</v>
      </c>
      <c r="N1189" t="s">
        <v>26</v>
      </c>
      <c r="O1189" t="s">
        <v>34</v>
      </c>
      <c r="P1189" t="s">
        <v>22</v>
      </c>
      <c r="Q1189" t="s">
        <v>36</v>
      </c>
      <c r="R1189" t="b">
        <f>OR(Таблица1[[#This Row],[Ежемесячный платеж]]&lt;$AC$5, Таблица1[[#This Row],[Ежемесячный платеж]]&gt;$AC$6)</f>
        <v>0</v>
      </c>
      <c r="S1189" s="9">
        <f>(Таблица1[[#This Row],[Размер кредита]]-21824)/(789096-21824)</f>
        <v>0.33581832778988419</v>
      </c>
      <c r="T1189" s="9">
        <f>(Таблица1[[#This Row],[Кредитный рейтинг]]-586)/(751-586)</f>
        <v>0.69090909090909092</v>
      </c>
      <c r="U1189" s="9">
        <f>Таблица1[[#This Row],[Ежемесячный платеж]]/(Таблица1[[#This Row],[Годовой доход]]/12)</f>
        <v>0.131000091000091</v>
      </c>
    </row>
    <row r="1190" spans="1:21" x14ac:dyDescent="0.3">
      <c r="A1190">
        <v>1189</v>
      </c>
      <c r="B1190">
        <v>0</v>
      </c>
      <c r="C1190" s="9">
        <v>485408</v>
      </c>
      <c r="D1190">
        <v>721</v>
      </c>
      <c r="E1190" s="1">
        <v>3601412</v>
      </c>
      <c r="F1190">
        <v>0</v>
      </c>
      <c r="G1190">
        <v>24789.68</v>
      </c>
      <c r="H1190">
        <v>15.2</v>
      </c>
      <c r="I1190">
        <v>3</v>
      </c>
      <c r="J1190">
        <v>296609</v>
      </c>
      <c r="K1190">
        <v>364210</v>
      </c>
      <c r="L1190" t="s">
        <v>47</v>
      </c>
      <c r="M1190" t="s">
        <v>1229</v>
      </c>
      <c r="N1190" t="s">
        <v>2041</v>
      </c>
      <c r="O1190" t="s">
        <v>34</v>
      </c>
      <c r="P1190" t="s">
        <v>22</v>
      </c>
      <c r="Q1190" t="s">
        <v>36</v>
      </c>
      <c r="R1190" t="b">
        <f>OR(Таблица1[[#This Row],[Ежемесячный платеж]]&lt;$AC$5, Таблица1[[#This Row],[Ежемесячный платеж]]&gt;$AC$6)</f>
        <v>0</v>
      </c>
      <c r="S1190" s="9">
        <f>(Таблица1[[#This Row],[Размер кредита]]-21824)/(789096-21824)</f>
        <v>0.60419772909737357</v>
      </c>
      <c r="T1190" s="9">
        <f>(Таблица1[[#This Row],[Кредитный рейтинг]]-586)/(751-586)</f>
        <v>0.81818181818181823</v>
      </c>
      <c r="U1190" s="9">
        <f>Таблица1[[#This Row],[Ежемесячный платеж]]/(Таблица1[[#This Row],[Годовой доход]]/12)</f>
        <v>8.2599869162428508E-2</v>
      </c>
    </row>
    <row r="1191" spans="1:21" x14ac:dyDescent="0.3">
      <c r="A1191">
        <v>1190</v>
      </c>
      <c r="B1191">
        <v>0</v>
      </c>
      <c r="C1191" s="9">
        <v>324368</v>
      </c>
      <c r="D1191">
        <v>741</v>
      </c>
      <c r="E1191" s="1">
        <v>1792802</v>
      </c>
      <c r="F1191">
        <v>41</v>
      </c>
      <c r="G1191">
        <v>6797.82</v>
      </c>
      <c r="H1191">
        <v>16</v>
      </c>
      <c r="I1191">
        <v>7</v>
      </c>
      <c r="J1191">
        <v>87381</v>
      </c>
      <c r="K1191">
        <v>346500</v>
      </c>
      <c r="L1191" t="s">
        <v>47</v>
      </c>
      <c r="M1191" t="s">
        <v>1230</v>
      </c>
      <c r="N1191" t="s">
        <v>26</v>
      </c>
      <c r="O1191" t="s">
        <v>34</v>
      </c>
      <c r="P1191" t="s">
        <v>22</v>
      </c>
      <c r="Q1191" t="s">
        <v>36</v>
      </c>
      <c r="R1191" t="b">
        <f>OR(Таблица1[[#This Row],[Ежемесячный платеж]]&lt;$AC$5, Таблица1[[#This Row],[Ежемесячный платеж]]&gt;$AC$6)</f>
        <v>0</v>
      </c>
      <c r="S1191" s="9">
        <f>(Таблица1[[#This Row],[Размер кредита]]-21824)/(789096-21824)</f>
        <v>0.39431127422869594</v>
      </c>
      <c r="T1191" s="9">
        <f>(Таблица1[[#This Row],[Кредитный рейтинг]]-586)/(751-586)</f>
        <v>0.93939393939393945</v>
      </c>
      <c r="U1191" s="9">
        <f>Таблица1[[#This Row],[Ежемесячный платеж]]/(Таблица1[[#This Row],[Годовой доход]]/12)</f>
        <v>4.5500752453422076E-2</v>
      </c>
    </row>
    <row r="1192" spans="1:21" x14ac:dyDescent="0.3">
      <c r="A1192">
        <v>1191</v>
      </c>
      <c r="B1192">
        <v>0</v>
      </c>
      <c r="D1192">
        <v>741</v>
      </c>
      <c r="E1192" s="1">
        <v>1874920</v>
      </c>
      <c r="F1192">
        <v>27</v>
      </c>
      <c r="G1192">
        <v>42341.88</v>
      </c>
      <c r="H1192">
        <v>13.1</v>
      </c>
      <c r="I1192">
        <v>12</v>
      </c>
      <c r="J1192">
        <v>429837</v>
      </c>
      <c r="K1192">
        <v>577390</v>
      </c>
      <c r="L1192" t="s">
        <v>24</v>
      </c>
      <c r="M1192" t="s">
        <v>1231</v>
      </c>
      <c r="N1192" t="s">
        <v>26</v>
      </c>
      <c r="O1192" t="s">
        <v>21</v>
      </c>
      <c r="P1192" t="s">
        <v>22</v>
      </c>
      <c r="Q1192" t="s">
        <v>23</v>
      </c>
      <c r="R1192" t="b">
        <f>OR(Таблица1[[#This Row],[Ежемесячный платеж]]&lt;$AC$5, Таблица1[[#This Row],[Ежемесячный платеж]]&gt;$AC$6)</f>
        <v>0</v>
      </c>
      <c r="T1192" s="9">
        <f>(Таблица1[[#This Row],[Кредитный рейтинг]]-586)/(751-586)</f>
        <v>0.93939393939393945</v>
      </c>
      <c r="U1192" s="9">
        <f>Таблица1[[#This Row],[Ежемесячный платеж]]/(Таблица1[[#This Row],[Годовой доход]]/12)</f>
        <v>0.27099959464937168</v>
      </c>
    </row>
    <row r="1193" spans="1:21" x14ac:dyDescent="0.3">
      <c r="A1193">
        <v>1192</v>
      </c>
      <c r="B1193">
        <v>0</v>
      </c>
      <c r="D1193">
        <v>741</v>
      </c>
      <c r="E1193" s="1">
        <v>865811</v>
      </c>
      <c r="F1193">
        <v>25</v>
      </c>
      <c r="G1193">
        <v>18759.27</v>
      </c>
      <c r="H1193">
        <v>15.1</v>
      </c>
      <c r="I1193">
        <v>15</v>
      </c>
      <c r="J1193">
        <v>230907</v>
      </c>
      <c r="K1193">
        <v>1036354</v>
      </c>
      <c r="L1193" t="s">
        <v>37</v>
      </c>
      <c r="M1193" t="s">
        <v>1232</v>
      </c>
      <c r="N1193" t="s">
        <v>26</v>
      </c>
      <c r="O1193" t="s">
        <v>34</v>
      </c>
      <c r="P1193" t="s">
        <v>22</v>
      </c>
      <c r="Q1193" t="s">
        <v>23</v>
      </c>
      <c r="R1193" t="b">
        <f>OR(Таблица1[[#This Row],[Ежемесячный платеж]]&lt;$AC$5, Таблица1[[#This Row],[Ежемесячный платеж]]&gt;$AC$6)</f>
        <v>0</v>
      </c>
      <c r="T1193" s="9">
        <f>(Таблица1[[#This Row],[Кредитный рейтинг]]-586)/(751-586)</f>
        <v>0.93939393939393945</v>
      </c>
      <c r="U1193" s="9">
        <f>Таблица1[[#This Row],[Ежемесячный платеж]]/(Таблица1[[#This Row],[Годовой доход]]/12)</f>
        <v>0.26000043889486274</v>
      </c>
    </row>
    <row r="1194" spans="1:21" x14ac:dyDescent="0.3">
      <c r="A1194">
        <v>1193</v>
      </c>
      <c r="B1194">
        <v>0</v>
      </c>
      <c r="C1194" s="9">
        <v>264286</v>
      </c>
      <c r="D1194">
        <f>$Y$13</f>
        <v>723</v>
      </c>
      <c r="E1194">
        <f>$AB$13</f>
        <v>1168044</v>
      </c>
      <c r="F1194">
        <v>0</v>
      </c>
      <c r="G1194">
        <v>14784.85</v>
      </c>
      <c r="H1194">
        <v>10.9</v>
      </c>
      <c r="I1194">
        <v>15</v>
      </c>
      <c r="J1194">
        <v>322221</v>
      </c>
      <c r="K1194">
        <v>495484</v>
      </c>
      <c r="L1194" t="s">
        <v>29</v>
      </c>
      <c r="M1194" s="2" t="s">
        <v>1233</v>
      </c>
      <c r="N1194" t="s">
        <v>26</v>
      </c>
      <c r="O1194" t="s">
        <v>34</v>
      </c>
      <c r="P1194" t="s">
        <v>22</v>
      </c>
      <c r="Q1194" t="s">
        <v>23</v>
      </c>
      <c r="R1194" t="b">
        <f>OR(Таблица1[[#This Row],[Ежемесячный платеж]]&lt;$AC$5, Таблица1[[#This Row],[Ежемесячный платеж]]&gt;$AC$6)</f>
        <v>0</v>
      </c>
      <c r="S1194" s="9">
        <f>(Таблица1[[#This Row],[Размер кредита]]-21824)/(789096-21824)</f>
        <v>0.3160052758343847</v>
      </c>
      <c r="T1194" s="9">
        <f>(Таблица1[[#This Row],[Кредитный рейтинг]]-586)/(751-586)</f>
        <v>0.83030303030303032</v>
      </c>
      <c r="U1194" s="9">
        <f>Таблица1[[#This Row],[Ежемесячный платеж]]/(Таблица1[[#This Row],[Годовой доход]]/12)</f>
        <v>0.15189342182315049</v>
      </c>
    </row>
    <row r="1195" spans="1:21" x14ac:dyDescent="0.3">
      <c r="A1195">
        <v>1194</v>
      </c>
      <c r="B1195">
        <v>0</v>
      </c>
      <c r="C1195" s="9">
        <v>605836</v>
      </c>
      <c r="D1195">
        <v>746</v>
      </c>
      <c r="E1195" s="1">
        <v>1950863</v>
      </c>
      <c r="F1195">
        <v>0</v>
      </c>
      <c r="G1195">
        <v>39505.18</v>
      </c>
      <c r="H1195">
        <v>14</v>
      </c>
      <c r="I1195">
        <v>10</v>
      </c>
      <c r="J1195">
        <v>972154</v>
      </c>
      <c r="K1195">
        <v>1437612</v>
      </c>
      <c r="L1195" t="s">
        <v>24</v>
      </c>
      <c r="M1195" t="s">
        <v>1234</v>
      </c>
      <c r="N1195" t="s">
        <v>26</v>
      </c>
      <c r="O1195" t="s">
        <v>21</v>
      </c>
      <c r="P1195" t="s">
        <v>22</v>
      </c>
      <c r="Q1195" t="s">
        <v>23</v>
      </c>
      <c r="R1195" t="b">
        <f>OR(Таблица1[[#This Row],[Ежемесячный платеж]]&lt;$AC$5, Таблица1[[#This Row],[Ежемесячный платеж]]&gt;$AC$6)</f>
        <v>0</v>
      </c>
      <c r="S1195" s="9">
        <f>(Таблица1[[#This Row],[Размер кредита]]-21824)/(789096-21824)</f>
        <v>0.7611538020415185</v>
      </c>
      <c r="T1195" s="9">
        <f>(Таблица1[[#This Row],[Кредитный рейтинг]]-586)/(751-586)</f>
        <v>0.96969696969696972</v>
      </c>
      <c r="U1195" s="9">
        <f>Таблица1[[#This Row],[Ежемесячный платеж]]/(Таблица1[[#This Row],[Годовой доход]]/12)</f>
        <v>0.24300125636705397</v>
      </c>
    </row>
    <row r="1196" spans="1:21" x14ac:dyDescent="0.3">
      <c r="A1196">
        <v>1195</v>
      </c>
      <c r="B1196">
        <v>0</v>
      </c>
      <c r="D1196">
        <v>724</v>
      </c>
      <c r="E1196" s="1">
        <v>1246362</v>
      </c>
      <c r="F1196">
        <v>0</v>
      </c>
      <c r="G1196">
        <v>19007.03</v>
      </c>
      <c r="H1196">
        <v>9.8000000000000007</v>
      </c>
      <c r="I1196">
        <v>12</v>
      </c>
      <c r="J1196">
        <v>271111</v>
      </c>
      <c r="K1196">
        <v>346500</v>
      </c>
      <c r="L1196" t="s">
        <v>69</v>
      </c>
      <c r="M1196" s="2" t="s">
        <v>1235</v>
      </c>
      <c r="N1196" t="s">
        <v>26</v>
      </c>
      <c r="O1196" t="s">
        <v>21</v>
      </c>
      <c r="P1196" t="s">
        <v>22</v>
      </c>
      <c r="Q1196" t="s">
        <v>23</v>
      </c>
      <c r="R1196" t="b">
        <f>OR(Таблица1[[#This Row],[Ежемесячный платеж]]&lt;$AC$5, Таблица1[[#This Row],[Ежемесячный платеж]]&gt;$AC$6)</f>
        <v>0</v>
      </c>
      <c r="T1196" s="9">
        <f>(Таблица1[[#This Row],[Кредитный рейтинг]]-586)/(751-586)</f>
        <v>0.83636363636363631</v>
      </c>
      <c r="U1196" s="9">
        <f>Таблица1[[#This Row],[Ежемесячный платеж]]/(Таблица1[[#This Row],[Годовой доход]]/12)</f>
        <v>0.18300009146620322</v>
      </c>
    </row>
    <row r="1197" spans="1:21" x14ac:dyDescent="0.3">
      <c r="A1197">
        <v>1196</v>
      </c>
      <c r="B1197">
        <v>0</v>
      </c>
      <c r="C1197" s="9">
        <v>223168</v>
      </c>
      <c r="D1197">
        <v>705</v>
      </c>
      <c r="E1197" s="1">
        <v>1252784</v>
      </c>
      <c r="F1197">
        <v>29</v>
      </c>
      <c r="G1197">
        <v>20566.55</v>
      </c>
      <c r="H1197">
        <v>17.8</v>
      </c>
      <c r="I1197">
        <v>26</v>
      </c>
      <c r="J1197">
        <v>236379</v>
      </c>
      <c r="K1197">
        <v>918434</v>
      </c>
      <c r="L1197" t="s">
        <v>52</v>
      </c>
      <c r="M1197" t="s">
        <v>1236</v>
      </c>
      <c r="N1197" t="s">
        <v>2041</v>
      </c>
      <c r="O1197" t="s">
        <v>21</v>
      </c>
      <c r="P1197" t="s">
        <v>31</v>
      </c>
      <c r="Q1197" t="s">
        <v>23</v>
      </c>
      <c r="R1197" t="b">
        <f>OR(Таблица1[[#This Row],[Ежемесячный платеж]]&lt;$AC$5, Таблица1[[#This Row],[Ежемесячный платеж]]&gt;$AC$6)</f>
        <v>0</v>
      </c>
      <c r="S1197" s="9">
        <f>(Таблица1[[#This Row],[Размер кредита]]-21824)/(789096-21824)</f>
        <v>0.26241541461176743</v>
      </c>
      <c r="T1197" s="9">
        <f>(Таблица1[[#This Row],[Кредитный рейтинг]]-586)/(751-586)</f>
        <v>0.72121212121212119</v>
      </c>
      <c r="U1197" s="9">
        <f>Таблица1[[#This Row],[Ежемесячный платеж]]/(Таблица1[[#This Row],[Годовой доход]]/12)</f>
        <v>0.19700012132977432</v>
      </c>
    </row>
    <row r="1198" spans="1:21" x14ac:dyDescent="0.3">
      <c r="A1198">
        <v>1197</v>
      </c>
      <c r="B1198">
        <v>0</v>
      </c>
      <c r="C1198" s="9">
        <v>359392</v>
      </c>
      <c r="D1198">
        <f>$Y$13</f>
        <v>723</v>
      </c>
      <c r="E1198">
        <f>$AB$13</f>
        <v>1168044</v>
      </c>
      <c r="F1198">
        <v>7</v>
      </c>
      <c r="G1198">
        <v>19534.849999999999</v>
      </c>
      <c r="H1198">
        <v>12</v>
      </c>
      <c r="I1198">
        <v>7</v>
      </c>
      <c r="J1198">
        <v>58539</v>
      </c>
      <c r="K1198">
        <v>396440</v>
      </c>
      <c r="L1198" t="s">
        <v>24</v>
      </c>
      <c r="M1198" t="s">
        <v>1237</v>
      </c>
      <c r="N1198" t="s">
        <v>68</v>
      </c>
      <c r="O1198" t="s">
        <v>21</v>
      </c>
      <c r="P1198" t="s">
        <v>31</v>
      </c>
      <c r="Q1198" t="s">
        <v>36</v>
      </c>
      <c r="R1198" t="b">
        <f>OR(Таблица1[[#This Row],[Ежемесячный платеж]]&lt;$AC$5, Таблица1[[#This Row],[Ежемесячный платеж]]&gt;$AC$6)</f>
        <v>0</v>
      </c>
      <c r="S1198" s="9">
        <f>(Таблица1[[#This Row],[Размер кредита]]-21824)/(789096-21824)</f>
        <v>0.43995871086133731</v>
      </c>
      <c r="T1198" s="9">
        <f>(Таблица1[[#This Row],[Кредитный рейтинг]]-586)/(751-586)</f>
        <v>0.83030303030303032</v>
      </c>
      <c r="U1198" s="9">
        <f>Таблица1[[#This Row],[Ежемесячный платеж]]/(Таблица1[[#This Row],[Годовой доход]]/12)</f>
        <v>0.20069295334764783</v>
      </c>
    </row>
    <row r="1199" spans="1:21" x14ac:dyDescent="0.3">
      <c r="A1199">
        <v>1198</v>
      </c>
      <c r="B1199">
        <v>0</v>
      </c>
      <c r="D1199">
        <v>741</v>
      </c>
      <c r="E1199" s="1">
        <v>1652316</v>
      </c>
      <c r="F1199">
        <v>0</v>
      </c>
      <c r="G1199">
        <v>29879.21</v>
      </c>
      <c r="H1199">
        <v>13.7</v>
      </c>
      <c r="I1199">
        <v>14</v>
      </c>
      <c r="J1199">
        <v>286520</v>
      </c>
      <c r="K1199">
        <v>713482</v>
      </c>
      <c r="L1199" t="s">
        <v>41</v>
      </c>
      <c r="M1199" t="s">
        <v>1238</v>
      </c>
      <c r="N1199" t="s">
        <v>26</v>
      </c>
      <c r="O1199" t="s">
        <v>34</v>
      </c>
      <c r="P1199" t="s">
        <v>22</v>
      </c>
      <c r="Q1199" t="s">
        <v>23</v>
      </c>
      <c r="R1199" t="b">
        <f>OR(Таблица1[[#This Row],[Ежемесячный платеж]]&lt;$AC$5, Таблица1[[#This Row],[Ежемесячный платеж]]&gt;$AC$6)</f>
        <v>0</v>
      </c>
      <c r="T1199" s="9">
        <f>(Таблица1[[#This Row],[Кредитный рейтинг]]-586)/(751-586)</f>
        <v>0.93939393939393945</v>
      </c>
      <c r="U1199" s="9">
        <f>Таблица1[[#This Row],[Ежемесячный платеж]]/(Таблица1[[#This Row],[Годовой доход]]/12)</f>
        <v>0.2169987581068028</v>
      </c>
    </row>
    <row r="1200" spans="1:21" x14ac:dyDescent="0.3">
      <c r="A1200">
        <v>1199</v>
      </c>
      <c r="B1200">
        <v>0</v>
      </c>
      <c r="D1200">
        <v>744</v>
      </c>
      <c r="E1200" s="1">
        <v>2009573</v>
      </c>
      <c r="F1200">
        <v>57</v>
      </c>
      <c r="G1200">
        <v>4471.46</v>
      </c>
      <c r="H1200">
        <v>19</v>
      </c>
      <c r="I1200">
        <v>3</v>
      </c>
      <c r="J1200">
        <v>136800</v>
      </c>
      <c r="K1200">
        <v>477114</v>
      </c>
      <c r="L1200" t="s">
        <v>24</v>
      </c>
      <c r="M1200" t="s">
        <v>1239</v>
      </c>
      <c r="N1200" t="s">
        <v>26</v>
      </c>
      <c r="O1200" t="s">
        <v>34</v>
      </c>
      <c r="P1200" t="s">
        <v>22</v>
      </c>
      <c r="Q1200" t="s">
        <v>23</v>
      </c>
      <c r="R1200" t="b">
        <f>OR(Таблица1[[#This Row],[Ежемесячный платеж]]&lt;$AC$5, Таблица1[[#This Row],[Ежемесячный платеж]]&gt;$AC$6)</f>
        <v>0</v>
      </c>
      <c r="T1200" s="9">
        <f>(Таблица1[[#This Row],[Кредитный рейтинг]]-586)/(751-586)</f>
        <v>0.95757575757575752</v>
      </c>
      <c r="U1200" s="9">
        <f>Таблица1[[#This Row],[Ежемесячный платеж]]/(Таблица1[[#This Row],[Годовой доход]]/12)</f>
        <v>2.6700955874705723E-2</v>
      </c>
    </row>
    <row r="1201" spans="1:21" x14ac:dyDescent="0.3">
      <c r="A1201">
        <v>1200</v>
      </c>
      <c r="B1201">
        <v>0</v>
      </c>
      <c r="C1201" s="9">
        <v>343552</v>
      </c>
      <c r="D1201">
        <f>$Y$13</f>
        <v>723</v>
      </c>
      <c r="E1201">
        <f>$AB$13</f>
        <v>1168044</v>
      </c>
      <c r="F1201">
        <v>41</v>
      </c>
      <c r="G1201">
        <v>12334.23</v>
      </c>
      <c r="H1201">
        <v>18</v>
      </c>
      <c r="I1201">
        <v>7</v>
      </c>
      <c r="J1201">
        <v>160550</v>
      </c>
      <c r="K1201">
        <v>242704</v>
      </c>
      <c r="L1201" t="s">
        <v>69</v>
      </c>
      <c r="M1201" t="s">
        <v>1240</v>
      </c>
      <c r="N1201" t="s">
        <v>26</v>
      </c>
      <c r="O1201" t="s">
        <v>21</v>
      </c>
      <c r="P1201" t="s">
        <v>22</v>
      </c>
      <c r="Q1201" t="s">
        <v>23</v>
      </c>
      <c r="R1201" t="b">
        <f>OR(Таблица1[[#This Row],[Ежемесячный платеж]]&lt;$AC$5, Таблица1[[#This Row],[Ежемесячный платеж]]&gt;$AC$6)</f>
        <v>0</v>
      </c>
      <c r="S1201" s="9">
        <f>(Таблица1[[#This Row],[Размер кредита]]-21824)/(789096-21824)</f>
        <v>0.41931414152999197</v>
      </c>
      <c r="T1201" s="9">
        <f>(Таблица1[[#This Row],[Кредитный рейтинг]]-586)/(751-586)</f>
        <v>0.83030303030303032</v>
      </c>
      <c r="U1201" s="9">
        <f>Таблица1[[#This Row],[Ежемесячный платеж]]/(Таблица1[[#This Row],[Годовой доход]]/12)</f>
        <v>0.12671676751903183</v>
      </c>
    </row>
    <row r="1202" spans="1:21" x14ac:dyDescent="0.3">
      <c r="A1202">
        <v>1201</v>
      </c>
      <c r="B1202">
        <v>0</v>
      </c>
      <c r="C1202" s="9">
        <v>415910</v>
      </c>
      <c r="D1202">
        <v>693</v>
      </c>
      <c r="E1202" s="1">
        <v>1126890</v>
      </c>
      <c r="F1202">
        <v>17</v>
      </c>
      <c r="G1202">
        <v>12301.93</v>
      </c>
      <c r="H1202">
        <v>12.2</v>
      </c>
      <c r="I1202">
        <v>7</v>
      </c>
      <c r="J1202">
        <v>221635</v>
      </c>
      <c r="K1202">
        <v>263230</v>
      </c>
      <c r="L1202" t="s">
        <v>69</v>
      </c>
      <c r="M1202" t="s">
        <v>1241</v>
      </c>
      <c r="N1202" t="s">
        <v>20</v>
      </c>
      <c r="O1202" t="s">
        <v>21</v>
      </c>
      <c r="P1202" t="s">
        <v>22</v>
      </c>
      <c r="Q1202" t="s">
        <v>36</v>
      </c>
      <c r="R1202" t="b">
        <f>OR(Таблица1[[#This Row],[Ежемесячный платеж]]&lt;$AC$5, Таблица1[[#This Row],[Ежемесячный платеж]]&gt;$AC$6)</f>
        <v>0</v>
      </c>
      <c r="S1202" s="9">
        <f>(Таблица1[[#This Row],[Размер кредита]]-21824)/(789096-21824)</f>
        <v>0.51361968115609591</v>
      </c>
      <c r="T1202" s="9">
        <f>(Таблица1[[#This Row],[Кредитный рейтинг]]-586)/(751-586)</f>
        <v>0.64848484848484844</v>
      </c>
      <c r="U1202" s="9">
        <f>Таблица1[[#This Row],[Ежемесячный платеж]]/(Таблица1[[#This Row],[Годовой доход]]/12)</f>
        <v>0.13100050581689429</v>
      </c>
    </row>
    <row r="1203" spans="1:21" x14ac:dyDescent="0.3">
      <c r="A1203">
        <v>1202</v>
      </c>
      <c r="B1203">
        <v>0</v>
      </c>
      <c r="C1203" s="9">
        <v>424468</v>
      </c>
      <c r="D1203">
        <f>$Y$13</f>
        <v>723</v>
      </c>
      <c r="E1203">
        <f>$AB$13</f>
        <v>1168044</v>
      </c>
      <c r="F1203">
        <v>0</v>
      </c>
      <c r="G1203">
        <v>23842.53</v>
      </c>
      <c r="H1203">
        <v>13</v>
      </c>
      <c r="I1203">
        <v>11</v>
      </c>
      <c r="J1203">
        <v>192014</v>
      </c>
      <c r="K1203">
        <v>274164</v>
      </c>
      <c r="L1203" t="s">
        <v>32</v>
      </c>
      <c r="M1203" t="s">
        <v>1242</v>
      </c>
      <c r="N1203" t="s">
        <v>26</v>
      </c>
      <c r="O1203" t="s">
        <v>21</v>
      </c>
      <c r="P1203" t="s">
        <v>22</v>
      </c>
      <c r="Q1203" t="s">
        <v>36</v>
      </c>
      <c r="R1203" t="b">
        <f>OR(Таблица1[[#This Row],[Ежемесячный платеж]]&lt;$AC$5, Таблица1[[#This Row],[Ежемесячный платеж]]&gt;$AC$6)</f>
        <v>0</v>
      </c>
      <c r="S1203" s="9">
        <f>(Таблица1[[#This Row],[Размер кредита]]-21824)/(789096-21824)</f>
        <v>0.52477348319761441</v>
      </c>
      <c r="T1203" s="9">
        <f>(Таблица1[[#This Row],[Кредитный рейтинг]]-586)/(751-586)</f>
        <v>0.83030303030303032</v>
      </c>
      <c r="U1203" s="9">
        <f>Таблица1[[#This Row],[Ежемесячный платеж]]/(Таблица1[[#This Row],[Годовой доход]]/12)</f>
        <v>0.24494827249658402</v>
      </c>
    </row>
    <row r="1204" spans="1:21" x14ac:dyDescent="0.3">
      <c r="A1204">
        <v>1203</v>
      </c>
      <c r="B1204">
        <v>0</v>
      </c>
      <c r="C1204" s="9">
        <v>324060</v>
      </c>
      <c r="D1204">
        <v>683</v>
      </c>
      <c r="E1204" s="1">
        <v>699656</v>
      </c>
      <c r="F1204">
        <v>78</v>
      </c>
      <c r="G1204">
        <v>15509.13</v>
      </c>
      <c r="H1204">
        <v>22</v>
      </c>
      <c r="I1204">
        <v>9</v>
      </c>
      <c r="J1204">
        <v>247646</v>
      </c>
      <c r="K1204">
        <v>669966</v>
      </c>
      <c r="L1204" t="s">
        <v>24</v>
      </c>
      <c r="M1204" t="s">
        <v>1243</v>
      </c>
      <c r="N1204" t="s">
        <v>26</v>
      </c>
      <c r="O1204" t="s">
        <v>28</v>
      </c>
      <c r="P1204" t="s">
        <v>31</v>
      </c>
      <c r="Q1204" t="s">
        <v>23</v>
      </c>
      <c r="R1204" t="b">
        <f>OR(Таблица1[[#This Row],[Ежемесячный платеж]]&lt;$AC$5, Таблица1[[#This Row],[Ежемесячный платеж]]&gt;$AC$6)</f>
        <v>0</v>
      </c>
      <c r="S1204" s="9">
        <f>(Таблица1[[#This Row],[Размер кредита]]-21824)/(789096-21824)</f>
        <v>0.39390985204725315</v>
      </c>
      <c r="T1204" s="9">
        <f>(Таблица1[[#This Row],[Кредитный рейтинг]]-586)/(751-586)</f>
        <v>0.58787878787878789</v>
      </c>
      <c r="U1204" s="9">
        <f>Таблица1[[#This Row],[Ежемесячный платеж]]/(Таблица1[[#This Row],[Годовой доход]]/12)</f>
        <v>0.26600152074733868</v>
      </c>
    </row>
    <row r="1205" spans="1:21" x14ac:dyDescent="0.3">
      <c r="A1205">
        <v>1204</v>
      </c>
      <c r="B1205">
        <v>0</v>
      </c>
      <c r="D1205">
        <v>742</v>
      </c>
      <c r="E1205" s="1">
        <v>1400186</v>
      </c>
      <c r="F1205">
        <v>0</v>
      </c>
      <c r="G1205">
        <v>25203.119999999999</v>
      </c>
      <c r="H1205">
        <v>32.6</v>
      </c>
      <c r="I1205">
        <v>24</v>
      </c>
      <c r="J1205">
        <v>1021231</v>
      </c>
      <c r="K1205">
        <v>1504426</v>
      </c>
      <c r="L1205" t="s">
        <v>24</v>
      </c>
      <c r="M1205" t="s">
        <v>1244</v>
      </c>
      <c r="N1205" t="s">
        <v>68</v>
      </c>
      <c r="O1205" t="s">
        <v>21</v>
      </c>
      <c r="P1205" t="s">
        <v>22</v>
      </c>
      <c r="Q1205" t="s">
        <v>23</v>
      </c>
      <c r="R1205" t="b">
        <f>OR(Таблица1[[#This Row],[Ежемесячный платеж]]&lt;$AC$5, Таблица1[[#This Row],[Ежемесячный платеж]]&gt;$AC$6)</f>
        <v>0</v>
      </c>
      <c r="T1205" s="9">
        <f>(Таблица1[[#This Row],[Кредитный рейтинг]]-586)/(751-586)</f>
        <v>0.94545454545454544</v>
      </c>
      <c r="U1205" s="9">
        <f>Таблица1[[#This Row],[Ежемесячный платеж]]/(Таблица1[[#This Row],[Годовой доход]]/12)</f>
        <v>0.21599804597389202</v>
      </c>
    </row>
    <row r="1206" spans="1:21" x14ac:dyDescent="0.3">
      <c r="A1206">
        <v>1205</v>
      </c>
      <c r="B1206">
        <v>0</v>
      </c>
      <c r="C1206" s="9">
        <v>251614</v>
      </c>
      <c r="D1206">
        <f>$Y$13</f>
        <v>723</v>
      </c>
      <c r="E1206">
        <f>$AB$13</f>
        <v>1168044</v>
      </c>
      <c r="F1206">
        <v>63</v>
      </c>
      <c r="G1206">
        <v>5009.7299999999996</v>
      </c>
      <c r="H1206">
        <v>14</v>
      </c>
      <c r="I1206">
        <v>6</v>
      </c>
      <c r="J1206">
        <v>237424</v>
      </c>
      <c r="K1206">
        <v>356554</v>
      </c>
      <c r="L1206" t="s">
        <v>24</v>
      </c>
      <c r="M1206" t="s">
        <v>1245</v>
      </c>
      <c r="N1206" t="s">
        <v>26</v>
      </c>
      <c r="O1206" t="s">
        <v>34</v>
      </c>
      <c r="P1206" t="s">
        <v>22</v>
      </c>
      <c r="Q1206" t="s">
        <v>23</v>
      </c>
      <c r="R1206" t="b">
        <f>OR(Таблица1[[#This Row],[Ежемесячный платеж]]&lt;$AC$5, Таблица1[[#This Row],[Ежемесячный платеж]]&gt;$AC$6)</f>
        <v>0</v>
      </c>
      <c r="S1206" s="9">
        <f>(Таблица1[[#This Row],[Размер кредита]]-21824)/(789096-21824)</f>
        <v>0.29948962036930843</v>
      </c>
      <c r="T1206" s="9">
        <f>(Таблица1[[#This Row],[Кредитный рейтинг]]-586)/(751-586)</f>
        <v>0.83030303030303032</v>
      </c>
      <c r="U1206" s="9">
        <f>Таблица1[[#This Row],[Ежемесячный платеж]]/(Таблица1[[#This Row],[Годовой доход]]/12)</f>
        <v>5.1467889908256875E-2</v>
      </c>
    </row>
    <row r="1207" spans="1:21" x14ac:dyDescent="0.3">
      <c r="A1207">
        <v>1206</v>
      </c>
      <c r="B1207">
        <v>1</v>
      </c>
      <c r="C1207" s="9">
        <v>412060</v>
      </c>
      <c r="D1207">
        <f>$Y$13</f>
        <v>723</v>
      </c>
      <c r="E1207">
        <f>$AB$13</f>
        <v>1168044</v>
      </c>
      <c r="F1207">
        <v>0</v>
      </c>
      <c r="G1207">
        <v>15418.5</v>
      </c>
      <c r="H1207">
        <v>25.5</v>
      </c>
      <c r="I1207">
        <v>11</v>
      </c>
      <c r="J1207">
        <v>270883</v>
      </c>
      <c r="K1207">
        <v>472384</v>
      </c>
      <c r="L1207" t="s">
        <v>24</v>
      </c>
      <c r="M1207" t="s">
        <v>1246</v>
      </c>
      <c r="N1207" t="s">
        <v>26</v>
      </c>
      <c r="O1207" t="s">
        <v>21</v>
      </c>
      <c r="P1207" t="s">
        <v>31</v>
      </c>
      <c r="Q1207" t="s">
        <v>36</v>
      </c>
      <c r="R1207" t="b">
        <f>OR(Таблица1[[#This Row],[Ежемесячный платеж]]&lt;$AC$5, Таблица1[[#This Row],[Ежемесячный платеж]]&gt;$AC$6)</f>
        <v>0</v>
      </c>
      <c r="S1207" s="9">
        <f>(Таблица1[[#This Row],[Размер кредита]]-21824)/(789096-21824)</f>
        <v>0.50860190388806059</v>
      </c>
      <c r="T1207" s="9">
        <f>(Таблица1[[#This Row],[Кредитный рейтинг]]-586)/(751-586)</f>
        <v>0.83030303030303032</v>
      </c>
      <c r="U1207" s="9">
        <f>Таблица1[[#This Row],[Ежемесячный платеж]]/(Таблица1[[#This Row],[Годовой доход]]/12)</f>
        <v>0.15840327932851844</v>
      </c>
    </row>
    <row r="1208" spans="1:21" x14ac:dyDescent="0.3">
      <c r="A1208">
        <v>1207</v>
      </c>
      <c r="B1208">
        <v>1</v>
      </c>
      <c r="C1208" s="9">
        <v>39006</v>
      </c>
      <c r="D1208">
        <v>717</v>
      </c>
      <c r="E1208" s="1">
        <v>291992</v>
      </c>
      <c r="F1208">
        <v>43</v>
      </c>
      <c r="G1208">
        <v>6034.4</v>
      </c>
      <c r="H1208">
        <v>22</v>
      </c>
      <c r="I1208">
        <v>8</v>
      </c>
      <c r="J1208">
        <v>27512</v>
      </c>
      <c r="K1208">
        <v>201630</v>
      </c>
      <c r="L1208" t="s">
        <v>24</v>
      </c>
      <c r="M1208" t="s">
        <v>1247</v>
      </c>
      <c r="N1208" t="s">
        <v>26</v>
      </c>
      <c r="O1208" t="s">
        <v>34</v>
      </c>
      <c r="P1208" t="s">
        <v>22</v>
      </c>
      <c r="Q1208" t="s">
        <v>23</v>
      </c>
      <c r="R1208" t="b">
        <f>OR(Таблица1[[#This Row],[Ежемесячный платеж]]&lt;$AC$5, Таблица1[[#This Row],[Ежемесячный платеж]]&gt;$AC$6)</f>
        <v>0</v>
      </c>
      <c r="S1208" s="9">
        <f>(Таблица1[[#This Row],[Размер кредита]]-21824)/(789096-21824)</f>
        <v>2.2393623121917651E-2</v>
      </c>
      <c r="T1208" s="9">
        <f>(Таблица1[[#This Row],[Кредитный рейтинг]]-586)/(751-586)</f>
        <v>0.79393939393939394</v>
      </c>
      <c r="U1208" s="9">
        <f>Таблица1[[#This Row],[Ежемесячный платеж]]/(Таблица1[[#This Row],[Годовой доход]]/12)</f>
        <v>0.2479958355023425</v>
      </c>
    </row>
    <row r="1209" spans="1:21" x14ac:dyDescent="0.3">
      <c r="A1209">
        <v>1208</v>
      </c>
      <c r="B1209">
        <v>0</v>
      </c>
      <c r="C1209" s="9">
        <v>67276</v>
      </c>
      <c r="D1209">
        <f>$Y$13</f>
        <v>723</v>
      </c>
      <c r="E1209">
        <f>$AB$13</f>
        <v>1168044</v>
      </c>
      <c r="F1209">
        <v>46</v>
      </c>
      <c r="G1209">
        <v>402.8</v>
      </c>
      <c r="H1209">
        <v>17.100000000000001</v>
      </c>
      <c r="I1209">
        <v>16</v>
      </c>
      <c r="J1209">
        <v>16283</v>
      </c>
      <c r="K1209">
        <v>38104</v>
      </c>
      <c r="L1209" t="s">
        <v>37</v>
      </c>
      <c r="M1209" t="s">
        <v>1248</v>
      </c>
      <c r="N1209" t="s">
        <v>68</v>
      </c>
      <c r="O1209" t="s">
        <v>34</v>
      </c>
      <c r="P1209" t="s">
        <v>22</v>
      </c>
      <c r="Q1209" t="s">
        <v>23</v>
      </c>
      <c r="R1209" t="b">
        <f>OR(Таблица1[[#This Row],[Ежемесячный платеж]]&lt;$AC$5, Таблица1[[#This Row],[Ежемесячный платеж]]&gt;$AC$6)</f>
        <v>0</v>
      </c>
      <c r="S1209" s="9">
        <f>(Таблица1[[#This Row],[Размер кредита]]-21824)/(789096-21824)</f>
        <v>5.9238444775777041E-2</v>
      </c>
      <c r="T1209" s="9">
        <f>(Таблица1[[#This Row],[Кредитный рейтинг]]-586)/(751-586)</f>
        <v>0.83030303030303032</v>
      </c>
      <c r="U1209" s="9">
        <f>Таблица1[[#This Row],[Ежемесячный платеж]]/(Таблица1[[#This Row],[Годовой доход]]/12)</f>
        <v>4.1382002732773763E-3</v>
      </c>
    </row>
    <row r="1210" spans="1:21" x14ac:dyDescent="0.3">
      <c r="A1210">
        <v>1209</v>
      </c>
      <c r="B1210">
        <v>0</v>
      </c>
      <c r="C1210" s="9">
        <v>175010</v>
      </c>
      <c r="D1210">
        <f>$Y$13</f>
        <v>723</v>
      </c>
      <c r="E1210">
        <f>$AB$13</f>
        <v>1168044</v>
      </c>
      <c r="F1210">
        <v>59</v>
      </c>
      <c r="G1210">
        <v>23390.33</v>
      </c>
      <c r="H1210">
        <v>24</v>
      </c>
      <c r="I1210">
        <v>10</v>
      </c>
      <c r="J1210">
        <v>677521</v>
      </c>
      <c r="K1210">
        <v>809600</v>
      </c>
      <c r="L1210" t="s">
        <v>47</v>
      </c>
      <c r="M1210" t="s">
        <v>1249</v>
      </c>
      <c r="N1210" t="s">
        <v>26</v>
      </c>
      <c r="O1210" t="s">
        <v>21</v>
      </c>
      <c r="P1210" t="s">
        <v>22</v>
      </c>
      <c r="Q1210" t="s">
        <v>23</v>
      </c>
      <c r="R1210" t="b">
        <f>OR(Таблица1[[#This Row],[Ежемесячный платеж]]&lt;$AC$5, Таблица1[[#This Row],[Ежемесячный платеж]]&gt;$AC$6)</f>
        <v>0</v>
      </c>
      <c r="S1210" s="9">
        <f>(Таблица1[[#This Row],[Размер кредита]]-21824)/(789096-21824)</f>
        <v>0.19965018924188555</v>
      </c>
      <c r="T1210" s="9">
        <f>(Таблица1[[#This Row],[Кредитный рейтинг]]-586)/(751-586)</f>
        <v>0.83030303030303032</v>
      </c>
      <c r="U1210" s="9">
        <f>Таблица1[[#This Row],[Ежемесячный платеж]]/(Таблица1[[#This Row],[Годовой доход]]/12)</f>
        <v>0.2403025570954519</v>
      </c>
    </row>
    <row r="1211" spans="1:21" x14ac:dyDescent="0.3">
      <c r="A1211">
        <v>1210</v>
      </c>
      <c r="B1211">
        <v>0</v>
      </c>
      <c r="C1211" s="9">
        <v>232760</v>
      </c>
      <c r="D1211">
        <v>725</v>
      </c>
      <c r="E1211" s="1">
        <v>654493</v>
      </c>
      <c r="F1211">
        <v>51</v>
      </c>
      <c r="G1211">
        <v>13526.1</v>
      </c>
      <c r="H1211">
        <v>20.8</v>
      </c>
      <c r="I1211">
        <v>17</v>
      </c>
      <c r="J1211">
        <v>359195</v>
      </c>
      <c r="K1211">
        <v>938828</v>
      </c>
      <c r="L1211" t="s">
        <v>24</v>
      </c>
      <c r="M1211" t="s">
        <v>1250</v>
      </c>
      <c r="N1211" t="s">
        <v>26</v>
      </c>
      <c r="O1211" t="s">
        <v>21</v>
      </c>
      <c r="P1211" t="s">
        <v>22</v>
      </c>
      <c r="Q1211" t="s">
        <v>36</v>
      </c>
      <c r="R1211" t="b">
        <f>OR(Таблица1[[#This Row],[Ежемесячный платеж]]&lt;$AC$5, Таблица1[[#This Row],[Ежемесячный платеж]]&gt;$AC$6)</f>
        <v>0</v>
      </c>
      <c r="S1211" s="9">
        <f>(Таблица1[[#This Row],[Размер кредита]]-21824)/(789096-21824)</f>
        <v>0.27491684826241541</v>
      </c>
      <c r="T1211" s="9">
        <f>(Таблица1[[#This Row],[Кредитный рейтинг]]-586)/(751-586)</f>
        <v>0.84242424242424241</v>
      </c>
      <c r="U1211" s="9">
        <f>Таблица1[[#This Row],[Ежемесячный платеж]]/(Таблица1[[#This Row],[Годовой доход]]/12)</f>
        <v>0.24799837431416377</v>
      </c>
    </row>
    <row r="1212" spans="1:21" x14ac:dyDescent="0.3">
      <c r="A1212">
        <v>1211</v>
      </c>
      <c r="B1212">
        <v>0</v>
      </c>
      <c r="C1212" s="9">
        <v>176528</v>
      </c>
      <c r="D1212">
        <v>702</v>
      </c>
      <c r="E1212" s="1">
        <v>1010021</v>
      </c>
      <c r="F1212">
        <v>0</v>
      </c>
      <c r="G1212">
        <v>4957.4799999999996</v>
      </c>
      <c r="H1212">
        <v>18.3</v>
      </c>
      <c r="I1212">
        <v>8</v>
      </c>
      <c r="J1212">
        <v>68096</v>
      </c>
      <c r="K1212">
        <v>463782</v>
      </c>
      <c r="L1212" t="s">
        <v>29</v>
      </c>
      <c r="M1212" t="s">
        <v>1251</v>
      </c>
      <c r="N1212" t="s">
        <v>26</v>
      </c>
      <c r="O1212" t="s">
        <v>21</v>
      </c>
      <c r="P1212" t="s">
        <v>22</v>
      </c>
      <c r="Q1212" t="s">
        <v>23</v>
      </c>
      <c r="R1212" t="b">
        <f>OR(Таблица1[[#This Row],[Ежемесячный платеж]]&lt;$AC$5, Таблица1[[#This Row],[Ежемесячный платеж]]&gt;$AC$6)</f>
        <v>0</v>
      </c>
      <c r="S1212" s="9">
        <f>(Таблица1[[#This Row],[Размер кредита]]-21824)/(789096-21824)</f>
        <v>0.20162862713613947</v>
      </c>
      <c r="T1212" s="9">
        <f>(Таблица1[[#This Row],[Кредитный рейтинг]]-586)/(751-586)</f>
        <v>0.70303030303030301</v>
      </c>
      <c r="U1212" s="9">
        <f>Таблица1[[#This Row],[Ежемесячный платеж]]/(Таблица1[[#This Row],[Годовой доход]]/12)</f>
        <v>5.8899527831599532E-2</v>
      </c>
    </row>
    <row r="1213" spans="1:21" x14ac:dyDescent="0.3">
      <c r="A1213">
        <v>1212</v>
      </c>
      <c r="B1213">
        <v>0</v>
      </c>
      <c r="C1213" s="9">
        <v>338162</v>
      </c>
      <c r="D1213">
        <v>695</v>
      </c>
      <c r="E1213" s="1">
        <v>753692</v>
      </c>
      <c r="F1213">
        <v>0</v>
      </c>
      <c r="G1213">
        <v>21040.6</v>
      </c>
      <c r="H1213">
        <v>19.2</v>
      </c>
      <c r="I1213">
        <v>14</v>
      </c>
      <c r="J1213">
        <v>524533</v>
      </c>
      <c r="K1213">
        <v>654478</v>
      </c>
      <c r="L1213" t="s">
        <v>69</v>
      </c>
      <c r="M1213" t="s">
        <v>1252</v>
      </c>
      <c r="N1213" t="s">
        <v>26</v>
      </c>
      <c r="O1213" t="s">
        <v>34</v>
      </c>
      <c r="P1213" t="s">
        <v>22</v>
      </c>
      <c r="Q1213" t="s">
        <v>23</v>
      </c>
      <c r="R1213" t="b">
        <f>OR(Таблица1[[#This Row],[Ежемесячный платеж]]&lt;$AC$5, Таблица1[[#This Row],[Ежемесячный платеж]]&gt;$AC$6)</f>
        <v>0</v>
      </c>
      <c r="S1213" s="9">
        <f>(Таблица1[[#This Row],[Размер кредита]]-21824)/(789096-21824)</f>
        <v>0.41228925335474254</v>
      </c>
      <c r="T1213" s="9">
        <f>(Таблица1[[#This Row],[Кредитный рейтинг]]-586)/(751-586)</f>
        <v>0.66060606060606064</v>
      </c>
      <c r="U1213" s="9">
        <f>Таблица1[[#This Row],[Ежемесячный платеж]]/(Таблица1[[#This Row],[Годовой доход]]/12)</f>
        <v>0.33500050418473326</v>
      </c>
    </row>
    <row r="1214" spans="1:21" x14ac:dyDescent="0.3">
      <c r="A1214">
        <v>1213</v>
      </c>
      <c r="B1214">
        <v>0</v>
      </c>
      <c r="C1214" s="9">
        <v>486002</v>
      </c>
      <c r="D1214">
        <v>688</v>
      </c>
      <c r="E1214" s="1">
        <v>1217957</v>
      </c>
      <c r="F1214">
        <v>0</v>
      </c>
      <c r="G1214">
        <v>24866.63</v>
      </c>
      <c r="H1214">
        <v>18</v>
      </c>
      <c r="I1214">
        <v>12</v>
      </c>
      <c r="J1214">
        <v>511917</v>
      </c>
      <c r="K1214">
        <v>614240</v>
      </c>
      <c r="L1214" t="s">
        <v>37</v>
      </c>
      <c r="M1214" t="s">
        <v>1253</v>
      </c>
      <c r="N1214" t="s">
        <v>26</v>
      </c>
      <c r="O1214" t="s">
        <v>34</v>
      </c>
      <c r="P1214" t="s">
        <v>31</v>
      </c>
      <c r="Q1214" t="s">
        <v>23</v>
      </c>
      <c r="R1214" t="b">
        <f>OR(Таблица1[[#This Row],[Ежемесячный платеж]]&lt;$AC$5, Таблица1[[#This Row],[Ежемесячный платеж]]&gt;$AC$6)</f>
        <v>0</v>
      </c>
      <c r="S1214" s="9">
        <f>(Таблица1[[#This Row],[Размер кредита]]-21824)/(789096-21824)</f>
        <v>0.60497190044729898</v>
      </c>
      <c r="T1214" s="9">
        <f>(Таблица1[[#This Row],[Кредитный рейтинг]]-586)/(751-586)</f>
        <v>0.61818181818181817</v>
      </c>
      <c r="U1214" s="9">
        <f>Таблица1[[#This Row],[Ежемесячный платеж]]/(Таблица1[[#This Row],[Годовой доход]]/12)</f>
        <v>0.2450000779994696</v>
      </c>
    </row>
    <row r="1215" spans="1:21" x14ac:dyDescent="0.3">
      <c r="A1215">
        <v>1214</v>
      </c>
      <c r="B1215">
        <v>1</v>
      </c>
      <c r="C1215" s="9">
        <v>46596</v>
      </c>
      <c r="D1215">
        <v>705</v>
      </c>
      <c r="E1215" s="1">
        <v>692664</v>
      </c>
      <c r="F1215">
        <v>0</v>
      </c>
      <c r="G1215">
        <v>10274.44</v>
      </c>
      <c r="H1215">
        <v>16.399999999999999</v>
      </c>
      <c r="I1215">
        <v>11</v>
      </c>
      <c r="J1215">
        <v>37430</v>
      </c>
      <c r="K1215">
        <v>361086</v>
      </c>
      <c r="L1215" t="s">
        <v>41</v>
      </c>
      <c r="M1215" t="s">
        <v>1254</v>
      </c>
      <c r="N1215" t="s">
        <v>26</v>
      </c>
      <c r="O1215" t="s">
        <v>34</v>
      </c>
      <c r="P1215" t="s">
        <v>22</v>
      </c>
      <c r="Q1215" t="s">
        <v>23</v>
      </c>
      <c r="R1215" t="b">
        <f>OR(Таблица1[[#This Row],[Ежемесячный платеж]]&lt;$AC$5, Таблица1[[#This Row],[Ежемесячный платеж]]&gt;$AC$6)</f>
        <v>0</v>
      </c>
      <c r="S1215" s="9">
        <f>(Таблица1[[#This Row],[Размер кредита]]-21824)/(789096-21824)</f>
        <v>3.2285812593187295E-2</v>
      </c>
      <c r="T1215" s="9">
        <f>(Таблица1[[#This Row],[Кредитный рейтинг]]-586)/(751-586)</f>
        <v>0.72121212121212119</v>
      </c>
      <c r="U1215" s="9">
        <f>Таблица1[[#This Row],[Ежемесячный платеж]]/(Таблица1[[#This Row],[Годовой доход]]/12)</f>
        <v>0.17799868334430546</v>
      </c>
    </row>
    <row r="1216" spans="1:21" x14ac:dyDescent="0.3">
      <c r="A1216">
        <v>1215</v>
      </c>
      <c r="B1216">
        <v>0</v>
      </c>
      <c r="C1216" s="9">
        <v>311960</v>
      </c>
      <c r="D1216">
        <v>702</v>
      </c>
      <c r="E1216" s="1">
        <v>1393517</v>
      </c>
      <c r="F1216">
        <v>58</v>
      </c>
      <c r="G1216">
        <v>8779.14</v>
      </c>
      <c r="H1216">
        <v>13.5</v>
      </c>
      <c r="I1216">
        <v>14</v>
      </c>
      <c r="J1216">
        <v>115349</v>
      </c>
      <c r="K1216">
        <v>344212</v>
      </c>
      <c r="L1216" t="s">
        <v>24</v>
      </c>
      <c r="M1216" t="s">
        <v>1255</v>
      </c>
      <c r="N1216" t="s">
        <v>26</v>
      </c>
      <c r="O1216" t="s">
        <v>21</v>
      </c>
      <c r="P1216" t="s">
        <v>31</v>
      </c>
      <c r="Q1216" t="s">
        <v>23</v>
      </c>
      <c r="R1216" t="b">
        <f>OR(Таблица1[[#This Row],[Ежемесячный платеж]]&lt;$AC$5, Таблица1[[#This Row],[Ежемесячный платеж]]&gt;$AC$6)</f>
        <v>0</v>
      </c>
      <c r="S1216" s="9">
        <f>(Таблица1[[#This Row],[Размер кредита]]-21824)/(789096-21824)</f>
        <v>0.37813969491914212</v>
      </c>
      <c r="T1216" s="9">
        <f>(Таблица1[[#This Row],[Кредитный рейтинг]]-586)/(751-586)</f>
        <v>0.70303030303030301</v>
      </c>
      <c r="U1216" s="9">
        <f>Таблица1[[#This Row],[Ежемесячный платеж]]/(Таблица1[[#This Row],[Годовой доход]]/12)</f>
        <v>7.5599852746683377E-2</v>
      </c>
    </row>
    <row r="1217" spans="1:21" x14ac:dyDescent="0.3">
      <c r="A1217">
        <v>1216</v>
      </c>
      <c r="B1217">
        <v>1</v>
      </c>
      <c r="C1217" s="9">
        <v>71698</v>
      </c>
      <c r="D1217">
        <v>718</v>
      </c>
      <c r="E1217" s="1">
        <v>676324</v>
      </c>
      <c r="F1217">
        <v>54</v>
      </c>
      <c r="G1217">
        <v>3409.74</v>
      </c>
      <c r="H1217">
        <v>16.2</v>
      </c>
      <c r="I1217">
        <v>6</v>
      </c>
      <c r="J1217">
        <v>71744</v>
      </c>
      <c r="K1217">
        <v>180994</v>
      </c>
      <c r="L1217" t="s">
        <v>32</v>
      </c>
      <c r="M1217" t="s">
        <v>1256</v>
      </c>
      <c r="N1217" t="s">
        <v>26</v>
      </c>
      <c r="O1217" t="s">
        <v>21</v>
      </c>
      <c r="P1217" t="s">
        <v>22</v>
      </c>
      <c r="Q1217" t="s">
        <v>23</v>
      </c>
      <c r="R1217" t="b">
        <f>OR(Таблица1[[#This Row],[Ежемесячный платеж]]&lt;$AC$5, Таблица1[[#This Row],[Ежемесячный платеж]]&gt;$AC$6)</f>
        <v>0</v>
      </c>
      <c r="S1217" s="9">
        <f>(Таблица1[[#This Row],[Размер кредита]]-21824)/(789096-21824)</f>
        <v>6.5001720380777617E-2</v>
      </c>
      <c r="T1217" s="9">
        <f>(Таблица1[[#This Row],[Кредитный рейтинг]]-586)/(751-586)</f>
        <v>0.8</v>
      </c>
      <c r="U1217" s="9">
        <f>Таблица1[[#This Row],[Ежемесячный платеж]]/(Таблица1[[#This Row],[Годовой доход]]/12)</f>
        <v>6.0498932464321829E-2</v>
      </c>
    </row>
    <row r="1218" spans="1:21" x14ac:dyDescent="0.3">
      <c r="A1218">
        <v>1217</v>
      </c>
      <c r="B1218">
        <v>1</v>
      </c>
      <c r="C1218" s="9">
        <v>329604</v>
      </c>
      <c r="D1218">
        <f>$Y$13</f>
        <v>723</v>
      </c>
      <c r="E1218">
        <f>$AB$13</f>
        <v>1168044</v>
      </c>
      <c r="F1218">
        <v>46</v>
      </c>
      <c r="G1218">
        <v>14648.05</v>
      </c>
      <c r="H1218">
        <v>28.7</v>
      </c>
      <c r="I1218">
        <v>15</v>
      </c>
      <c r="J1218">
        <v>644860</v>
      </c>
      <c r="K1218">
        <v>968462</v>
      </c>
      <c r="L1218" t="s">
        <v>24</v>
      </c>
      <c r="M1218" t="s">
        <v>1257</v>
      </c>
      <c r="N1218" t="s">
        <v>26</v>
      </c>
      <c r="O1218" t="s">
        <v>21</v>
      </c>
      <c r="P1218" t="s">
        <v>22</v>
      </c>
      <c r="Q1218" t="s">
        <v>36</v>
      </c>
      <c r="R1218" t="b">
        <f>OR(Таблица1[[#This Row],[Ежемесячный платеж]]&lt;$AC$5, Таблица1[[#This Row],[Ежемесячный платеж]]&gt;$AC$6)</f>
        <v>0</v>
      </c>
      <c r="S1218" s="9">
        <f>(Таблица1[[#This Row],[Размер кредита]]-21824)/(789096-21824)</f>
        <v>0.40113545131322398</v>
      </c>
      <c r="T1218" s="9">
        <f>(Таблица1[[#This Row],[Кредитный рейтинг]]-586)/(751-586)</f>
        <v>0.83030303030303032</v>
      </c>
      <c r="U1218" s="9">
        <f>Таблица1[[#This Row],[Ежемесячный платеж]]/(Таблица1[[#This Row],[Годовой доход]]/12)</f>
        <v>0.15048799531524495</v>
      </c>
    </row>
    <row r="1219" spans="1:21" x14ac:dyDescent="0.3">
      <c r="A1219">
        <v>1218</v>
      </c>
      <c r="B1219">
        <v>0</v>
      </c>
      <c r="C1219" s="9">
        <v>638660</v>
      </c>
      <c r="D1219">
        <v>656</v>
      </c>
      <c r="E1219" s="1">
        <v>1226032</v>
      </c>
      <c r="F1219">
        <v>49</v>
      </c>
      <c r="G1219">
        <v>26053.37</v>
      </c>
      <c r="H1219">
        <v>20.2</v>
      </c>
      <c r="I1219">
        <v>10</v>
      </c>
      <c r="J1219">
        <v>547143</v>
      </c>
      <c r="K1219">
        <v>1151876</v>
      </c>
      <c r="L1219" t="s">
        <v>52</v>
      </c>
      <c r="M1219" t="s">
        <v>1258</v>
      </c>
      <c r="N1219" t="s">
        <v>26</v>
      </c>
      <c r="O1219" t="s">
        <v>21</v>
      </c>
      <c r="P1219" t="s">
        <v>31</v>
      </c>
      <c r="Q1219" t="s">
        <v>23</v>
      </c>
      <c r="R1219" t="b">
        <f>OR(Таблица1[[#This Row],[Ежемесячный платеж]]&lt;$AC$5, Таблица1[[#This Row],[Ежемесячный платеж]]&gt;$AC$6)</f>
        <v>0</v>
      </c>
      <c r="S1219" s="9">
        <f>(Таблица1[[#This Row],[Размер кредита]]-21824)/(789096-21824)</f>
        <v>0.80393393737813967</v>
      </c>
      <c r="T1219" s="9">
        <f>(Таблица1[[#This Row],[Кредитный рейтинг]]-586)/(751-586)</f>
        <v>0.42424242424242425</v>
      </c>
      <c r="U1219" s="9">
        <f>Таблица1[[#This Row],[Ежемесячный платеж]]/(Таблица1[[#This Row],[Годовой доход]]/12)</f>
        <v>0.25500185965782296</v>
      </c>
    </row>
    <row r="1220" spans="1:21" x14ac:dyDescent="0.3">
      <c r="A1220">
        <v>1219</v>
      </c>
      <c r="B1220">
        <v>0</v>
      </c>
      <c r="C1220" s="9">
        <v>548174</v>
      </c>
      <c r="D1220">
        <v>663</v>
      </c>
      <c r="E1220" s="1">
        <v>3467557</v>
      </c>
      <c r="F1220">
        <v>39</v>
      </c>
      <c r="G1220">
        <v>24272.880000000001</v>
      </c>
      <c r="H1220">
        <v>14</v>
      </c>
      <c r="I1220">
        <v>14</v>
      </c>
      <c r="J1220">
        <v>222300</v>
      </c>
      <c r="K1220">
        <v>503734</v>
      </c>
      <c r="L1220" t="s">
        <v>69</v>
      </c>
      <c r="M1220" t="s">
        <v>1259</v>
      </c>
      <c r="N1220" t="s">
        <v>26</v>
      </c>
      <c r="O1220" t="s">
        <v>28</v>
      </c>
      <c r="P1220" t="s">
        <v>22</v>
      </c>
      <c r="Q1220" t="s">
        <v>23</v>
      </c>
      <c r="R1220" t="b">
        <f>OR(Таблица1[[#This Row],[Ежемесячный платеж]]&lt;$AC$5, Таблица1[[#This Row],[Ежемесячный платеж]]&gt;$AC$6)</f>
        <v>0</v>
      </c>
      <c r="S1220" s="9">
        <f>(Таблица1[[#This Row],[Размер кредита]]-21824)/(789096-21824)</f>
        <v>0.68600183507282941</v>
      </c>
      <c r="T1220" s="9">
        <f>(Таблица1[[#This Row],[Кредитный рейтинг]]-586)/(751-586)</f>
        <v>0.46666666666666667</v>
      </c>
      <c r="U1220" s="9">
        <f>Таблица1[[#This Row],[Ежемесячный платеж]]/(Таблица1[[#This Row],[Годовой доход]]/12)</f>
        <v>8.3999934247656213E-2</v>
      </c>
    </row>
    <row r="1221" spans="1:21" x14ac:dyDescent="0.3">
      <c r="A1221">
        <v>1220</v>
      </c>
      <c r="B1221">
        <v>0</v>
      </c>
      <c r="C1221" s="9">
        <v>215974</v>
      </c>
      <c r="D1221">
        <v>741</v>
      </c>
      <c r="E1221" s="1">
        <v>1865230</v>
      </c>
      <c r="F1221">
        <v>35</v>
      </c>
      <c r="G1221">
        <v>25180.7</v>
      </c>
      <c r="H1221">
        <v>22.7</v>
      </c>
      <c r="I1221">
        <v>10</v>
      </c>
      <c r="J1221">
        <v>180215</v>
      </c>
      <c r="K1221">
        <v>356092</v>
      </c>
      <c r="L1221" t="s">
        <v>69</v>
      </c>
      <c r="M1221" t="s">
        <v>1260</v>
      </c>
      <c r="N1221" t="s">
        <v>26</v>
      </c>
      <c r="O1221" t="s">
        <v>21</v>
      </c>
      <c r="P1221" t="s">
        <v>22</v>
      </c>
      <c r="Q1221" t="s">
        <v>23</v>
      </c>
      <c r="R1221" t="b">
        <f>OR(Таблица1[[#This Row],[Ежемесячный платеж]]&lt;$AC$5, Таблица1[[#This Row],[Ежемесячный платеж]]&gt;$AC$6)</f>
        <v>0</v>
      </c>
      <c r="S1221" s="9">
        <f>(Таблица1[[#This Row],[Размер кредита]]-21824)/(789096-21824)</f>
        <v>0.25303933937378142</v>
      </c>
      <c r="T1221" s="9">
        <f>(Таблица1[[#This Row],[Кредитный рейтинг]]-586)/(751-586)</f>
        <v>0.93939393939393945</v>
      </c>
      <c r="U1221" s="9">
        <f>Таблица1[[#This Row],[Ежемесячный платеж]]/(Таблица1[[#This Row],[Годовой доход]]/12)</f>
        <v>0.16200061118467962</v>
      </c>
    </row>
    <row r="1222" spans="1:21" x14ac:dyDescent="0.3">
      <c r="A1222">
        <v>1221</v>
      </c>
      <c r="B1222">
        <v>2</v>
      </c>
      <c r="C1222" s="9">
        <v>731852</v>
      </c>
      <c r="D1222">
        <v>677</v>
      </c>
      <c r="E1222" s="1">
        <v>1438680</v>
      </c>
      <c r="F1222">
        <v>36</v>
      </c>
      <c r="G1222">
        <v>25057.01</v>
      </c>
      <c r="H1222">
        <v>22.4</v>
      </c>
      <c r="I1222">
        <v>11</v>
      </c>
      <c r="J1222">
        <v>106324</v>
      </c>
      <c r="K1222">
        <v>172172</v>
      </c>
      <c r="L1222" t="s">
        <v>24</v>
      </c>
      <c r="M1222" t="s">
        <v>1261</v>
      </c>
      <c r="N1222" t="s">
        <v>26</v>
      </c>
      <c r="O1222" t="s">
        <v>21</v>
      </c>
      <c r="P1222" t="s">
        <v>31</v>
      </c>
      <c r="Q1222" t="s">
        <v>23</v>
      </c>
      <c r="R1222" t="b">
        <f>OR(Таблица1[[#This Row],[Ежемесячный платеж]]&lt;$AC$5, Таблица1[[#This Row],[Ежемесячный платеж]]&gt;$AC$6)</f>
        <v>0</v>
      </c>
      <c r="S1222" s="9">
        <f>(Таблица1[[#This Row],[Размер кредита]]-21824)/(789096-21824)</f>
        <v>0.92539282027755476</v>
      </c>
      <c r="T1222" s="9">
        <f>(Таблица1[[#This Row],[Кредитный рейтинг]]-586)/(751-586)</f>
        <v>0.55151515151515151</v>
      </c>
      <c r="U1222" s="9">
        <f>Таблица1[[#This Row],[Ежемесячный платеж]]/(Таблица1[[#This Row],[Годовой доход]]/12)</f>
        <v>0.20899999999999999</v>
      </c>
    </row>
    <row r="1223" spans="1:21" x14ac:dyDescent="0.3">
      <c r="A1223">
        <v>1222</v>
      </c>
      <c r="B1223">
        <v>0</v>
      </c>
      <c r="C1223" s="9">
        <v>563750</v>
      </c>
      <c r="D1223">
        <f>$Y$13</f>
        <v>723</v>
      </c>
      <c r="E1223">
        <f>$AB$13</f>
        <v>1168044</v>
      </c>
      <c r="F1223">
        <v>0</v>
      </c>
      <c r="G1223">
        <v>20351.47</v>
      </c>
      <c r="H1223">
        <v>14.1</v>
      </c>
      <c r="I1223">
        <v>8</v>
      </c>
      <c r="J1223">
        <v>284867</v>
      </c>
      <c r="K1223">
        <v>1110560</v>
      </c>
      <c r="L1223" t="s">
        <v>37</v>
      </c>
      <c r="M1223" t="s">
        <v>1262</v>
      </c>
      <c r="N1223" t="s">
        <v>26</v>
      </c>
      <c r="O1223" t="s">
        <v>34</v>
      </c>
      <c r="P1223" t="s">
        <v>22</v>
      </c>
      <c r="Q1223" t="s">
        <v>23</v>
      </c>
      <c r="R1223" t="b">
        <f>OR(Таблица1[[#This Row],[Ежемесячный платеж]]&lt;$AC$5, Таблица1[[#This Row],[Ежемесячный платеж]]&gt;$AC$6)</f>
        <v>0</v>
      </c>
      <c r="S1223" s="9">
        <f>(Таблица1[[#This Row],[Размер кредита]]-21824)/(789096-21824)</f>
        <v>0.70630232824865236</v>
      </c>
      <c r="T1223" s="9">
        <f>(Таблица1[[#This Row],[Кредитный рейтинг]]-586)/(751-586)</f>
        <v>0.83030303030303032</v>
      </c>
      <c r="U1223" s="9">
        <f>Таблица1[[#This Row],[Ежемесячный платеж]]/(Таблица1[[#This Row],[Годовой доход]]/12)</f>
        <v>0.20908256880733947</v>
      </c>
    </row>
    <row r="1224" spans="1:21" x14ac:dyDescent="0.3">
      <c r="A1224">
        <v>1223</v>
      </c>
      <c r="B1224">
        <v>0</v>
      </c>
      <c r="C1224" s="9">
        <v>21824</v>
      </c>
      <c r="D1224">
        <v>748</v>
      </c>
      <c r="E1224" s="1">
        <v>622041</v>
      </c>
      <c r="F1224">
        <v>0</v>
      </c>
      <c r="G1224">
        <v>6163.6</v>
      </c>
      <c r="H1224">
        <v>15</v>
      </c>
      <c r="I1224">
        <v>6</v>
      </c>
      <c r="J1224">
        <v>15333</v>
      </c>
      <c r="K1224">
        <v>21824</v>
      </c>
      <c r="L1224" t="s">
        <v>37</v>
      </c>
      <c r="M1224" t="s">
        <v>1263</v>
      </c>
      <c r="N1224" t="s">
        <v>99</v>
      </c>
      <c r="O1224" t="s">
        <v>34</v>
      </c>
      <c r="P1224" t="s">
        <v>22</v>
      </c>
      <c r="Q1224" t="s">
        <v>23</v>
      </c>
      <c r="R1224" t="b">
        <f>OR(Таблица1[[#This Row],[Ежемесячный платеж]]&lt;$AC$5, Таблица1[[#This Row],[Ежемесячный платеж]]&gt;$AC$6)</f>
        <v>0</v>
      </c>
      <c r="S1224" s="9">
        <f>(Таблица1[[#This Row],[Размер кредита]]-21824)/(789096-21824)</f>
        <v>0</v>
      </c>
      <c r="T1224" s="9">
        <f>(Таблица1[[#This Row],[Кредитный рейтинг]]-586)/(751-586)</f>
        <v>0.98181818181818181</v>
      </c>
      <c r="U1224" s="9">
        <f>Таблица1[[#This Row],[Ежемесячный платеж]]/(Таблица1[[#This Row],[Годовой доход]]/12)</f>
        <v>0.11890405937872263</v>
      </c>
    </row>
    <row r="1225" spans="1:21" x14ac:dyDescent="0.3">
      <c r="A1225">
        <v>1224</v>
      </c>
      <c r="B1225">
        <v>0</v>
      </c>
      <c r="C1225" s="9">
        <v>255662</v>
      </c>
      <c r="D1225">
        <v>724</v>
      </c>
      <c r="E1225" s="1">
        <v>763040</v>
      </c>
      <c r="F1225">
        <v>0</v>
      </c>
      <c r="G1225">
        <v>14561.22</v>
      </c>
      <c r="H1225">
        <v>12.5</v>
      </c>
      <c r="I1225">
        <v>13</v>
      </c>
      <c r="J1225">
        <v>273714</v>
      </c>
      <c r="K1225">
        <v>395208</v>
      </c>
      <c r="L1225" t="s">
        <v>29</v>
      </c>
      <c r="M1225" t="s">
        <v>1264</v>
      </c>
      <c r="N1225" t="s">
        <v>26</v>
      </c>
      <c r="O1225" t="s">
        <v>34</v>
      </c>
      <c r="P1225" t="s">
        <v>22</v>
      </c>
      <c r="Q1225" t="s">
        <v>23</v>
      </c>
      <c r="R1225" t="b">
        <f>OR(Таблица1[[#This Row],[Ежемесячный платеж]]&lt;$AC$5, Таблица1[[#This Row],[Ежемесячный платеж]]&gt;$AC$6)</f>
        <v>0</v>
      </c>
      <c r="S1225" s="9">
        <f>(Таблица1[[#This Row],[Размер кредита]]-21824)/(789096-21824)</f>
        <v>0.30476545475398553</v>
      </c>
      <c r="T1225" s="9">
        <f>(Таблица1[[#This Row],[Кредитный рейтинг]]-586)/(751-586)</f>
        <v>0.83636363636363631</v>
      </c>
      <c r="U1225" s="9">
        <f>Таблица1[[#This Row],[Ежемесячный платеж]]/(Таблица1[[#This Row],[Годовой доход]]/12)</f>
        <v>0.2289980079681275</v>
      </c>
    </row>
    <row r="1226" spans="1:21" x14ac:dyDescent="0.3">
      <c r="A1226">
        <v>1225</v>
      </c>
      <c r="B1226">
        <v>1</v>
      </c>
      <c r="D1226">
        <v>744</v>
      </c>
      <c r="E1226" s="1">
        <v>1107396</v>
      </c>
      <c r="F1226">
        <v>26</v>
      </c>
      <c r="G1226">
        <v>7714.95</v>
      </c>
      <c r="H1226">
        <v>10.4</v>
      </c>
      <c r="I1226">
        <v>6</v>
      </c>
      <c r="J1226">
        <v>101878</v>
      </c>
      <c r="K1226">
        <v>165924</v>
      </c>
      <c r="L1226" t="s">
        <v>29</v>
      </c>
      <c r="M1226" t="s">
        <v>1265</v>
      </c>
      <c r="N1226" t="s">
        <v>26</v>
      </c>
      <c r="O1226" t="s">
        <v>21</v>
      </c>
      <c r="P1226" t="s">
        <v>22</v>
      </c>
      <c r="Q1226" t="s">
        <v>23</v>
      </c>
      <c r="R1226" t="b">
        <f>OR(Таблица1[[#This Row],[Ежемесячный платеж]]&lt;$AC$5, Таблица1[[#This Row],[Ежемесячный платеж]]&gt;$AC$6)</f>
        <v>0</v>
      </c>
      <c r="T1226" s="9">
        <f>(Таблица1[[#This Row],[Кредитный рейтинг]]-586)/(751-586)</f>
        <v>0.95757575757575752</v>
      </c>
      <c r="U1226" s="9">
        <f>Таблица1[[#This Row],[Ежемесячный платеж]]/(Таблица1[[#This Row],[Годовой доход]]/12)</f>
        <v>8.3600988264360715E-2</v>
      </c>
    </row>
    <row r="1227" spans="1:21" x14ac:dyDescent="0.3">
      <c r="A1227">
        <v>1226</v>
      </c>
      <c r="B1227">
        <v>0</v>
      </c>
      <c r="C1227" s="9">
        <v>467324</v>
      </c>
      <c r="D1227">
        <v>723</v>
      </c>
      <c r="E1227" s="1">
        <v>1326086</v>
      </c>
      <c r="F1227">
        <v>0</v>
      </c>
      <c r="G1227">
        <v>12266.21</v>
      </c>
      <c r="H1227">
        <v>14.4</v>
      </c>
      <c r="I1227">
        <v>7</v>
      </c>
      <c r="J1227">
        <v>410761</v>
      </c>
      <c r="K1227">
        <v>750178</v>
      </c>
      <c r="L1227" t="s">
        <v>24</v>
      </c>
      <c r="M1227" t="s">
        <v>1266</v>
      </c>
      <c r="N1227" t="s">
        <v>26</v>
      </c>
      <c r="O1227" t="s">
        <v>21</v>
      </c>
      <c r="P1227" t="s">
        <v>31</v>
      </c>
      <c r="Q1227" t="s">
        <v>23</v>
      </c>
      <c r="R1227" t="b">
        <f>OR(Таблица1[[#This Row],[Ежемесячный платеж]]&lt;$AC$5, Таблица1[[#This Row],[Ежемесячный платеж]]&gt;$AC$6)</f>
        <v>0</v>
      </c>
      <c r="S1227" s="9">
        <f>(Таблица1[[#This Row],[Размер кредита]]-21824)/(789096-21824)</f>
        <v>0.58062851244408764</v>
      </c>
      <c r="T1227" s="9">
        <f>(Таблица1[[#This Row],[Кредитный рейтинг]]-586)/(751-586)</f>
        <v>0.83030303030303032</v>
      </c>
      <c r="U1227" s="9">
        <f>Таблица1[[#This Row],[Ежемесячный платеж]]/(Таблица1[[#This Row],[Годовой доход]]/12)</f>
        <v>0.11099922629452387</v>
      </c>
    </row>
    <row r="1228" spans="1:21" x14ac:dyDescent="0.3">
      <c r="A1228">
        <v>1227</v>
      </c>
      <c r="B1228">
        <v>0</v>
      </c>
      <c r="C1228" s="9">
        <v>80234</v>
      </c>
      <c r="D1228">
        <v>730</v>
      </c>
      <c r="E1228" s="1">
        <v>461928</v>
      </c>
      <c r="F1228">
        <v>0</v>
      </c>
      <c r="G1228">
        <v>7660.23</v>
      </c>
      <c r="H1228">
        <v>8</v>
      </c>
      <c r="I1228">
        <v>12</v>
      </c>
      <c r="J1228">
        <v>47994</v>
      </c>
      <c r="K1228">
        <v>66880</v>
      </c>
      <c r="L1228" t="s">
        <v>37</v>
      </c>
      <c r="M1228" t="s">
        <v>1267</v>
      </c>
      <c r="N1228" t="s">
        <v>26</v>
      </c>
      <c r="O1228" t="s">
        <v>34</v>
      </c>
      <c r="P1228" t="s">
        <v>22</v>
      </c>
      <c r="Q1228" t="s">
        <v>36</v>
      </c>
      <c r="R1228" t="b">
        <f>OR(Таблица1[[#This Row],[Ежемесячный платеж]]&lt;$AC$5, Таблица1[[#This Row],[Ежемесячный платеж]]&gt;$AC$6)</f>
        <v>0</v>
      </c>
      <c r="S1228" s="9">
        <f>(Таблица1[[#This Row],[Размер кредита]]-21824)/(789096-21824)</f>
        <v>7.6126849409335937E-2</v>
      </c>
      <c r="T1228" s="9">
        <f>(Таблица1[[#This Row],[Кредитный рейтинг]]-586)/(751-586)</f>
        <v>0.87272727272727268</v>
      </c>
      <c r="U1228" s="9">
        <f>Таблица1[[#This Row],[Ежемесячный платеж]]/(Таблица1[[#This Row],[Годовой доход]]/12)</f>
        <v>0.19899802566633759</v>
      </c>
    </row>
    <row r="1229" spans="1:21" x14ac:dyDescent="0.3">
      <c r="A1229">
        <v>1228</v>
      </c>
      <c r="B1229">
        <v>0</v>
      </c>
      <c r="C1229" s="9">
        <v>377674</v>
      </c>
      <c r="D1229">
        <v>737</v>
      </c>
      <c r="E1229" s="1">
        <v>753084</v>
      </c>
      <c r="F1229">
        <v>0</v>
      </c>
      <c r="G1229">
        <v>14873.39</v>
      </c>
      <c r="H1229">
        <v>17.100000000000001</v>
      </c>
      <c r="I1229">
        <v>16</v>
      </c>
      <c r="J1229">
        <v>378670</v>
      </c>
      <c r="K1229">
        <v>2149312</v>
      </c>
      <c r="L1229" t="s">
        <v>50</v>
      </c>
      <c r="M1229" t="s">
        <v>1268</v>
      </c>
      <c r="N1229" t="s">
        <v>26</v>
      </c>
      <c r="O1229" t="s">
        <v>21</v>
      </c>
      <c r="P1229" t="s">
        <v>22</v>
      </c>
      <c r="Q1229" t="s">
        <v>23</v>
      </c>
      <c r="R1229" t="b">
        <f>OR(Таблица1[[#This Row],[Ежемесячный платеж]]&lt;$AC$5, Таблица1[[#This Row],[Ежемесячный платеж]]&gt;$AC$6)</f>
        <v>0</v>
      </c>
      <c r="S1229" s="9">
        <f>(Таблица1[[#This Row],[Размер кредита]]-21824)/(789096-21824)</f>
        <v>0.46378598463126508</v>
      </c>
      <c r="T1229" s="9">
        <f>(Таблица1[[#This Row],[Кредитный рейтинг]]-586)/(751-586)</f>
        <v>0.91515151515151516</v>
      </c>
      <c r="U1229" s="9">
        <f>Таблица1[[#This Row],[Ежемесячный платеж]]/(Таблица1[[#This Row],[Годовой доход]]/12)</f>
        <v>0.23699969724492884</v>
      </c>
    </row>
    <row r="1230" spans="1:21" x14ac:dyDescent="0.3">
      <c r="A1230">
        <v>1229</v>
      </c>
      <c r="B1230">
        <v>0</v>
      </c>
      <c r="C1230" s="9">
        <v>112508</v>
      </c>
      <c r="D1230">
        <v>746</v>
      </c>
      <c r="E1230" s="1">
        <v>2055515</v>
      </c>
      <c r="F1230">
        <v>0</v>
      </c>
      <c r="G1230">
        <v>5549.9</v>
      </c>
      <c r="H1230">
        <v>20.3</v>
      </c>
      <c r="I1230">
        <v>10</v>
      </c>
      <c r="J1230">
        <v>0</v>
      </c>
      <c r="K1230">
        <v>0</v>
      </c>
      <c r="L1230" t="s">
        <v>24</v>
      </c>
      <c r="M1230" t="s">
        <v>1269</v>
      </c>
      <c r="N1230" t="s">
        <v>68</v>
      </c>
      <c r="O1230" t="s">
        <v>21</v>
      </c>
      <c r="P1230" t="s">
        <v>22</v>
      </c>
      <c r="Q1230" t="s">
        <v>23</v>
      </c>
      <c r="R1230" t="b">
        <f>OR(Таблица1[[#This Row],[Ежемесячный платеж]]&lt;$AC$5, Таблица1[[#This Row],[Ежемесячный платеж]]&gt;$AC$6)</f>
        <v>0</v>
      </c>
      <c r="S1230" s="9">
        <f>(Таблица1[[#This Row],[Размер кредита]]-21824)/(789096-21824)</f>
        <v>0.11819015942195206</v>
      </c>
      <c r="T1230" s="9">
        <f>(Таблица1[[#This Row],[Кредитный рейтинг]]-586)/(751-586)</f>
        <v>0.96969696969696972</v>
      </c>
      <c r="U1230" s="9">
        <f>Таблица1[[#This Row],[Ежемесячный платеж]]/(Таблица1[[#This Row],[Годовой доход]]/12)</f>
        <v>3.2400055460553683E-2</v>
      </c>
    </row>
    <row r="1231" spans="1:21" x14ac:dyDescent="0.3">
      <c r="A1231">
        <v>1230</v>
      </c>
      <c r="B1231">
        <v>1</v>
      </c>
      <c r="C1231" s="9">
        <v>355124</v>
      </c>
      <c r="D1231">
        <v>701</v>
      </c>
      <c r="E1231" s="1">
        <v>1533528</v>
      </c>
      <c r="F1231">
        <v>53</v>
      </c>
      <c r="G1231">
        <v>22747.37</v>
      </c>
      <c r="H1231">
        <v>14.1</v>
      </c>
      <c r="I1231">
        <v>16</v>
      </c>
      <c r="J1231">
        <v>215308</v>
      </c>
      <c r="K1231">
        <v>951544</v>
      </c>
      <c r="L1231" t="s">
        <v>32</v>
      </c>
      <c r="M1231" t="s">
        <v>1270</v>
      </c>
      <c r="N1231" t="s">
        <v>26</v>
      </c>
      <c r="O1231" t="s">
        <v>34</v>
      </c>
      <c r="P1231" t="s">
        <v>31</v>
      </c>
      <c r="Q1231" t="s">
        <v>23</v>
      </c>
      <c r="R1231" t="b">
        <f>OR(Таблица1[[#This Row],[Ежемесячный платеж]]&lt;$AC$5, Таблица1[[#This Row],[Ежемесячный платеж]]&gt;$AC$6)</f>
        <v>0</v>
      </c>
      <c r="S1231" s="9">
        <f>(Таблица1[[#This Row],[Размер кредита]]-21824)/(789096-21824)</f>
        <v>0.43439614634705814</v>
      </c>
      <c r="T1231" s="9">
        <f>(Таблица1[[#This Row],[Кредитный рейтинг]]-586)/(751-586)</f>
        <v>0.69696969696969702</v>
      </c>
      <c r="U1231" s="9">
        <f>Таблица1[[#This Row],[Ежемесячный платеж]]/(Таблица1[[#This Row],[Годовой доход]]/12)</f>
        <v>0.17800029735355336</v>
      </c>
    </row>
    <row r="1232" spans="1:21" x14ac:dyDescent="0.3">
      <c r="A1232">
        <v>1231</v>
      </c>
      <c r="B1232">
        <v>0</v>
      </c>
      <c r="C1232" s="9">
        <v>761222</v>
      </c>
      <c r="D1232">
        <v>678</v>
      </c>
      <c r="E1232" s="1">
        <v>3287095</v>
      </c>
      <c r="F1232">
        <v>0</v>
      </c>
      <c r="G1232">
        <v>48758.559999999998</v>
      </c>
      <c r="H1232">
        <v>28.4</v>
      </c>
      <c r="I1232">
        <v>24</v>
      </c>
      <c r="J1232">
        <v>1740609</v>
      </c>
      <c r="K1232">
        <v>2883320</v>
      </c>
      <c r="L1232" t="s">
        <v>63</v>
      </c>
      <c r="M1232" t="s">
        <v>1271</v>
      </c>
      <c r="N1232" t="s">
        <v>26</v>
      </c>
      <c r="O1232" t="s">
        <v>21</v>
      </c>
      <c r="P1232" t="s">
        <v>31</v>
      </c>
      <c r="Q1232" t="s">
        <v>23</v>
      </c>
      <c r="R1232" t="b">
        <f>OR(Таблица1[[#This Row],[Ежемесячный платеж]]&lt;$AC$5, Таблица1[[#This Row],[Ежемесячный платеж]]&gt;$AC$6)</f>
        <v>1</v>
      </c>
      <c r="S1232" s="9">
        <f>(Таблица1[[#This Row],[Размер кредита]]-21824)/(789096-21824)</f>
        <v>0.9636712925794243</v>
      </c>
      <c r="T1232" s="9">
        <f>(Таблица1[[#This Row],[Кредитный рейтинг]]-586)/(751-586)</f>
        <v>0.55757575757575761</v>
      </c>
      <c r="U1232" s="9">
        <f>Таблица1[[#This Row],[Ежемесячный платеж]]/(Таблица1[[#This Row],[Годовой доход]]/12)</f>
        <v>0.17799994219820237</v>
      </c>
    </row>
    <row r="1233" spans="1:21" x14ac:dyDescent="0.3">
      <c r="A1233">
        <v>1232</v>
      </c>
      <c r="B1233">
        <v>0</v>
      </c>
      <c r="C1233" s="9">
        <v>135124</v>
      </c>
      <c r="D1233">
        <v>737</v>
      </c>
      <c r="E1233" s="1">
        <v>583509</v>
      </c>
      <c r="F1233">
        <v>0</v>
      </c>
      <c r="G1233">
        <v>11816.1</v>
      </c>
      <c r="H1233">
        <v>25.6</v>
      </c>
      <c r="I1233">
        <v>17</v>
      </c>
      <c r="J1233">
        <v>229444</v>
      </c>
      <c r="K1233">
        <v>326348</v>
      </c>
      <c r="L1233" t="s">
        <v>24</v>
      </c>
      <c r="M1233" t="s">
        <v>1272</v>
      </c>
      <c r="N1233" t="s">
        <v>20</v>
      </c>
      <c r="O1233" t="s">
        <v>28</v>
      </c>
      <c r="P1233" t="s">
        <v>22</v>
      </c>
      <c r="Q1233" t="s">
        <v>36</v>
      </c>
      <c r="R1233" t="b">
        <f>OR(Таблица1[[#This Row],[Ежемесячный платеж]]&lt;$AC$5, Таблица1[[#This Row],[Ежемесячный платеж]]&gt;$AC$6)</f>
        <v>0</v>
      </c>
      <c r="S1233" s="9">
        <f>(Таблица1[[#This Row],[Размер кредита]]-21824)/(789096-21824)</f>
        <v>0.14766601674503957</v>
      </c>
      <c r="T1233" s="9">
        <f>(Таблица1[[#This Row],[Кредитный рейтинг]]-586)/(751-586)</f>
        <v>0.91515151515151516</v>
      </c>
      <c r="U1233" s="9">
        <f>Таблица1[[#This Row],[Ежемесячный платеж]]/(Таблица1[[#This Row],[Годовой доход]]/12)</f>
        <v>0.24300087916381755</v>
      </c>
    </row>
    <row r="1234" spans="1:21" x14ac:dyDescent="0.3">
      <c r="A1234">
        <v>1233</v>
      </c>
      <c r="B1234">
        <v>0</v>
      </c>
      <c r="C1234" s="9">
        <v>66550</v>
      </c>
      <c r="D1234">
        <v>745</v>
      </c>
      <c r="E1234" s="1">
        <v>1245374</v>
      </c>
      <c r="F1234">
        <v>0</v>
      </c>
      <c r="G1234">
        <v>31756.98</v>
      </c>
      <c r="H1234">
        <v>14.8</v>
      </c>
      <c r="I1234">
        <v>14</v>
      </c>
      <c r="J1234">
        <v>265164</v>
      </c>
      <c r="K1234">
        <v>864886</v>
      </c>
      <c r="L1234" t="s">
        <v>24</v>
      </c>
      <c r="M1234" t="s">
        <v>1273</v>
      </c>
      <c r="N1234" t="s">
        <v>20</v>
      </c>
      <c r="O1234" t="s">
        <v>21</v>
      </c>
      <c r="P1234" t="s">
        <v>22</v>
      </c>
      <c r="Q1234" t="s">
        <v>23</v>
      </c>
      <c r="R1234" t="b">
        <f>OR(Таблица1[[#This Row],[Ежемесячный платеж]]&lt;$AC$5, Таблица1[[#This Row],[Ежемесячный платеж]]&gt;$AC$6)</f>
        <v>0</v>
      </c>
      <c r="S1234" s="9">
        <f>(Таблица1[[#This Row],[Размер кредита]]-21824)/(789096-21824)</f>
        <v>5.8292235348090381E-2</v>
      </c>
      <c r="T1234" s="9">
        <f>(Таблица1[[#This Row],[Кредитный рейтинг]]-586)/(751-586)</f>
        <v>0.96363636363636362</v>
      </c>
      <c r="U1234" s="9">
        <f>Таблица1[[#This Row],[Ежемесячный платеж]]/(Таблица1[[#This Row],[Годовой доход]]/12)</f>
        <v>0.30599945076739998</v>
      </c>
    </row>
    <row r="1235" spans="1:21" x14ac:dyDescent="0.3">
      <c r="A1235">
        <v>1234</v>
      </c>
      <c r="B1235">
        <v>0</v>
      </c>
      <c r="C1235" s="9">
        <v>129668</v>
      </c>
      <c r="D1235">
        <v>744</v>
      </c>
      <c r="E1235" s="1">
        <v>466602</v>
      </c>
      <c r="F1235">
        <v>0</v>
      </c>
      <c r="G1235">
        <v>10887.19</v>
      </c>
      <c r="H1235">
        <v>23.4</v>
      </c>
      <c r="I1235">
        <v>9</v>
      </c>
      <c r="J1235">
        <v>129789</v>
      </c>
      <c r="K1235">
        <v>198770</v>
      </c>
      <c r="L1235" t="s">
        <v>24</v>
      </c>
      <c r="M1235" t="s">
        <v>1274</v>
      </c>
      <c r="N1235" t="s">
        <v>26</v>
      </c>
      <c r="O1235" t="s">
        <v>34</v>
      </c>
      <c r="P1235" t="s">
        <v>22</v>
      </c>
      <c r="Q1235" t="s">
        <v>36</v>
      </c>
      <c r="R1235" t="b">
        <f>OR(Таблица1[[#This Row],[Ежемесячный платеж]]&lt;$AC$5, Таблица1[[#This Row],[Ежемесячный платеж]]&gt;$AC$6)</f>
        <v>0</v>
      </c>
      <c r="S1235" s="9">
        <f>(Таблица1[[#This Row],[Размер кредита]]-21824)/(789096-21824)</f>
        <v>0.14055510953090949</v>
      </c>
      <c r="T1235" s="9">
        <f>(Таблица1[[#This Row],[Кредитный рейтинг]]-586)/(751-586)</f>
        <v>0.95757575757575752</v>
      </c>
      <c r="U1235" s="9">
        <f>Таблица1[[#This Row],[Ежемесячный платеж]]/(Таблица1[[#This Row],[Годовой доход]]/12)</f>
        <v>0.27999511360860008</v>
      </c>
    </row>
    <row r="1236" spans="1:21" x14ac:dyDescent="0.3">
      <c r="A1236">
        <v>1235</v>
      </c>
      <c r="B1236">
        <v>0</v>
      </c>
      <c r="C1236" s="9">
        <v>216106</v>
      </c>
      <c r="D1236">
        <v>742</v>
      </c>
      <c r="E1236" s="1">
        <v>1343794</v>
      </c>
      <c r="F1236">
        <v>25</v>
      </c>
      <c r="G1236">
        <v>23202.799999999999</v>
      </c>
      <c r="H1236">
        <v>21.5</v>
      </c>
      <c r="I1236">
        <v>10</v>
      </c>
      <c r="J1236">
        <v>316160</v>
      </c>
      <c r="K1236">
        <v>527494</v>
      </c>
      <c r="L1236" t="s">
        <v>24</v>
      </c>
      <c r="M1236" t="s">
        <v>1275</v>
      </c>
      <c r="N1236" t="s">
        <v>26</v>
      </c>
      <c r="O1236" t="s">
        <v>34</v>
      </c>
      <c r="P1236" t="s">
        <v>22</v>
      </c>
      <c r="Q1236" t="s">
        <v>23</v>
      </c>
      <c r="R1236" t="b">
        <f>OR(Таблица1[[#This Row],[Ежемесячный платеж]]&lt;$AC$5, Таблица1[[#This Row],[Ежемесячный платеж]]&gt;$AC$6)</f>
        <v>0</v>
      </c>
      <c r="S1236" s="9">
        <f>(Таблица1[[#This Row],[Размер кредита]]-21824)/(789096-21824)</f>
        <v>0.2532113774515426</v>
      </c>
      <c r="T1236" s="9">
        <f>(Таблица1[[#This Row],[Кредитный рейтинг]]-586)/(751-586)</f>
        <v>0.94545454545454544</v>
      </c>
      <c r="U1236" s="9">
        <f>Таблица1[[#This Row],[Ежемесячный платеж]]/(Таблица1[[#This Row],[Годовой доход]]/12)</f>
        <v>0.20719961541724402</v>
      </c>
    </row>
    <row r="1237" spans="1:21" x14ac:dyDescent="0.3">
      <c r="A1237">
        <v>1236</v>
      </c>
      <c r="B1237">
        <v>0</v>
      </c>
      <c r="C1237" s="9">
        <v>443960</v>
      </c>
      <c r="D1237">
        <v>638</v>
      </c>
      <c r="E1237" s="1">
        <v>3163215</v>
      </c>
      <c r="F1237">
        <v>8</v>
      </c>
      <c r="G1237">
        <v>67218.39</v>
      </c>
      <c r="H1237">
        <v>15.5</v>
      </c>
      <c r="I1237">
        <v>17</v>
      </c>
      <c r="J1237">
        <v>120726</v>
      </c>
      <c r="K1237">
        <v>170874</v>
      </c>
      <c r="L1237" t="s">
        <v>47</v>
      </c>
      <c r="M1237" t="s">
        <v>1276</v>
      </c>
      <c r="N1237" t="s">
        <v>68</v>
      </c>
      <c r="O1237" t="s">
        <v>21</v>
      </c>
      <c r="P1237" t="s">
        <v>31</v>
      </c>
      <c r="Q1237" t="s">
        <v>23</v>
      </c>
      <c r="R1237" t="b">
        <f>OR(Таблица1[[#This Row],[Ежемесячный платеж]]&lt;$AC$5, Таблица1[[#This Row],[Ежемесячный платеж]]&gt;$AC$6)</f>
        <v>1</v>
      </c>
      <c r="S1237" s="9">
        <f>(Таблица1[[#This Row],[Размер кредита]]-21824)/(789096-21824)</f>
        <v>0.55017777268035328</v>
      </c>
      <c r="T1237" s="9">
        <f>(Таблица1[[#This Row],[Кредитный рейтинг]]-586)/(751-586)</f>
        <v>0.31515151515151513</v>
      </c>
      <c r="U1237" s="9">
        <f>Таблица1[[#This Row],[Ежемесячный платеж]]/(Таблица1[[#This Row],[Годовой доход]]/12)</f>
        <v>0.25500027029462113</v>
      </c>
    </row>
    <row r="1238" spans="1:21" x14ac:dyDescent="0.3">
      <c r="A1238">
        <v>1237</v>
      </c>
      <c r="B1238">
        <v>0</v>
      </c>
      <c r="C1238" s="9">
        <v>128986</v>
      </c>
      <c r="D1238">
        <v>747</v>
      </c>
      <c r="E1238" s="1">
        <v>1142622</v>
      </c>
      <c r="F1238">
        <v>0</v>
      </c>
      <c r="G1238">
        <v>16472.810000000001</v>
      </c>
      <c r="H1238">
        <v>11.4</v>
      </c>
      <c r="I1238">
        <v>10</v>
      </c>
      <c r="J1238">
        <v>28994</v>
      </c>
      <c r="K1238">
        <v>107910</v>
      </c>
      <c r="L1238" t="s">
        <v>37</v>
      </c>
      <c r="M1238" t="s">
        <v>1277</v>
      </c>
      <c r="N1238" t="s">
        <v>26</v>
      </c>
      <c r="O1238" t="s">
        <v>28</v>
      </c>
      <c r="P1238" t="s">
        <v>22</v>
      </c>
      <c r="Q1238" t="s">
        <v>36</v>
      </c>
      <c r="R1238" t="b">
        <f>OR(Таблица1[[#This Row],[Ежемесячный платеж]]&lt;$AC$5, Таблица1[[#This Row],[Ежемесячный платеж]]&gt;$AC$6)</f>
        <v>0</v>
      </c>
      <c r="S1238" s="9">
        <f>(Таблица1[[#This Row],[Размер кредита]]-21824)/(789096-21824)</f>
        <v>0.13966624612914325</v>
      </c>
      <c r="T1238" s="9">
        <f>(Таблица1[[#This Row],[Кредитный рейтинг]]-586)/(751-586)</f>
        <v>0.97575757575757571</v>
      </c>
      <c r="U1238" s="9">
        <f>Таблица1[[#This Row],[Ежемесячный платеж]]/(Таблица1[[#This Row],[Годовой доход]]/12)</f>
        <v>0.1730000997705278</v>
      </c>
    </row>
    <row r="1239" spans="1:21" x14ac:dyDescent="0.3">
      <c r="A1239">
        <v>1238</v>
      </c>
      <c r="B1239">
        <v>0</v>
      </c>
      <c r="C1239" s="9">
        <v>554906</v>
      </c>
      <c r="D1239">
        <v>596</v>
      </c>
      <c r="E1239" s="1">
        <v>3833820</v>
      </c>
      <c r="F1239">
        <v>0</v>
      </c>
      <c r="G1239">
        <v>30510.959999999999</v>
      </c>
      <c r="H1239">
        <v>45.3</v>
      </c>
      <c r="I1239">
        <v>29</v>
      </c>
      <c r="J1239">
        <v>568936</v>
      </c>
      <c r="K1239">
        <v>1438360</v>
      </c>
      <c r="L1239" t="s">
        <v>52</v>
      </c>
      <c r="M1239" t="s">
        <v>1278</v>
      </c>
      <c r="N1239" t="s">
        <v>26</v>
      </c>
      <c r="O1239" t="s">
        <v>34</v>
      </c>
      <c r="P1239" t="s">
        <v>31</v>
      </c>
      <c r="Q1239" t="s">
        <v>23</v>
      </c>
      <c r="R1239" t="b">
        <f>OR(Таблица1[[#This Row],[Ежемесячный платеж]]&lt;$AC$5, Таблица1[[#This Row],[Ежемесячный платеж]]&gt;$AC$6)</f>
        <v>0</v>
      </c>
      <c r="S1239" s="9">
        <f>(Таблица1[[#This Row],[Размер кредита]]-21824)/(789096-21824)</f>
        <v>0.69477577703865123</v>
      </c>
      <c r="T1239" s="9">
        <f>(Таблица1[[#This Row],[Кредитный рейтинг]]-586)/(751-586)</f>
        <v>6.0606060606060608E-2</v>
      </c>
      <c r="U1239" s="9">
        <f>Таблица1[[#This Row],[Ежемесячный платеж]]/(Таблица1[[#This Row],[Годовой доход]]/12)</f>
        <v>9.5500446030330061E-2</v>
      </c>
    </row>
    <row r="1240" spans="1:21" x14ac:dyDescent="0.3">
      <c r="A1240">
        <v>1239</v>
      </c>
      <c r="B1240">
        <v>0</v>
      </c>
      <c r="C1240" s="9">
        <v>624250</v>
      </c>
      <c r="D1240">
        <v>702</v>
      </c>
      <c r="E1240" s="1">
        <v>2672540</v>
      </c>
      <c r="F1240">
        <v>0</v>
      </c>
      <c r="G1240">
        <v>23384.63</v>
      </c>
      <c r="H1240">
        <v>29</v>
      </c>
      <c r="I1240">
        <v>15</v>
      </c>
      <c r="J1240">
        <v>495216</v>
      </c>
      <c r="K1240">
        <v>864864</v>
      </c>
      <c r="L1240" t="s">
        <v>50</v>
      </c>
      <c r="M1240" t="s">
        <v>1279</v>
      </c>
      <c r="N1240" t="s">
        <v>26</v>
      </c>
      <c r="O1240" t="s">
        <v>21</v>
      </c>
      <c r="P1240" t="s">
        <v>31</v>
      </c>
      <c r="Q1240" t="s">
        <v>23</v>
      </c>
      <c r="R1240" t="b">
        <f>OR(Таблица1[[#This Row],[Ежемесячный платеж]]&lt;$AC$5, Таблица1[[#This Row],[Ежемесячный платеж]]&gt;$AC$6)</f>
        <v>0</v>
      </c>
      <c r="S1240" s="9">
        <f>(Таблица1[[#This Row],[Размер кредита]]-21824)/(789096-21824)</f>
        <v>0.7851531138892075</v>
      </c>
      <c r="T1240" s="9">
        <f>(Таблица1[[#This Row],[Кредитный рейтинг]]-586)/(751-586)</f>
        <v>0.70303030303030301</v>
      </c>
      <c r="U1240" s="9">
        <f>Таблица1[[#This Row],[Ежемесячный платеж]]/(Таблица1[[#This Row],[Годовой доход]]/12)</f>
        <v>0.10499957343949951</v>
      </c>
    </row>
    <row r="1241" spans="1:21" x14ac:dyDescent="0.3">
      <c r="A1241">
        <v>1240</v>
      </c>
      <c r="B1241">
        <v>0</v>
      </c>
      <c r="D1241">
        <v>734</v>
      </c>
      <c r="E1241" s="1">
        <v>456589</v>
      </c>
      <c r="F1241">
        <v>0</v>
      </c>
      <c r="G1241">
        <v>4489.8900000000003</v>
      </c>
      <c r="H1241">
        <v>19.600000000000001</v>
      </c>
      <c r="I1241">
        <v>8</v>
      </c>
      <c r="J1241">
        <v>2907</v>
      </c>
      <c r="K1241">
        <v>13222</v>
      </c>
      <c r="L1241" t="s">
        <v>41</v>
      </c>
      <c r="M1241" t="s">
        <v>1280</v>
      </c>
      <c r="N1241" t="s">
        <v>2042</v>
      </c>
      <c r="O1241" t="s">
        <v>28</v>
      </c>
      <c r="P1241" t="s">
        <v>22</v>
      </c>
      <c r="Q1241" t="s">
        <v>23</v>
      </c>
      <c r="R1241" t="b">
        <f>OR(Таблица1[[#This Row],[Ежемесячный платеж]]&lt;$AC$5, Таблица1[[#This Row],[Ежемесячный платеж]]&gt;$AC$6)</f>
        <v>0</v>
      </c>
      <c r="T1241" s="9">
        <f>(Таблица1[[#This Row],[Кредитный рейтинг]]-586)/(751-586)</f>
        <v>0.89696969696969697</v>
      </c>
      <c r="U1241" s="9">
        <f>Таблица1[[#This Row],[Ежемесячный платеж]]/(Таблица1[[#This Row],[Годовой доход]]/12)</f>
        <v>0.11800258000083226</v>
      </c>
    </row>
    <row r="1242" spans="1:21" x14ac:dyDescent="0.3">
      <c r="A1242">
        <v>1241</v>
      </c>
      <c r="B1242">
        <v>0</v>
      </c>
      <c r="D1242">
        <v>747</v>
      </c>
      <c r="E1242" s="1">
        <v>2157906</v>
      </c>
      <c r="F1242">
        <v>74</v>
      </c>
      <c r="G1242">
        <v>11149.2</v>
      </c>
      <c r="H1242">
        <v>36</v>
      </c>
      <c r="I1242">
        <v>18</v>
      </c>
      <c r="J1242">
        <v>257526</v>
      </c>
      <c r="K1242">
        <v>1192730</v>
      </c>
      <c r="L1242" t="s">
        <v>47</v>
      </c>
      <c r="M1242" t="s">
        <v>1281</v>
      </c>
      <c r="N1242" t="s">
        <v>68</v>
      </c>
      <c r="O1242" t="s">
        <v>21</v>
      </c>
      <c r="P1242" t="s">
        <v>22</v>
      </c>
      <c r="Q1242" t="s">
        <v>23</v>
      </c>
      <c r="R1242" t="b">
        <f>OR(Таблица1[[#This Row],[Ежемесячный платеж]]&lt;$AC$5, Таблица1[[#This Row],[Ежемесячный платеж]]&gt;$AC$6)</f>
        <v>0</v>
      </c>
      <c r="T1242" s="9">
        <f>(Таблица1[[#This Row],[Кредитный рейтинг]]-586)/(751-586)</f>
        <v>0.97575757575757571</v>
      </c>
      <c r="U1242" s="9">
        <f>Таблица1[[#This Row],[Ежемесячный платеж]]/(Таблица1[[#This Row],[Годовой доход]]/12)</f>
        <v>6.2000105657985104E-2</v>
      </c>
    </row>
    <row r="1243" spans="1:21" x14ac:dyDescent="0.3">
      <c r="A1243">
        <v>1242</v>
      </c>
      <c r="B1243">
        <v>0</v>
      </c>
      <c r="C1243" s="9">
        <v>366014</v>
      </c>
      <c r="D1243">
        <v>726</v>
      </c>
      <c r="E1243" s="1">
        <v>1072493</v>
      </c>
      <c r="F1243">
        <v>0</v>
      </c>
      <c r="G1243">
        <v>21271.07</v>
      </c>
      <c r="H1243">
        <v>15</v>
      </c>
      <c r="I1243">
        <v>16</v>
      </c>
      <c r="J1243">
        <v>156997</v>
      </c>
      <c r="K1243">
        <v>646932</v>
      </c>
      <c r="L1243" t="s">
        <v>37</v>
      </c>
      <c r="M1243" t="s">
        <v>1282</v>
      </c>
      <c r="N1243" t="s">
        <v>26</v>
      </c>
      <c r="O1243" t="s">
        <v>21</v>
      </c>
      <c r="P1243" t="s">
        <v>31</v>
      </c>
      <c r="Q1243" t="s">
        <v>36</v>
      </c>
      <c r="R1243" t="b">
        <f>OR(Таблица1[[#This Row],[Ежемесячный платеж]]&lt;$AC$5, Таблица1[[#This Row],[Ежемесячный платеж]]&gt;$AC$6)</f>
        <v>0</v>
      </c>
      <c r="S1243" s="9">
        <f>(Таблица1[[#This Row],[Размер кредита]]-21824)/(789096-21824)</f>
        <v>0.44858928776235807</v>
      </c>
      <c r="T1243" s="9">
        <f>(Таблица1[[#This Row],[Кредитный рейтинг]]-586)/(751-586)</f>
        <v>0.84848484848484851</v>
      </c>
      <c r="U1243" s="9">
        <f>Таблица1[[#This Row],[Ежемесячный платеж]]/(Таблица1[[#This Row],[Годовой доход]]/12)</f>
        <v>0.23799953939093307</v>
      </c>
    </row>
    <row r="1244" spans="1:21" x14ac:dyDescent="0.3">
      <c r="A1244">
        <v>1243</v>
      </c>
      <c r="B1244">
        <v>0</v>
      </c>
      <c r="C1244" s="9">
        <v>334290</v>
      </c>
      <c r="D1244">
        <f>$Y$13</f>
        <v>723</v>
      </c>
      <c r="E1244">
        <f>$AB$13</f>
        <v>1168044</v>
      </c>
      <c r="F1244">
        <v>0</v>
      </c>
      <c r="G1244">
        <v>10826.39</v>
      </c>
      <c r="H1244">
        <v>15.4</v>
      </c>
      <c r="I1244">
        <v>12</v>
      </c>
      <c r="J1244">
        <v>0</v>
      </c>
      <c r="K1244">
        <v>0</v>
      </c>
      <c r="L1244" t="s">
        <v>37</v>
      </c>
      <c r="M1244" t="s">
        <v>1283</v>
      </c>
      <c r="N1244" t="s">
        <v>68</v>
      </c>
      <c r="O1244" t="s">
        <v>34</v>
      </c>
      <c r="P1244" t="s">
        <v>22</v>
      </c>
      <c r="Q1244" t="s">
        <v>23</v>
      </c>
      <c r="R1244" t="b">
        <f>OR(Таблица1[[#This Row],[Ежемесячный платеж]]&lt;$AC$5, Таблица1[[#This Row],[Ежемесячный платеж]]&gt;$AC$6)</f>
        <v>0</v>
      </c>
      <c r="S1244" s="9">
        <f>(Таблица1[[#This Row],[Размер кредита]]-21824)/(789096-21824)</f>
        <v>0.407242803073747</v>
      </c>
      <c r="T1244" s="9">
        <f>(Таблица1[[#This Row],[Кредитный рейтинг]]-586)/(751-586)</f>
        <v>0.83030303030303032</v>
      </c>
      <c r="U1244" s="9">
        <f>Таблица1[[#This Row],[Ежемесячный платеж]]/(Таблица1[[#This Row],[Годовой доход]]/12)</f>
        <v>0.11122584423189537</v>
      </c>
    </row>
    <row r="1245" spans="1:21" x14ac:dyDescent="0.3">
      <c r="A1245">
        <v>1244</v>
      </c>
      <c r="B1245">
        <v>0</v>
      </c>
      <c r="C1245" s="9">
        <v>154594</v>
      </c>
      <c r="D1245">
        <f>$Y$13</f>
        <v>723</v>
      </c>
      <c r="E1245">
        <f>$AB$13</f>
        <v>1168044</v>
      </c>
      <c r="F1245">
        <v>0</v>
      </c>
      <c r="G1245">
        <v>10075.51</v>
      </c>
      <c r="H1245">
        <v>12.7</v>
      </c>
      <c r="I1245">
        <v>7</v>
      </c>
      <c r="J1245">
        <v>97280</v>
      </c>
      <c r="K1245">
        <v>255420</v>
      </c>
      <c r="L1245" t="s">
        <v>24</v>
      </c>
      <c r="M1245" t="s">
        <v>1284</v>
      </c>
      <c r="N1245" t="s">
        <v>26</v>
      </c>
      <c r="O1245" t="s">
        <v>28</v>
      </c>
      <c r="P1245" t="s">
        <v>22</v>
      </c>
      <c r="Q1245" t="s">
        <v>23</v>
      </c>
      <c r="R1245" t="b">
        <f>OR(Таблица1[[#This Row],[Ежемесячный платеж]]&lt;$AC$5, Таблица1[[#This Row],[Ежемесячный платеж]]&gt;$AC$6)</f>
        <v>0</v>
      </c>
      <c r="S1245" s="9">
        <f>(Таблица1[[#This Row],[Размер кредита]]-21824)/(789096-21824)</f>
        <v>0.17304163321481822</v>
      </c>
      <c r="T1245" s="9">
        <f>(Таблица1[[#This Row],[Кредитный рейтинг]]-586)/(751-586)</f>
        <v>0.83030303030303032</v>
      </c>
      <c r="U1245" s="9">
        <f>Таблица1[[#This Row],[Ежемесячный платеж]]/(Таблица1[[#This Row],[Годовой доход]]/12)</f>
        <v>0.10351161428850283</v>
      </c>
    </row>
    <row r="1246" spans="1:21" x14ac:dyDescent="0.3">
      <c r="A1246">
        <v>1245</v>
      </c>
      <c r="B1246">
        <v>0</v>
      </c>
      <c r="C1246" s="9">
        <v>661188</v>
      </c>
      <c r="D1246">
        <v>690</v>
      </c>
      <c r="E1246" s="1">
        <v>5139234</v>
      </c>
      <c r="F1246">
        <v>3</v>
      </c>
      <c r="G1246">
        <v>31434.93</v>
      </c>
      <c r="H1246">
        <v>29.3</v>
      </c>
      <c r="I1246">
        <v>16</v>
      </c>
      <c r="J1246">
        <v>275424</v>
      </c>
      <c r="K1246">
        <v>791362</v>
      </c>
      <c r="L1246" t="s">
        <v>24</v>
      </c>
      <c r="M1246" t="s">
        <v>1285</v>
      </c>
      <c r="N1246" t="s">
        <v>40</v>
      </c>
      <c r="O1246" t="s">
        <v>34</v>
      </c>
      <c r="P1246" t="s">
        <v>31</v>
      </c>
      <c r="Q1246" t="s">
        <v>23</v>
      </c>
      <c r="R1246" t="b">
        <f>OR(Таблица1[[#This Row],[Ежемесячный платеж]]&lt;$AC$5, Таблица1[[#This Row],[Ежемесячный платеж]]&gt;$AC$6)</f>
        <v>0</v>
      </c>
      <c r="S1246" s="9">
        <f>(Таблица1[[#This Row],[Размер кредита]]-21824)/(789096-21824)</f>
        <v>0.83329510264938644</v>
      </c>
      <c r="T1246" s="9">
        <f>(Таблица1[[#This Row],[Кредитный рейтинг]]-586)/(751-586)</f>
        <v>0.63030303030303025</v>
      </c>
      <c r="U1246" s="9">
        <f>Таблица1[[#This Row],[Ежемесячный платеж]]/(Таблица1[[#This Row],[Годовой доход]]/12)</f>
        <v>7.3399880215611904E-2</v>
      </c>
    </row>
    <row r="1247" spans="1:21" x14ac:dyDescent="0.3">
      <c r="A1247">
        <v>1246</v>
      </c>
      <c r="B1247">
        <v>0</v>
      </c>
      <c r="C1247" s="9">
        <v>501138</v>
      </c>
      <c r="D1247">
        <v>713</v>
      </c>
      <c r="E1247" s="1">
        <v>1518632</v>
      </c>
      <c r="F1247">
        <v>0</v>
      </c>
      <c r="G1247">
        <v>14679.97</v>
      </c>
      <c r="H1247">
        <v>13.5</v>
      </c>
      <c r="I1247">
        <v>8</v>
      </c>
      <c r="J1247">
        <v>584155</v>
      </c>
      <c r="K1247">
        <v>1184568</v>
      </c>
      <c r="L1247" t="s">
        <v>50</v>
      </c>
      <c r="M1247" t="s">
        <v>1286</v>
      </c>
      <c r="N1247" t="s">
        <v>26</v>
      </c>
      <c r="O1247" t="s">
        <v>21</v>
      </c>
      <c r="P1247" t="s">
        <v>31</v>
      </c>
      <c r="Q1247" t="s">
        <v>23</v>
      </c>
      <c r="R1247" t="b">
        <f>OR(Таблица1[[#This Row],[Ежемесячный платеж]]&lt;$AC$5, Таблица1[[#This Row],[Ежемесячный платеж]]&gt;$AC$6)</f>
        <v>0</v>
      </c>
      <c r="S1247" s="9">
        <f>(Таблица1[[#This Row],[Размер кредита]]-21824)/(789096-21824)</f>
        <v>0.62469893336391791</v>
      </c>
      <c r="T1247" s="9">
        <f>(Таблица1[[#This Row],[Кредитный рейтинг]]-586)/(751-586)</f>
        <v>0.76969696969696966</v>
      </c>
      <c r="U1247" s="9">
        <f>Таблица1[[#This Row],[Ежемесячный платеж]]/(Таблица1[[#This Row],[Годовой доход]]/12)</f>
        <v>0.11599889900910819</v>
      </c>
    </row>
    <row r="1248" spans="1:21" x14ac:dyDescent="0.3">
      <c r="A1248">
        <v>1247</v>
      </c>
      <c r="B1248">
        <v>0</v>
      </c>
      <c r="C1248" s="9">
        <v>555170</v>
      </c>
      <c r="D1248">
        <v>684</v>
      </c>
      <c r="E1248" s="1">
        <v>1150716</v>
      </c>
      <c r="F1248">
        <v>0</v>
      </c>
      <c r="G1248">
        <v>23014.32</v>
      </c>
      <c r="H1248">
        <v>32.299999999999997</v>
      </c>
      <c r="I1248">
        <v>11</v>
      </c>
      <c r="J1248">
        <v>172691</v>
      </c>
      <c r="K1248">
        <v>333256</v>
      </c>
      <c r="L1248" t="s">
        <v>32</v>
      </c>
      <c r="M1248" t="s">
        <v>1287</v>
      </c>
      <c r="N1248" t="s">
        <v>26</v>
      </c>
      <c r="O1248" t="s">
        <v>21</v>
      </c>
      <c r="P1248" t="s">
        <v>31</v>
      </c>
      <c r="Q1248" t="s">
        <v>23</v>
      </c>
      <c r="R1248" t="b">
        <f>OR(Таблица1[[#This Row],[Ежемесячный платеж]]&lt;$AC$5, Таблица1[[#This Row],[Ежемесячный платеж]]&gt;$AC$6)</f>
        <v>0</v>
      </c>
      <c r="S1248" s="9">
        <f>(Таблица1[[#This Row],[Размер кредита]]-21824)/(789096-21824)</f>
        <v>0.69511985319417369</v>
      </c>
      <c r="T1248" s="9">
        <f>(Таблица1[[#This Row],[Кредитный рейтинг]]-586)/(751-586)</f>
        <v>0.59393939393939399</v>
      </c>
      <c r="U1248" s="9">
        <f>Таблица1[[#This Row],[Ежемесячный платеж]]/(Таблица1[[#This Row],[Годовой доход]]/12)</f>
        <v>0.24</v>
      </c>
    </row>
    <row r="1249" spans="1:21" x14ac:dyDescent="0.3">
      <c r="A1249">
        <v>1248</v>
      </c>
      <c r="B1249">
        <v>0</v>
      </c>
      <c r="C1249" s="9">
        <v>51414</v>
      </c>
      <c r="D1249">
        <v>744</v>
      </c>
      <c r="E1249" s="1">
        <v>386118</v>
      </c>
      <c r="F1249">
        <v>29</v>
      </c>
      <c r="G1249">
        <v>6885.79</v>
      </c>
      <c r="H1249">
        <v>28.8</v>
      </c>
      <c r="I1249">
        <v>7</v>
      </c>
      <c r="J1249">
        <v>27360</v>
      </c>
      <c r="K1249">
        <v>94006</v>
      </c>
      <c r="L1249" t="s">
        <v>47</v>
      </c>
      <c r="M1249" t="s">
        <v>1288</v>
      </c>
      <c r="N1249" t="s">
        <v>26</v>
      </c>
      <c r="O1249" t="s">
        <v>34</v>
      </c>
      <c r="P1249" t="s">
        <v>22</v>
      </c>
      <c r="Q1249" t="s">
        <v>23</v>
      </c>
      <c r="R1249" t="b">
        <f>OR(Таблица1[[#This Row],[Ежемесячный платеж]]&lt;$AC$5, Таблица1[[#This Row],[Ежемесячный платеж]]&gt;$AC$6)</f>
        <v>0</v>
      </c>
      <c r="S1249" s="9">
        <f>(Таблица1[[#This Row],[Размер кредита]]-21824)/(789096-21824)</f>
        <v>3.8565202431471497E-2</v>
      </c>
      <c r="T1249" s="9">
        <f>(Таблица1[[#This Row],[Кредитный рейтинг]]-586)/(751-586)</f>
        <v>0.95757575757575752</v>
      </c>
      <c r="U1249" s="9">
        <f>Таблица1[[#This Row],[Ежемесячный платеж]]/(Таблица1[[#This Row],[Годовой доход]]/12)</f>
        <v>0.21400059049306169</v>
      </c>
    </row>
    <row r="1250" spans="1:21" x14ac:dyDescent="0.3">
      <c r="A1250">
        <v>1249</v>
      </c>
      <c r="B1250">
        <v>0</v>
      </c>
      <c r="C1250" s="9">
        <v>263714</v>
      </c>
      <c r="D1250">
        <v>717</v>
      </c>
      <c r="E1250" s="1">
        <v>4744775</v>
      </c>
      <c r="F1250">
        <v>55</v>
      </c>
      <c r="G1250">
        <v>72357.89</v>
      </c>
      <c r="H1250">
        <v>34.5</v>
      </c>
      <c r="I1250">
        <v>10</v>
      </c>
      <c r="J1250">
        <v>594738</v>
      </c>
      <c r="K1250">
        <v>760078</v>
      </c>
      <c r="L1250" t="s">
        <v>18</v>
      </c>
      <c r="M1250" t="s">
        <v>1289</v>
      </c>
      <c r="N1250" t="s">
        <v>26</v>
      </c>
      <c r="O1250" t="s">
        <v>21</v>
      </c>
      <c r="P1250" t="s">
        <v>31</v>
      </c>
      <c r="Q1250" t="s">
        <v>23</v>
      </c>
      <c r="R1250" t="b">
        <f>OR(Таблица1[[#This Row],[Ежемесячный платеж]]&lt;$AC$5, Таблица1[[#This Row],[Ежемесячный платеж]]&gt;$AC$6)</f>
        <v>1</v>
      </c>
      <c r="S1250" s="9">
        <f>(Таблица1[[#This Row],[Размер кредита]]-21824)/(789096-21824)</f>
        <v>0.3152597774974194</v>
      </c>
      <c r="T1250" s="9">
        <f>(Таблица1[[#This Row],[Кредитный рейтинг]]-586)/(751-586)</f>
        <v>0.79393939393939394</v>
      </c>
      <c r="U1250" s="9">
        <f>Таблица1[[#This Row],[Ежемесячный платеж]]/(Таблица1[[#This Row],[Годовой доход]]/12)</f>
        <v>0.18300018019821804</v>
      </c>
    </row>
    <row r="1251" spans="1:21" x14ac:dyDescent="0.3">
      <c r="A1251">
        <v>1250</v>
      </c>
      <c r="B1251">
        <v>0</v>
      </c>
      <c r="C1251" s="9">
        <v>327294</v>
      </c>
      <c r="D1251">
        <v>738</v>
      </c>
      <c r="E1251" s="1">
        <v>1224873</v>
      </c>
      <c r="F1251">
        <v>0</v>
      </c>
      <c r="G1251">
        <v>19189.62</v>
      </c>
      <c r="H1251">
        <v>11.3</v>
      </c>
      <c r="I1251">
        <v>8</v>
      </c>
      <c r="J1251">
        <v>127775</v>
      </c>
      <c r="K1251">
        <v>294734</v>
      </c>
      <c r="L1251" t="s">
        <v>41</v>
      </c>
      <c r="M1251" t="s">
        <v>1290</v>
      </c>
      <c r="N1251" t="s">
        <v>20</v>
      </c>
      <c r="O1251" t="s">
        <v>21</v>
      </c>
      <c r="P1251" t="s">
        <v>22</v>
      </c>
      <c r="Q1251" t="s">
        <v>23</v>
      </c>
      <c r="R1251" t="b">
        <f>OR(Таблица1[[#This Row],[Ежемесячный платеж]]&lt;$AC$5, Таблица1[[#This Row],[Ежемесячный платеж]]&gt;$AC$6)</f>
        <v>0</v>
      </c>
      <c r="S1251" s="9">
        <f>(Таблица1[[#This Row],[Размер кредита]]-21824)/(789096-21824)</f>
        <v>0.39812478495240278</v>
      </c>
      <c r="T1251" s="9">
        <f>(Таблица1[[#This Row],[Кредитный рейтинг]]-586)/(751-586)</f>
        <v>0.92121212121212126</v>
      </c>
      <c r="U1251" s="9">
        <f>Таблица1[[#This Row],[Ежемесячный платеж]]/(Таблица1[[#This Row],[Годовой доход]]/12)</f>
        <v>0.18799944157475917</v>
      </c>
    </row>
    <row r="1252" spans="1:21" x14ac:dyDescent="0.3">
      <c r="A1252">
        <v>1251</v>
      </c>
      <c r="B1252">
        <v>0</v>
      </c>
      <c r="C1252" s="9">
        <v>195096</v>
      </c>
      <c r="D1252">
        <v>717</v>
      </c>
      <c r="E1252" s="1">
        <v>664468</v>
      </c>
      <c r="F1252">
        <v>0</v>
      </c>
      <c r="G1252">
        <v>14950.53</v>
      </c>
      <c r="H1252">
        <v>28.6</v>
      </c>
      <c r="I1252">
        <v>15</v>
      </c>
      <c r="J1252">
        <v>179094</v>
      </c>
      <c r="K1252">
        <v>296670</v>
      </c>
      <c r="L1252" t="s">
        <v>50</v>
      </c>
      <c r="M1252" t="s">
        <v>1291</v>
      </c>
      <c r="N1252" t="s">
        <v>26</v>
      </c>
      <c r="O1252" t="s">
        <v>34</v>
      </c>
      <c r="P1252" t="s">
        <v>22</v>
      </c>
      <c r="Q1252" t="s">
        <v>23</v>
      </c>
      <c r="R1252" t="b">
        <f>OR(Таблица1[[#This Row],[Ежемесячный платеж]]&lt;$AC$5, Таблица1[[#This Row],[Ежемесячный платеж]]&gt;$AC$6)</f>
        <v>0</v>
      </c>
      <c r="S1252" s="9">
        <f>(Таблица1[[#This Row],[Размер кредита]]-21824)/(789096-21824)</f>
        <v>0.22582865007454983</v>
      </c>
      <c r="T1252" s="9">
        <f>(Таблица1[[#This Row],[Кредитный рейтинг]]-586)/(751-586)</f>
        <v>0.79393939393939394</v>
      </c>
      <c r="U1252" s="9">
        <f>Таблица1[[#This Row],[Ежемесячный платеж]]/(Таблица1[[#This Row],[Годовой доход]]/12)</f>
        <v>0.27</v>
      </c>
    </row>
    <row r="1253" spans="1:21" x14ac:dyDescent="0.3">
      <c r="A1253">
        <v>1252</v>
      </c>
      <c r="B1253">
        <v>0</v>
      </c>
      <c r="C1253" s="9">
        <v>212256</v>
      </c>
      <c r="D1253">
        <v>727</v>
      </c>
      <c r="E1253" s="1">
        <v>907212</v>
      </c>
      <c r="F1253">
        <v>0</v>
      </c>
      <c r="G1253">
        <v>20261.22</v>
      </c>
      <c r="H1253">
        <v>14.1</v>
      </c>
      <c r="I1253">
        <v>6</v>
      </c>
      <c r="J1253">
        <v>265164</v>
      </c>
      <c r="K1253">
        <v>348898</v>
      </c>
      <c r="L1253" t="s">
        <v>47</v>
      </c>
      <c r="M1253" t="s">
        <v>1292</v>
      </c>
      <c r="N1253" t="s">
        <v>26</v>
      </c>
      <c r="O1253" t="s">
        <v>34</v>
      </c>
      <c r="P1253" t="s">
        <v>22</v>
      </c>
      <c r="Q1253" t="s">
        <v>23</v>
      </c>
      <c r="R1253" t="b">
        <f>OR(Таблица1[[#This Row],[Ежемесячный платеж]]&lt;$AC$5, Таблица1[[#This Row],[Ежемесячный платеж]]&gt;$AC$6)</f>
        <v>0</v>
      </c>
      <c r="S1253" s="9">
        <f>(Таблица1[[#This Row],[Размер кредита]]-21824)/(789096-21824)</f>
        <v>0.24819360018350728</v>
      </c>
      <c r="T1253" s="9">
        <f>(Таблица1[[#This Row],[Кредитный рейтинг]]-586)/(751-586)</f>
        <v>0.8545454545454545</v>
      </c>
      <c r="U1253" s="9">
        <f>Таблица1[[#This Row],[Ежемесячный платеж]]/(Таблица1[[#This Row],[Годовой доход]]/12)</f>
        <v>0.26800201055541595</v>
      </c>
    </row>
    <row r="1254" spans="1:21" x14ac:dyDescent="0.3">
      <c r="A1254">
        <v>1253</v>
      </c>
      <c r="B1254">
        <v>0</v>
      </c>
      <c r="D1254">
        <v>738</v>
      </c>
      <c r="E1254" s="1">
        <v>1147524</v>
      </c>
      <c r="F1254">
        <v>3</v>
      </c>
      <c r="G1254">
        <v>27731.83</v>
      </c>
      <c r="H1254">
        <v>11.4</v>
      </c>
      <c r="I1254">
        <v>16</v>
      </c>
      <c r="J1254">
        <v>143488</v>
      </c>
      <c r="K1254">
        <v>433752</v>
      </c>
      <c r="L1254" t="s">
        <v>37</v>
      </c>
      <c r="M1254" t="s">
        <v>1293</v>
      </c>
      <c r="N1254" t="s">
        <v>26</v>
      </c>
      <c r="O1254" t="s">
        <v>21</v>
      </c>
      <c r="P1254" t="s">
        <v>22</v>
      </c>
      <c r="Q1254" t="s">
        <v>23</v>
      </c>
      <c r="R1254" t="b">
        <f>OR(Таблица1[[#This Row],[Ежемесячный платеж]]&lt;$AC$5, Таблица1[[#This Row],[Ежемесячный платеж]]&gt;$AC$6)</f>
        <v>0</v>
      </c>
      <c r="T1254" s="9">
        <f>(Таблица1[[#This Row],[Кредитный рейтинг]]-586)/(751-586)</f>
        <v>0.92121212121212126</v>
      </c>
      <c r="U1254" s="9">
        <f>Таблица1[[#This Row],[Ежемесячный платеж]]/(Таблица1[[#This Row],[Годовой доход]]/12)</f>
        <v>0.29000000000000004</v>
      </c>
    </row>
    <row r="1255" spans="1:21" x14ac:dyDescent="0.3">
      <c r="A1255">
        <v>1254</v>
      </c>
      <c r="B1255">
        <v>0</v>
      </c>
      <c r="C1255" s="9">
        <v>120274</v>
      </c>
      <c r="D1255">
        <v>747</v>
      </c>
      <c r="E1255" s="1">
        <v>779095</v>
      </c>
      <c r="F1255">
        <v>0</v>
      </c>
      <c r="G1255">
        <v>13504.25</v>
      </c>
      <c r="H1255">
        <v>16.5</v>
      </c>
      <c r="I1255">
        <v>14</v>
      </c>
      <c r="J1255">
        <v>308693</v>
      </c>
      <c r="K1255">
        <v>981948</v>
      </c>
      <c r="L1255" t="s">
        <v>24</v>
      </c>
      <c r="M1255" t="s">
        <v>1294</v>
      </c>
      <c r="N1255" t="s">
        <v>26</v>
      </c>
      <c r="O1255" t="s">
        <v>21</v>
      </c>
      <c r="P1255" t="s">
        <v>22</v>
      </c>
      <c r="Q1255" t="s">
        <v>23</v>
      </c>
      <c r="R1255" t="b">
        <f>OR(Таблица1[[#This Row],[Ежемесячный платеж]]&lt;$AC$5, Таблица1[[#This Row],[Ежемесячный платеж]]&gt;$AC$6)</f>
        <v>0</v>
      </c>
      <c r="S1255" s="9">
        <f>(Таблица1[[#This Row],[Размер кредита]]-21824)/(789096-21824)</f>
        <v>0.12831173299690332</v>
      </c>
      <c r="T1255" s="9">
        <f>(Таблица1[[#This Row],[Кредитный рейтинг]]-586)/(751-586)</f>
        <v>0.97575757575757571</v>
      </c>
      <c r="U1255" s="9">
        <f>Таблица1[[#This Row],[Ежемесячный платеж]]/(Таблица1[[#This Row],[Годовой доход]]/12)</f>
        <v>0.20799902450920618</v>
      </c>
    </row>
    <row r="1256" spans="1:21" x14ac:dyDescent="0.3">
      <c r="A1256">
        <v>1255</v>
      </c>
      <c r="B1256">
        <v>0</v>
      </c>
      <c r="C1256" s="9">
        <v>218878</v>
      </c>
      <c r="D1256">
        <v>747</v>
      </c>
      <c r="E1256" s="1">
        <v>1058642</v>
      </c>
      <c r="F1256">
        <v>0</v>
      </c>
      <c r="G1256">
        <v>11115.76</v>
      </c>
      <c r="H1256">
        <v>16.2</v>
      </c>
      <c r="I1256">
        <v>9</v>
      </c>
      <c r="J1256">
        <v>15086</v>
      </c>
      <c r="K1256">
        <v>356466</v>
      </c>
      <c r="L1256" t="s">
        <v>41</v>
      </c>
      <c r="M1256" t="s">
        <v>1295</v>
      </c>
      <c r="N1256" t="s">
        <v>20</v>
      </c>
      <c r="O1256" t="s">
        <v>28</v>
      </c>
      <c r="P1256" t="s">
        <v>22</v>
      </c>
      <c r="Q1256" t="s">
        <v>23</v>
      </c>
      <c r="R1256" t="b">
        <f>OR(Таблица1[[#This Row],[Ежемесячный платеж]]&lt;$AC$5, Таблица1[[#This Row],[Ежемесячный платеж]]&gt;$AC$6)</f>
        <v>0</v>
      </c>
      <c r="S1256" s="9">
        <f>(Таблица1[[#This Row],[Размер кредита]]-21824)/(789096-21824)</f>
        <v>0.25682417708452804</v>
      </c>
      <c r="T1256" s="9">
        <f>(Таблица1[[#This Row],[Кредитный рейтинг]]-586)/(751-586)</f>
        <v>0.97575757575757571</v>
      </c>
      <c r="U1256" s="9">
        <f>Таблица1[[#This Row],[Ежемесячный платеж]]/(Таблица1[[#This Row],[Годовой доход]]/12)</f>
        <v>0.12600021537025735</v>
      </c>
    </row>
    <row r="1257" spans="1:21" x14ac:dyDescent="0.3">
      <c r="A1257">
        <v>1256</v>
      </c>
      <c r="B1257">
        <v>0</v>
      </c>
      <c r="C1257" s="9">
        <v>197032</v>
      </c>
      <c r="D1257">
        <f>$Y$13</f>
        <v>723</v>
      </c>
      <c r="E1257">
        <f>$AB$13</f>
        <v>1168044</v>
      </c>
      <c r="F1257">
        <v>20</v>
      </c>
      <c r="G1257">
        <v>22156.09</v>
      </c>
      <c r="H1257">
        <v>16.5</v>
      </c>
      <c r="I1257">
        <v>19</v>
      </c>
      <c r="J1257">
        <v>210463</v>
      </c>
      <c r="K1257">
        <v>476872</v>
      </c>
      <c r="L1257" t="s">
        <v>52</v>
      </c>
      <c r="M1257" t="s">
        <v>1296</v>
      </c>
      <c r="N1257" t="s">
        <v>26</v>
      </c>
      <c r="O1257" t="s">
        <v>21</v>
      </c>
      <c r="P1257" t="s">
        <v>22</v>
      </c>
      <c r="Q1257" t="s">
        <v>23</v>
      </c>
      <c r="R1257" t="b">
        <f>OR(Таблица1[[#This Row],[Ежемесячный платеж]]&lt;$AC$5, Таблица1[[#This Row],[Ежемесячный платеж]]&gt;$AC$6)</f>
        <v>0</v>
      </c>
      <c r="S1257" s="9">
        <f>(Таблица1[[#This Row],[Размер кредита]]-21824)/(789096-21824)</f>
        <v>0.2283518752150476</v>
      </c>
      <c r="T1257" s="9">
        <f>(Таблица1[[#This Row],[Кредитный рейтинг]]-586)/(751-586)</f>
        <v>0.83030303030303032</v>
      </c>
      <c r="U1257" s="9">
        <f>Таблица1[[#This Row],[Ежемесячный платеж]]/(Таблица1[[#This Row],[Годовой доход]]/12)</f>
        <v>0.2276224868241265</v>
      </c>
    </row>
    <row r="1258" spans="1:21" x14ac:dyDescent="0.3">
      <c r="A1258">
        <v>1257</v>
      </c>
      <c r="B1258">
        <v>0</v>
      </c>
      <c r="C1258" s="9">
        <v>186362</v>
      </c>
      <c r="D1258">
        <v>708</v>
      </c>
      <c r="E1258" s="1">
        <v>492328</v>
      </c>
      <c r="F1258">
        <v>0</v>
      </c>
      <c r="G1258">
        <v>8492.6200000000008</v>
      </c>
      <c r="H1258">
        <v>17.3</v>
      </c>
      <c r="I1258">
        <v>8</v>
      </c>
      <c r="J1258">
        <v>221255</v>
      </c>
      <c r="K1258">
        <v>326766</v>
      </c>
      <c r="L1258" t="s">
        <v>37</v>
      </c>
      <c r="M1258" t="s">
        <v>1297</v>
      </c>
      <c r="N1258" t="s">
        <v>26</v>
      </c>
      <c r="O1258" t="s">
        <v>28</v>
      </c>
      <c r="P1258" t="s">
        <v>22</v>
      </c>
      <c r="Q1258" t="s">
        <v>36</v>
      </c>
      <c r="R1258" t="b">
        <f>OR(Таблица1[[#This Row],[Ежемесячный платеж]]&lt;$AC$5, Таблица1[[#This Row],[Ежемесячный платеж]]&gt;$AC$6)</f>
        <v>0</v>
      </c>
      <c r="S1258" s="9">
        <f>(Таблица1[[#This Row],[Размер кредита]]-21824)/(789096-21824)</f>
        <v>0.21444546392934968</v>
      </c>
      <c r="T1258" s="9">
        <f>(Таблица1[[#This Row],[Кредитный рейтинг]]-586)/(751-586)</f>
        <v>0.73939393939393938</v>
      </c>
      <c r="U1258" s="9">
        <f>Таблица1[[#This Row],[Ежемесячный платеж]]/(Таблица1[[#This Row],[Годовой доход]]/12)</f>
        <v>0.20699907378820626</v>
      </c>
    </row>
    <row r="1259" spans="1:21" x14ac:dyDescent="0.3">
      <c r="A1259">
        <v>1258</v>
      </c>
      <c r="B1259">
        <v>0</v>
      </c>
      <c r="C1259" s="9">
        <v>233508</v>
      </c>
      <c r="D1259">
        <f>$Y$13</f>
        <v>723</v>
      </c>
      <c r="E1259">
        <f>$AB$13</f>
        <v>1168044</v>
      </c>
      <c r="F1259">
        <v>0</v>
      </c>
      <c r="G1259">
        <v>6644.49</v>
      </c>
      <c r="H1259">
        <v>14.4</v>
      </c>
      <c r="I1259">
        <v>12</v>
      </c>
      <c r="J1259">
        <v>213731</v>
      </c>
      <c r="K1259">
        <v>966724</v>
      </c>
      <c r="L1259" t="s">
        <v>29</v>
      </c>
      <c r="M1259" t="s">
        <v>1298</v>
      </c>
      <c r="N1259" t="s">
        <v>26</v>
      </c>
      <c r="O1259" t="s">
        <v>28</v>
      </c>
      <c r="P1259" t="s">
        <v>22</v>
      </c>
      <c r="Q1259" t="s">
        <v>23</v>
      </c>
      <c r="R1259" t="b">
        <f>OR(Таблица1[[#This Row],[Ежемесячный платеж]]&lt;$AC$5, Таблица1[[#This Row],[Ежемесячный платеж]]&gt;$AC$6)</f>
        <v>0</v>
      </c>
      <c r="S1259" s="9">
        <f>(Таблица1[[#This Row],[Размер кредита]]-21824)/(789096-21824)</f>
        <v>0.27589173070306228</v>
      </c>
      <c r="T1259" s="9">
        <f>(Таблица1[[#This Row],[Кредитный рейтинг]]-586)/(751-586)</f>
        <v>0.83030303030303032</v>
      </c>
      <c r="U1259" s="9">
        <f>Таблица1[[#This Row],[Ежемесячный платеж]]/(Таблица1[[#This Row],[Годовой доход]]/12)</f>
        <v>6.8262736677727892E-2</v>
      </c>
    </row>
    <row r="1260" spans="1:21" x14ac:dyDescent="0.3">
      <c r="A1260">
        <v>1259</v>
      </c>
      <c r="B1260">
        <v>0</v>
      </c>
      <c r="C1260" s="9">
        <v>35816</v>
      </c>
      <c r="D1260">
        <v>720</v>
      </c>
      <c r="E1260" s="1">
        <v>1198501</v>
      </c>
      <c r="F1260">
        <v>0</v>
      </c>
      <c r="G1260">
        <v>20074.830000000002</v>
      </c>
      <c r="H1260">
        <v>13.5</v>
      </c>
      <c r="I1260">
        <v>13</v>
      </c>
      <c r="J1260">
        <v>413098</v>
      </c>
      <c r="K1260">
        <v>501380</v>
      </c>
      <c r="L1260" t="s">
        <v>63</v>
      </c>
      <c r="M1260" t="s">
        <v>1299</v>
      </c>
      <c r="N1260" t="s">
        <v>68</v>
      </c>
      <c r="O1260" t="s">
        <v>34</v>
      </c>
      <c r="P1260" t="s">
        <v>22</v>
      </c>
      <c r="Q1260" t="s">
        <v>23</v>
      </c>
      <c r="R1260" t="b">
        <f>OR(Таблица1[[#This Row],[Ежемесячный платеж]]&lt;$AC$5, Таблица1[[#This Row],[Ежемесячный платеж]]&gt;$AC$6)</f>
        <v>0</v>
      </c>
      <c r="S1260" s="9">
        <f>(Таблица1[[#This Row],[Размер кредита]]-21824)/(789096-21824)</f>
        <v>1.823603624268838E-2</v>
      </c>
      <c r="T1260" s="9">
        <f>(Таблица1[[#This Row],[Кредитный рейтинг]]-586)/(751-586)</f>
        <v>0.81212121212121213</v>
      </c>
      <c r="U1260" s="9">
        <f>Таблица1[[#This Row],[Ежемесячный платеж]]/(Таблица1[[#This Row],[Годовой доход]]/12)</f>
        <v>0.20099938172767484</v>
      </c>
    </row>
    <row r="1261" spans="1:21" x14ac:dyDescent="0.3">
      <c r="A1261">
        <v>1260</v>
      </c>
      <c r="B1261">
        <v>0</v>
      </c>
      <c r="D1261">
        <v>657</v>
      </c>
      <c r="E1261" s="1">
        <v>929518</v>
      </c>
      <c r="F1261">
        <v>0</v>
      </c>
      <c r="G1261">
        <v>12548.55</v>
      </c>
      <c r="H1261">
        <v>16.899999999999999</v>
      </c>
      <c r="I1261">
        <v>18</v>
      </c>
      <c r="J1261">
        <v>263549</v>
      </c>
      <c r="K1261">
        <v>521642</v>
      </c>
      <c r="L1261" t="s">
        <v>50</v>
      </c>
      <c r="M1261" s="2" t="s">
        <v>1300</v>
      </c>
      <c r="N1261" t="s">
        <v>26</v>
      </c>
      <c r="O1261" t="s">
        <v>34</v>
      </c>
      <c r="P1261" t="s">
        <v>22</v>
      </c>
      <c r="Q1261" t="s">
        <v>23</v>
      </c>
      <c r="R1261" t="b">
        <f>OR(Таблица1[[#This Row],[Ежемесячный платеж]]&lt;$AC$5, Таблица1[[#This Row],[Ежемесячный платеж]]&gt;$AC$6)</f>
        <v>0</v>
      </c>
      <c r="T1261" s="9">
        <f>(Таблица1[[#This Row],[Кредитный рейтинг]]-586)/(751-586)</f>
        <v>0.4303030303030303</v>
      </c>
      <c r="U1261" s="9">
        <f>Таблица1[[#This Row],[Ежемесячный платеж]]/(Таблица1[[#This Row],[Годовой доход]]/12)</f>
        <v>0.1620007358652549</v>
      </c>
    </row>
    <row r="1262" spans="1:21" x14ac:dyDescent="0.3">
      <c r="A1262">
        <v>1261</v>
      </c>
      <c r="B1262">
        <v>0</v>
      </c>
      <c r="C1262" s="9">
        <v>693660</v>
      </c>
      <c r="D1262">
        <v>673</v>
      </c>
      <c r="E1262" s="1">
        <v>2957863</v>
      </c>
      <c r="F1262">
        <v>37</v>
      </c>
      <c r="G1262">
        <v>55460.05</v>
      </c>
      <c r="H1262">
        <v>21.3</v>
      </c>
      <c r="I1262">
        <v>22</v>
      </c>
      <c r="J1262">
        <v>350151</v>
      </c>
      <c r="K1262">
        <v>630542</v>
      </c>
      <c r="L1262" t="s">
        <v>24</v>
      </c>
      <c r="M1262" t="s">
        <v>1301</v>
      </c>
      <c r="N1262" t="s">
        <v>26</v>
      </c>
      <c r="O1262" t="s">
        <v>21</v>
      </c>
      <c r="P1262" t="s">
        <v>31</v>
      </c>
      <c r="Q1262" t="s">
        <v>23</v>
      </c>
      <c r="R1262" t="b">
        <f>OR(Таблица1[[#This Row],[Ежемесячный платеж]]&lt;$AC$5, Таблица1[[#This Row],[Ежемесячный платеж]]&gt;$AC$6)</f>
        <v>1</v>
      </c>
      <c r="S1262" s="9">
        <f>(Таблица1[[#This Row],[Размер кредита]]-21824)/(789096-21824)</f>
        <v>0.87561646977864438</v>
      </c>
      <c r="T1262" s="9">
        <f>(Таблица1[[#This Row],[Кредитный рейтинг]]-586)/(751-586)</f>
        <v>0.52727272727272723</v>
      </c>
      <c r="U1262" s="9">
        <f>Таблица1[[#This Row],[Ежемесячный платеж]]/(Таблица1[[#This Row],[Годовой доход]]/12)</f>
        <v>0.22500048176673498</v>
      </c>
    </row>
    <row r="1263" spans="1:21" x14ac:dyDescent="0.3">
      <c r="A1263">
        <v>1262</v>
      </c>
      <c r="B1263">
        <v>0</v>
      </c>
      <c r="C1263" s="9">
        <v>48268</v>
      </c>
      <c r="D1263">
        <v>720</v>
      </c>
      <c r="E1263" s="1">
        <v>217911</v>
      </c>
      <c r="F1263">
        <v>29</v>
      </c>
      <c r="G1263">
        <v>4013.18</v>
      </c>
      <c r="H1263">
        <v>7.4</v>
      </c>
      <c r="I1263">
        <v>6</v>
      </c>
      <c r="J1263">
        <v>71782</v>
      </c>
      <c r="K1263">
        <v>138292</v>
      </c>
      <c r="L1263" t="s">
        <v>37</v>
      </c>
      <c r="M1263" t="s">
        <v>1302</v>
      </c>
      <c r="N1263" t="s">
        <v>68</v>
      </c>
      <c r="O1263" t="s">
        <v>28</v>
      </c>
      <c r="P1263" t="s">
        <v>22</v>
      </c>
      <c r="Q1263" t="s">
        <v>36</v>
      </c>
      <c r="R1263" t="b">
        <f>OR(Таблица1[[#This Row],[Ежемесячный платеж]]&lt;$AC$5, Таблица1[[#This Row],[Ежемесячный платеж]]&gt;$AC$6)</f>
        <v>0</v>
      </c>
      <c r="S1263" s="9">
        <f>(Таблица1[[#This Row],[Размер кредита]]-21824)/(789096-21824)</f>
        <v>3.4464961578162631E-2</v>
      </c>
      <c r="T1263" s="9">
        <f>(Таблица1[[#This Row],[Кредитный рейтинг]]-586)/(751-586)</f>
        <v>0.81212121212121213</v>
      </c>
      <c r="U1263" s="9">
        <f>Таблица1[[#This Row],[Ежемесячный платеж]]/(Таблица1[[#This Row],[Годовой доход]]/12)</f>
        <v>0.22099921527596128</v>
      </c>
    </row>
    <row r="1264" spans="1:21" x14ac:dyDescent="0.3">
      <c r="A1264">
        <v>1263</v>
      </c>
      <c r="B1264">
        <v>0</v>
      </c>
      <c r="C1264" s="9">
        <v>786940</v>
      </c>
      <c r="D1264">
        <f>$Y$13</f>
        <v>723</v>
      </c>
      <c r="E1264">
        <f>$AB$13</f>
        <v>1168044</v>
      </c>
      <c r="F1264">
        <v>0</v>
      </c>
      <c r="G1264">
        <v>36821.43</v>
      </c>
      <c r="H1264">
        <v>33</v>
      </c>
      <c r="I1264">
        <v>19</v>
      </c>
      <c r="J1264">
        <v>1061967</v>
      </c>
      <c r="K1264">
        <v>1779514</v>
      </c>
      <c r="L1264" t="s">
        <v>63</v>
      </c>
      <c r="M1264" t="s">
        <v>1303</v>
      </c>
      <c r="N1264" t="s">
        <v>26</v>
      </c>
      <c r="O1264" t="s">
        <v>21</v>
      </c>
      <c r="P1264" t="s">
        <v>22</v>
      </c>
      <c r="Q1264" t="s">
        <v>23</v>
      </c>
      <c r="R1264" t="b">
        <f>OR(Таблица1[[#This Row],[Ежемесячный платеж]]&lt;$AC$5, Таблица1[[#This Row],[Ежемесячный платеж]]&gt;$AC$6)</f>
        <v>0</v>
      </c>
      <c r="S1264" s="9">
        <f>(Таблица1[[#This Row],[Размер кредита]]-21824)/(789096-21824)</f>
        <v>0.99719004472990025</v>
      </c>
      <c r="T1264" s="9">
        <f>(Таблица1[[#This Row],[Кредитный рейтинг]]-586)/(751-586)</f>
        <v>0.83030303030303032</v>
      </c>
      <c r="U1264" s="9">
        <f>Таблица1[[#This Row],[Ежемесячный платеж]]/(Таблица1[[#This Row],[Годовой доход]]/12)</f>
        <v>0.37828811243412064</v>
      </c>
    </row>
    <row r="1265" spans="1:21" x14ac:dyDescent="0.3">
      <c r="A1265">
        <v>1264</v>
      </c>
      <c r="B1265">
        <v>0</v>
      </c>
      <c r="C1265" s="9">
        <v>142912</v>
      </c>
      <c r="D1265">
        <f>$Y$13</f>
        <v>723</v>
      </c>
      <c r="E1265">
        <f>$AB$13</f>
        <v>1168044</v>
      </c>
      <c r="F1265">
        <v>37</v>
      </c>
      <c r="G1265">
        <v>6147.64</v>
      </c>
      <c r="H1265">
        <v>9.5</v>
      </c>
      <c r="I1265">
        <v>7</v>
      </c>
      <c r="J1265">
        <v>123291</v>
      </c>
      <c r="K1265">
        <v>301158</v>
      </c>
      <c r="L1265" t="s">
        <v>41</v>
      </c>
      <c r="M1265" t="s">
        <v>1304</v>
      </c>
      <c r="N1265" t="s">
        <v>26</v>
      </c>
      <c r="O1265" t="s">
        <v>34</v>
      </c>
      <c r="P1265" t="s">
        <v>22</v>
      </c>
      <c r="Q1265" t="s">
        <v>36</v>
      </c>
      <c r="R1265" t="b">
        <f>OR(Таблица1[[#This Row],[Ежемесячный платеж]]&lt;$AC$5, Таблица1[[#This Row],[Ежемесячный платеж]]&gt;$AC$6)</f>
        <v>0</v>
      </c>
      <c r="S1265" s="9">
        <f>(Таблица1[[#This Row],[Размер кредита]]-21824)/(789096-21824)</f>
        <v>0.15781626333295104</v>
      </c>
      <c r="T1265" s="9">
        <f>(Таблица1[[#This Row],[Кредитный рейтинг]]-586)/(751-586)</f>
        <v>0.83030303030303032</v>
      </c>
      <c r="U1265" s="9">
        <f>Таблица1[[#This Row],[Ежемесячный платеж]]/(Таблица1[[#This Row],[Годовой доход]]/12)</f>
        <v>6.3158305680265467E-2</v>
      </c>
    </row>
    <row r="1266" spans="1:21" x14ac:dyDescent="0.3">
      <c r="A1266">
        <v>1265</v>
      </c>
      <c r="B1266">
        <v>0</v>
      </c>
      <c r="C1266" s="9">
        <v>107360</v>
      </c>
      <c r="D1266">
        <f>$Y$13</f>
        <v>723</v>
      </c>
      <c r="E1266">
        <f>$AB$13</f>
        <v>1168044</v>
      </c>
      <c r="F1266">
        <v>0</v>
      </c>
      <c r="G1266">
        <v>8793.58</v>
      </c>
      <c r="H1266">
        <v>16.7</v>
      </c>
      <c r="I1266">
        <v>12</v>
      </c>
      <c r="J1266">
        <v>94943</v>
      </c>
      <c r="K1266">
        <v>488576</v>
      </c>
      <c r="L1266" t="s">
        <v>24</v>
      </c>
      <c r="M1266" t="s">
        <v>1305</v>
      </c>
      <c r="N1266" t="s">
        <v>20</v>
      </c>
      <c r="O1266" t="s">
        <v>28</v>
      </c>
      <c r="P1266" t="s">
        <v>22</v>
      </c>
      <c r="Q1266" t="s">
        <v>36</v>
      </c>
      <c r="R1266" t="b">
        <f>OR(Таблица1[[#This Row],[Ежемесячный платеж]]&lt;$AC$5, Таблица1[[#This Row],[Ежемесячный платеж]]&gt;$AC$6)</f>
        <v>0</v>
      </c>
      <c r="S1266" s="9">
        <f>(Таблица1[[#This Row],[Размер кредита]]-21824)/(789096-21824)</f>
        <v>0.11148067438926483</v>
      </c>
      <c r="T1266" s="9">
        <f>(Таблица1[[#This Row],[Кредитный рейтинг]]-586)/(751-586)</f>
        <v>0.83030303030303032</v>
      </c>
      <c r="U1266" s="9">
        <f>Таблица1[[#This Row],[Ежемесячный платеж]]/(Таблица1[[#This Row],[Годовой доход]]/12)</f>
        <v>9.0341596720671477E-2</v>
      </c>
    </row>
    <row r="1267" spans="1:21" x14ac:dyDescent="0.3">
      <c r="A1267">
        <v>1266</v>
      </c>
      <c r="B1267">
        <v>0</v>
      </c>
      <c r="C1267" s="9">
        <v>317152</v>
      </c>
      <c r="D1267">
        <v>713</v>
      </c>
      <c r="E1267" s="1">
        <v>972990</v>
      </c>
      <c r="F1267">
        <v>0</v>
      </c>
      <c r="G1267">
        <v>18567.939999999999</v>
      </c>
      <c r="H1267">
        <v>12.4</v>
      </c>
      <c r="I1267">
        <v>7</v>
      </c>
      <c r="J1267">
        <v>484234</v>
      </c>
      <c r="K1267">
        <v>797588</v>
      </c>
      <c r="L1267" t="s">
        <v>24</v>
      </c>
      <c r="M1267" t="s">
        <v>1306</v>
      </c>
      <c r="N1267" t="s">
        <v>68</v>
      </c>
      <c r="O1267" t="s">
        <v>21</v>
      </c>
      <c r="P1267" t="s">
        <v>22</v>
      </c>
      <c r="Q1267" t="s">
        <v>36</v>
      </c>
      <c r="R1267" t="b">
        <f>OR(Таблица1[[#This Row],[Ежемесячный платеж]]&lt;$AC$5, Таблица1[[#This Row],[Ежемесячный платеж]]&gt;$AC$6)</f>
        <v>0</v>
      </c>
      <c r="S1267" s="9">
        <f>(Таблица1[[#This Row],[Размер кредита]]-21824)/(789096-21824)</f>
        <v>0.38490652597774977</v>
      </c>
      <c r="T1267" s="9">
        <f>(Таблица1[[#This Row],[Кредитный рейтинг]]-586)/(751-586)</f>
        <v>0.76969696969696966</v>
      </c>
      <c r="U1267" s="9">
        <f>Таблица1[[#This Row],[Ежемесячный платеж]]/(Таблица1[[#This Row],[Годовой доход]]/12)</f>
        <v>0.22900058582308142</v>
      </c>
    </row>
    <row r="1268" spans="1:21" x14ac:dyDescent="0.3">
      <c r="A1268">
        <v>1267</v>
      </c>
      <c r="B1268">
        <v>2</v>
      </c>
      <c r="C1268" s="9">
        <v>386408</v>
      </c>
      <c r="D1268">
        <v>709</v>
      </c>
      <c r="E1268" s="1">
        <v>1019711</v>
      </c>
      <c r="F1268">
        <v>72</v>
      </c>
      <c r="G1268">
        <v>19289.560000000001</v>
      </c>
      <c r="H1268">
        <v>23.5</v>
      </c>
      <c r="I1268">
        <v>8</v>
      </c>
      <c r="J1268">
        <v>429419</v>
      </c>
      <c r="K1268">
        <v>798116</v>
      </c>
      <c r="L1268" t="s">
        <v>69</v>
      </c>
      <c r="M1268" t="s">
        <v>1307</v>
      </c>
      <c r="N1268" t="s">
        <v>26</v>
      </c>
      <c r="O1268" t="s">
        <v>34</v>
      </c>
      <c r="P1268" t="s">
        <v>31</v>
      </c>
      <c r="Q1268" t="s">
        <v>36</v>
      </c>
      <c r="R1268" t="b">
        <f>OR(Таблица1[[#This Row],[Ежемесячный платеж]]&lt;$AC$5, Таблица1[[#This Row],[Ежемесячный платеж]]&gt;$AC$6)</f>
        <v>0</v>
      </c>
      <c r="S1268" s="9">
        <f>(Таблица1[[#This Row],[Размер кредита]]-21824)/(789096-21824)</f>
        <v>0.4751691707764652</v>
      </c>
      <c r="T1268" s="9">
        <f>(Таблица1[[#This Row],[Кредитный рейтинг]]-586)/(751-586)</f>
        <v>0.74545454545454548</v>
      </c>
      <c r="U1268" s="9">
        <f>Таблица1[[#This Row],[Ежемесячный платеж]]/(Таблица1[[#This Row],[Годовой доход]]/12)</f>
        <v>0.22700031675641433</v>
      </c>
    </row>
    <row r="1269" spans="1:21" x14ac:dyDescent="0.3">
      <c r="A1269">
        <v>1268</v>
      </c>
      <c r="B1269">
        <v>1</v>
      </c>
      <c r="C1269" s="9">
        <v>152746</v>
      </c>
      <c r="D1269">
        <v>699</v>
      </c>
      <c r="E1269" s="1">
        <v>1225006</v>
      </c>
      <c r="F1269">
        <v>0</v>
      </c>
      <c r="G1269">
        <v>10718.66</v>
      </c>
      <c r="H1269">
        <v>13.8</v>
      </c>
      <c r="I1269">
        <v>12</v>
      </c>
      <c r="J1269">
        <v>103968</v>
      </c>
      <c r="K1269">
        <v>159258</v>
      </c>
      <c r="L1269" t="s">
        <v>29</v>
      </c>
      <c r="M1269" t="s">
        <v>1308</v>
      </c>
      <c r="N1269" t="s">
        <v>26</v>
      </c>
      <c r="O1269" t="s">
        <v>21</v>
      </c>
      <c r="P1269" t="s">
        <v>22</v>
      </c>
      <c r="Q1269" t="s">
        <v>23</v>
      </c>
      <c r="R1269" t="b">
        <f>OR(Таблица1[[#This Row],[Ежемесячный платеж]]&lt;$AC$5, Таблица1[[#This Row],[Ежемесячный платеж]]&gt;$AC$6)</f>
        <v>0</v>
      </c>
      <c r="S1269" s="9">
        <f>(Таблица1[[#This Row],[Размер кредита]]-21824)/(789096-21824)</f>
        <v>0.17063310012616126</v>
      </c>
      <c r="T1269" s="9">
        <f>(Таблица1[[#This Row],[Кредитный рейтинг]]-586)/(751-586)</f>
        <v>0.68484848484848482</v>
      </c>
      <c r="U1269" s="9">
        <f>Таблица1[[#This Row],[Ежемесячный платеж]]/(Таблица1[[#This Row],[Годовой доход]]/12)</f>
        <v>0.10499860408846977</v>
      </c>
    </row>
    <row r="1270" spans="1:21" x14ac:dyDescent="0.3">
      <c r="A1270">
        <v>1269</v>
      </c>
      <c r="B1270">
        <v>0</v>
      </c>
      <c r="C1270" s="9">
        <v>264748</v>
      </c>
      <c r="D1270">
        <v>744</v>
      </c>
      <c r="E1270" s="1">
        <v>1238458</v>
      </c>
      <c r="F1270">
        <v>44</v>
      </c>
      <c r="G1270">
        <v>11971.71</v>
      </c>
      <c r="H1270">
        <v>11.8</v>
      </c>
      <c r="I1270">
        <v>10</v>
      </c>
      <c r="J1270">
        <v>275443</v>
      </c>
      <c r="K1270">
        <v>540584</v>
      </c>
      <c r="L1270" t="s">
        <v>37</v>
      </c>
      <c r="M1270" t="s">
        <v>1309</v>
      </c>
      <c r="N1270" t="s">
        <v>26</v>
      </c>
      <c r="O1270" t="s">
        <v>34</v>
      </c>
      <c r="P1270" t="s">
        <v>22</v>
      </c>
      <c r="Q1270" t="s">
        <v>23</v>
      </c>
      <c r="R1270" t="b">
        <f>OR(Таблица1[[#This Row],[Ежемесячный платеж]]&lt;$AC$5, Таблица1[[#This Row],[Ежемесячный платеж]]&gt;$AC$6)</f>
        <v>0</v>
      </c>
      <c r="S1270" s="9">
        <f>(Таблица1[[#This Row],[Размер кредита]]-21824)/(789096-21824)</f>
        <v>0.31660740910654894</v>
      </c>
      <c r="T1270" s="9">
        <f>(Таблица1[[#This Row],[Кредитный рейтинг]]-586)/(751-586)</f>
        <v>0.95757575757575752</v>
      </c>
      <c r="U1270" s="9">
        <f>Таблица1[[#This Row],[Ежемесячный платеж]]/(Таблица1[[#This Row],[Годовой доход]]/12)</f>
        <v>0.11599950906692032</v>
      </c>
    </row>
    <row r="1271" spans="1:21" x14ac:dyDescent="0.3">
      <c r="A1271">
        <v>1270</v>
      </c>
      <c r="B1271">
        <v>0</v>
      </c>
      <c r="C1271" s="9">
        <v>325248</v>
      </c>
      <c r="D1271">
        <f>$Y$13</f>
        <v>723</v>
      </c>
      <c r="E1271">
        <f>$AB$13</f>
        <v>1168044</v>
      </c>
      <c r="F1271">
        <v>53</v>
      </c>
      <c r="G1271">
        <v>14561.98</v>
      </c>
      <c r="H1271">
        <v>26.9</v>
      </c>
      <c r="I1271">
        <v>23</v>
      </c>
      <c r="J1271">
        <v>452219</v>
      </c>
      <c r="K1271">
        <v>1407604</v>
      </c>
      <c r="L1271" t="s">
        <v>24</v>
      </c>
      <c r="M1271" t="s">
        <v>1310</v>
      </c>
      <c r="N1271" t="s">
        <v>68</v>
      </c>
      <c r="O1271" t="s">
        <v>34</v>
      </c>
      <c r="P1271" t="s">
        <v>31</v>
      </c>
      <c r="Q1271" t="s">
        <v>36</v>
      </c>
      <c r="R1271" t="b">
        <f>OR(Таблица1[[#This Row],[Ежемесячный платеж]]&lt;$AC$5, Таблица1[[#This Row],[Ежемесячный платеж]]&gt;$AC$6)</f>
        <v>0</v>
      </c>
      <c r="S1271" s="9">
        <f>(Таблица1[[#This Row],[Размер кредита]]-21824)/(789096-21824)</f>
        <v>0.39545819474710403</v>
      </c>
      <c r="T1271" s="9">
        <f>(Таблица1[[#This Row],[Кредитный рейтинг]]-586)/(751-586)</f>
        <v>0.83030303030303032</v>
      </c>
      <c r="U1271" s="9">
        <f>Таблица1[[#This Row],[Ежемесячный платеж]]/(Таблица1[[#This Row],[Годовой доход]]/12)</f>
        <v>0.14960374780402108</v>
      </c>
    </row>
    <row r="1272" spans="1:21" x14ac:dyDescent="0.3">
      <c r="A1272">
        <v>1271</v>
      </c>
      <c r="B1272">
        <v>0</v>
      </c>
      <c r="C1272" s="9">
        <v>313456</v>
      </c>
      <c r="D1272">
        <v>710</v>
      </c>
      <c r="E1272" s="1">
        <v>932482</v>
      </c>
      <c r="F1272">
        <v>34</v>
      </c>
      <c r="G1272">
        <v>20980.75</v>
      </c>
      <c r="H1272">
        <v>17.899999999999999</v>
      </c>
      <c r="I1272">
        <v>7</v>
      </c>
      <c r="J1272">
        <v>527554</v>
      </c>
      <c r="K1272">
        <v>725494</v>
      </c>
      <c r="L1272" t="s">
        <v>24</v>
      </c>
      <c r="M1272" t="s">
        <v>1311</v>
      </c>
      <c r="N1272" t="s">
        <v>26</v>
      </c>
      <c r="O1272" t="s">
        <v>21</v>
      </c>
      <c r="P1272" t="s">
        <v>22</v>
      </c>
      <c r="Q1272" t="s">
        <v>23</v>
      </c>
      <c r="R1272" t="b">
        <f>OR(Таблица1[[#This Row],[Ежемесячный платеж]]&lt;$AC$5, Таблица1[[#This Row],[Ежемесячный платеж]]&gt;$AC$6)</f>
        <v>0</v>
      </c>
      <c r="S1272" s="9">
        <f>(Таблица1[[#This Row],[Размер кредита]]-21824)/(789096-21824)</f>
        <v>0.38008945980043585</v>
      </c>
      <c r="T1272" s="9">
        <f>(Таблица1[[#This Row],[Кредитный рейтинг]]-586)/(751-586)</f>
        <v>0.75151515151515147</v>
      </c>
      <c r="U1272" s="9">
        <f>Таблица1[[#This Row],[Ежемесячный платеж]]/(Таблица1[[#This Row],[Годовой доход]]/12)</f>
        <v>0.26999877745629408</v>
      </c>
    </row>
    <row r="1273" spans="1:21" x14ac:dyDescent="0.3">
      <c r="A1273">
        <v>1272</v>
      </c>
      <c r="B1273">
        <v>1</v>
      </c>
      <c r="C1273" s="9">
        <v>130064</v>
      </c>
      <c r="D1273">
        <v>738</v>
      </c>
      <c r="E1273" s="1">
        <v>936130</v>
      </c>
      <c r="F1273">
        <v>77</v>
      </c>
      <c r="G1273">
        <v>11389.55</v>
      </c>
      <c r="H1273">
        <v>25.9</v>
      </c>
      <c r="I1273">
        <v>8</v>
      </c>
      <c r="J1273">
        <v>53656</v>
      </c>
      <c r="K1273">
        <v>119262</v>
      </c>
      <c r="L1273" t="s">
        <v>24</v>
      </c>
      <c r="M1273" t="s">
        <v>1312</v>
      </c>
      <c r="N1273" t="s">
        <v>20</v>
      </c>
      <c r="O1273" t="s">
        <v>21</v>
      </c>
      <c r="P1273" t="s">
        <v>22</v>
      </c>
      <c r="Q1273" t="s">
        <v>23</v>
      </c>
      <c r="R1273" t="b">
        <f>OR(Таблица1[[#This Row],[Ежемесячный платеж]]&lt;$AC$5, Таблица1[[#This Row],[Ежемесячный платеж]]&gt;$AC$6)</f>
        <v>0</v>
      </c>
      <c r="S1273" s="9">
        <f>(Таблица1[[#This Row],[Размер кредита]]-21824)/(789096-21824)</f>
        <v>0.14107122376419315</v>
      </c>
      <c r="T1273" s="9">
        <f>(Таблица1[[#This Row],[Кредитный рейтинг]]-586)/(751-586)</f>
        <v>0.92121212121212126</v>
      </c>
      <c r="U1273" s="9">
        <f>Таблица1[[#This Row],[Ежемесячный платеж]]/(Таблица1[[#This Row],[Годовой доход]]/12)</f>
        <v>0.14599959407347271</v>
      </c>
    </row>
    <row r="1274" spans="1:21" x14ac:dyDescent="0.3">
      <c r="A1274">
        <v>1273</v>
      </c>
      <c r="B1274">
        <v>0</v>
      </c>
      <c r="C1274" s="9">
        <v>43626</v>
      </c>
      <c r="D1274">
        <v>696</v>
      </c>
      <c r="E1274" s="1">
        <v>1676465</v>
      </c>
      <c r="F1274">
        <v>0</v>
      </c>
      <c r="G1274">
        <v>19418.95</v>
      </c>
      <c r="H1274">
        <v>11.3</v>
      </c>
      <c r="I1274">
        <v>12</v>
      </c>
      <c r="J1274">
        <v>212553</v>
      </c>
      <c r="K1274">
        <v>318384</v>
      </c>
      <c r="L1274" t="s">
        <v>52</v>
      </c>
      <c r="M1274" t="s">
        <v>1313</v>
      </c>
      <c r="N1274" t="s">
        <v>68</v>
      </c>
      <c r="O1274" t="s">
        <v>21</v>
      </c>
      <c r="P1274" t="s">
        <v>22</v>
      </c>
      <c r="Q1274" t="s">
        <v>23</v>
      </c>
      <c r="R1274" t="b">
        <f>OR(Таблица1[[#This Row],[Ежемесячный платеж]]&lt;$AC$5, Таблица1[[#This Row],[Ежемесячный платеж]]&gt;$AC$6)</f>
        <v>0</v>
      </c>
      <c r="S1274" s="9">
        <f>(Таблица1[[#This Row],[Размер кредита]]-21824)/(789096-21824)</f>
        <v>2.841495584356004E-2</v>
      </c>
      <c r="T1274" s="9">
        <f>(Таблица1[[#This Row],[Кредитный рейтинг]]-586)/(751-586)</f>
        <v>0.66666666666666663</v>
      </c>
      <c r="U1274" s="9">
        <f>Таблица1[[#This Row],[Ежемесячный платеж]]/(Таблица1[[#This Row],[Годовой доход]]/12)</f>
        <v>0.13899926333087778</v>
      </c>
    </row>
    <row r="1275" spans="1:21" x14ac:dyDescent="0.3">
      <c r="A1275">
        <v>1274</v>
      </c>
      <c r="B1275">
        <v>0</v>
      </c>
      <c r="C1275" s="9">
        <v>108174</v>
      </c>
      <c r="D1275">
        <v>750</v>
      </c>
      <c r="E1275" s="1">
        <v>1603144</v>
      </c>
      <c r="F1275">
        <v>0</v>
      </c>
      <c r="G1275">
        <v>10580.72</v>
      </c>
      <c r="H1275">
        <v>37.799999999999997</v>
      </c>
      <c r="I1275">
        <v>7</v>
      </c>
      <c r="J1275">
        <v>35017</v>
      </c>
      <c r="K1275">
        <v>737154</v>
      </c>
      <c r="L1275" t="s">
        <v>24</v>
      </c>
      <c r="M1275" t="s">
        <v>1314</v>
      </c>
      <c r="N1275" t="s">
        <v>26</v>
      </c>
      <c r="O1275" t="s">
        <v>28</v>
      </c>
      <c r="P1275" t="s">
        <v>22</v>
      </c>
      <c r="Q1275" t="s">
        <v>23</v>
      </c>
      <c r="R1275" t="b">
        <f>OR(Таблица1[[#This Row],[Ежемесячный платеж]]&lt;$AC$5, Таблица1[[#This Row],[Ежемесячный платеж]]&gt;$AC$6)</f>
        <v>0</v>
      </c>
      <c r="S1275" s="9">
        <f>(Таблица1[[#This Row],[Размер кредита]]-21824)/(789096-21824)</f>
        <v>0.11254157586879229</v>
      </c>
      <c r="T1275" s="9">
        <f>(Таблица1[[#This Row],[Кредитный рейтинг]]-586)/(751-586)</f>
        <v>0.9939393939393939</v>
      </c>
      <c r="U1275" s="9">
        <f>Таблица1[[#This Row],[Ежемесячный платеж]]/(Таблица1[[#This Row],[Годовой доход]]/12)</f>
        <v>7.9199772447141353E-2</v>
      </c>
    </row>
    <row r="1276" spans="1:21" x14ac:dyDescent="0.3">
      <c r="A1276">
        <v>1275</v>
      </c>
      <c r="B1276">
        <v>0</v>
      </c>
      <c r="C1276" s="9">
        <v>445192</v>
      </c>
      <c r="D1276">
        <v>707</v>
      </c>
      <c r="E1276" s="1">
        <v>1230345</v>
      </c>
      <c r="F1276">
        <v>0</v>
      </c>
      <c r="G1276">
        <v>18250.07</v>
      </c>
      <c r="H1276">
        <v>21.2</v>
      </c>
      <c r="I1276">
        <v>20</v>
      </c>
      <c r="J1276">
        <v>226879</v>
      </c>
      <c r="K1276">
        <v>788898</v>
      </c>
      <c r="L1276" t="s">
        <v>24</v>
      </c>
      <c r="M1276" t="s">
        <v>1315</v>
      </c>
      <c r="N1276" t="s">
        <v>26</v>
      </c>
      <c r="O1276" t="s">
        <v>21</v>
      </c>
      <c r="P1276" t="s">
        <v>31</v>
      </c>
      <c r="Q1276" t="s">
        <v>23</v>
      </c>
      <c r="R1276" t="b">
        <f>OR(Таблица1[[#This Row],[Ежемесячный платеж]]&lt;$AC$5, Таблица1[[#This Row],[Ежемесячный платеж]]&gt;$AC$6)</f>
        <v>0</v>
      </c>
      <c r="S1276" s="9">
        <f>(Таблица1[[#This Row],[Размер кредита]]-21824)/(789096-21824)</f>
        <v>0.55178346140612455</v>
      </c>
      <c r="T1276" s="9">
        <f>(Таблица1[[#This Row],[Кредитный рейтинг]]-586)/(751-586)</f>
        <v>0.73333333333333328</v>
      </c>
      <c r="U1276" s="9">
        <f>Таблица1[[#This Row],[Ежемесячный платеж]]/(Таблица1[[#This Row],[Годовой доход]]/12)</f>
        <v>0.17799953671531155</v>
      </c>
    </row>
    <row r="1277" spans="1:21" x14ac:dyDescent="0.3">
      <c r="A1277">
        <v>1276</v>
      </c>
      <c r="B1277">
        <v>0</v>
      </c>
      <c r="C1277" s="9">
        <v>331562</v>
      </c>
      <c r="D1277">
        <f>$Y$13</f>
        <v>723</v>
      </c>
      <c r="E1277">
        <f>$AB$13</f>
        <v>1168044</v>
      </c>
      <c r="F1277">
        <v>5</v>
      </c>
      <c r="G1277">
        <v>17562.080000000002</v>
      </c>
      <c r="H1277">
        <v>12.6</v>
      </c>
      <c r="I1277">
        <v>17</v>
      </c>
      <c r="J1277">
        <v>344014</v>
      </c>
      <c r="K1277">
        <v>543422</v>
      </c>
      <c r="L1277" t="s">
        <v>32</v>
      </c>
      <c r="M1277" t="s">
        <v>1316</v>
      </c>
      <c r="N1277" t="s">
        <v>26</v>
      </c>
      <c r="O1277" t="s">
        <v>21</v>
      </c>
      <c r="P1277" t="s">
        <v>22</v>
      </c>
      <c r="Q1277" t="s">
        <v>23</v>
      </c>
      <c r="R1277" t="b">
        <f>OR(Таблица1[[#This Row],[Ежемесячный платеж]]&lt;$AC$5, Таблица1[[#This Row],[Ежемесячный платеж]]&gt;$AC$6)</f>
        <v>0</v>
      </c>
      <c r="S1277" s="9">
        <f>(Таблица1[[#This Row],[Размер кредита]]-21824)/(789096-21824)</f>
        <v>0.40368734946668194</v>
      </c>
      <c r="T1277" s="9">
        <f>(Таблица1[[#This Row],[Кредитный рейтинг]]-586)/(751-586)</f>
        <v>0.83030303030303032</v>
      </c>
      <c r="U1277" s="9">
        <f>Таблица1[[#This Row],[Ежемесячный платеж]]/(Таблица1[[#This Row],[Годовой доход]]/12)</f>
        <v>0.18042553191489363</v>
      </c>
    </row>
    <row r="1278" spans="1:21" x14ac:dyDescent="0.3">
      <c r="A1278">
        <v>1277</v>
      </c>
      <c r="B1278">
        <v>0</v>
      </c>
      <c r="C1278" s="9">
        <v>219758</v>
      </c>
      <c r="D1278">
        <v>708</v>
      </c>
      <c r="E1278" s="1">
        <v>873031</v>
      </c>
      <c r="F1278">
        <v>23</v>
      </c>
      <c r="G1278">
        <v>17751.7</v>
      </c>
      <c r="H1278">
        <v>19.2</v>
      </c>
      <c r="I1278">
        <v>8</v>
      </c>
      <c r="J1278">
        <v>76114</v>
      </c>
      <c r="K1278">
        <v>98912</v>
      </c>
      <c r="L1278" t="s">
        <v>41</v>
      </c>
      <c r="M1278" t="s">
        <v>1317</v>
      </c>
      <c r="N1278" t="s">
        <v>26</v>
      </c>
      <c r="O1278" t="s">
        <v>21</v>
      </c>
      <c r="P1278" t="s">
        <v>22</v>
      </c>
      <c r="Q1278" t="s">
        <v>23</v>
      </c>
      <c r="R1278" t="b">
        <f>OR(Таблица1[[#This Row],[Ежемесячный платеж]]&lt;$AC$5, Таблица1[[#This Row],[Ежемесячный платеж]]&gt;$AC$6)</f>
        <v>0</v>
      </c>
      <c r="S1278" s="9">
        <f>(Таблица1[[#This Row],[Размер кредита]]-21824)/(789096-21824)</f>
        <v>0.25797109760293613</v>
      </c>
      <c r="T1278" s="9">
        <f>(Таблица1[[#This Row],[Кредитный рейтинг]]-586)/(751-586)</f>
        <v>0.73939393939393938</v>
      </c>
      <c r="U1278" s="9">
        <f>Таблица1[[#This Row],[Ежемесячный платеж]]/(Таблица1[[#This Row],[Годовой доход]]/12)</f>
        <v>0.24400095758340773</v>
      </c>
    </row>
    <row r="1279" spans="1:21" x14ac:dyDescent="0.3">
      <c r="A1279">
        <v>1278</v>
      </c>
      <c r="B1279">
        <v>0</v>
      </c>
      <c r="C1279" s="9">
        <v>127952</v>
      </c>
      <c r="D1279">
        <v>733</v>
      </c>
      <c r="E1279" s="1">
        <v>1222536</v>
      </c>
      <c r="F1279">
        <v>58</v>
      </c>
      <c r="G1279">
        <v>16076.28</v>
      </c>
      <c r="H1279">
        <v>22.1</v>
      </c>
      <c r="I1279">
        <v>8</v>
      </c>
      <c r="J1279">
        <v>92169</v>
      </c>
      <c r="K1279">
        <v>268136</v>
      </c>
      <c r="L1279" t="s">
        <v>69</v>
      </c>
      <c r="M1279" t="s">
        <v>1318</v>
      </c>
      <c r="N1279" t="s">
        <v>26</v>
      </c>
      <c r="O1279" t="s">
        <v>21</v>
      </c>
      <c r="P1279" t="s">
        <v>31</v>
      </c>
      <c r="Q1279" t="s">
        <v>36</v>
      </c>
      <c r="R1279" t="b">
        <f>OR(Таблица1[[#This Row],[Ежемесячный платеж]]&lt;$AC$5, Таблица1[[#This Row],[Ежемесячный платеж]]&gt;$AC$6)</f>
        <v>0</v>
      </c>
      <c r="S1279" s="9">
        <f>(Таблица1[[#This Row],[Размер кредита]]-21824)/(789096-21824)</f>
        <v>0.13831861452001376</v>
      </c>
      <c r="T1279" s="9">
        <f>(Таблица1[[#This Row],[Кредитный рейтинг]]-586)/(751-586)</f>
        <v>0.89090909090909087</v>
      </c>
      <c r="U1279" s="9">
        <f>Таблица1[[#This Row],[Ежемесячный платеж]]/(Таблица1[[#This Row],[Годовой доход]]/12)</f>
        <v>0.15779932860872808</v>
      </c>
    </row>
    <row r="1280" spans="1:21" x14ac:dyDescent="0.3">
      <c r="A1280">
        <v>1279</v>
      </c>
      <c r="B1280">
        <v>0</v>
      </c>
      <c r="C1280" s="9">
        <v>699006</v>
      </c>
      <c r="D1280">
        <v>707</v>
      </c>
      <c r="E1280" s="1">
        <v>1886510</v>
      </c>
      <c r="F1280">
        <v>0</v>
      </c>
      <c r="G1280">
        <v>16349.88</v>
      </c>
      <c r="H1280">
        <v>15.4</v>
      </c>
      <c r="I1280">
        <v>6</v>
      </c>
      <c r="J1280">
        <v>18411</v>
      </c>
      <c r="K1280">
        <v>204996</v>
      </c>
      <c r="L1280" t="s">
        <v>37</v>
      </c>
      <c r="M1280" t="s">
        <v>1319</v>
      </c>
      <c r="N1280" t="s">
        <v>26</v>
      </c>
      <c r="O1280" t="s">
        <v>34</v>
      </c>
      <c r="P1280" t="s">
        <v>31</v>
      </c>
      <c r="Q1280" t="s">
        <v>23</v>
      </c>
      <c r="R1280" t="b">
        <f>OR(Таблица1[[#This Row],[Ежемесячный платеж]]&lt;$AC$5, Таблица1[[#This Row],[Ежемесячный платеж]]&gt;$AC$6)</f>
        <v>0</v>
      </c>
      <c r="S1280" s="9">
        <f>(Таблица1[[#This Row],[Размер кредита]]-21824)/(789096-21824)</f>
        <v>0.88258401192797342</v>
      </c>
      <c r="T1280" s="9">
        <f>(Таблица1[[#This Row],[Кредитный рейтинг]]-586)/(751-586)</f>
        <v>0.73333333333333328</v>
      </c>
      <c r="U1280" s="9">
        <f>Таблица1[[#This Row],[Ежемесячный платеж]]/(Таблица1[[#This Row],[Годовой доход]]/12)</f>
        <v>0.10400080572061637</v>
      </c>
    </row>
    <row r="1281" spans="1:21" x14ac:dyDescent="0.3">
      <c r="A1281">
        <v>1280</v>
      </c>
      <c r="B1281">
        <v>0</v>
      </c>
      <c r="C1281" s="9">
        <v>191092</v>
      </c>
      <c r="D1281">
        <v>728</v>
      </c>
      <c r="E1281" s="1">
        <v>1875490</v>
      </c>
      <c r="F1281">
        <v>14</v>
      </c>
      <c r="G1281">
        <v>20161.47</v>
      </c>
      <c r="H1281">
        <v>15.6</v>
      </c>
      <c r="I1281">
        <v>12</v>
      </c>
      <c r="J1281">
        <v>231914</v>
      </c>
      <c r="K1281">
        <v>568942</v>
      </c>
      <c r="L1281" t="s">
        <v>24</v>
      </c>
      <c r="M1281" t="s">
        <v>1320</v>
      </c>
      <c r="N1281" t="s">
        <v>26</v>
      </c>
      <c r="O1281" t="s">
        <v>21</v>
      </c>
      <c r="P1281" t="s">
        <v>22</v>
      </c>
      <c r="Q1281" t="s">
        <v>23</v>
      </c>
      <c r="R1281" t="b">
        <f>OR(Таблица1[[#This Row],[Ежемесячный платеж]]&lt;$AC$5, Таблица1[[#This Row],[Ежемесячный платеж]]&gt;$AC$6)</f>
        <v>0</v>
      </c>
      <c r="S1281" s="9">
        <f>(Таблица1[[#This Row],[Размер кредита]]-21824)/(789096-21824)</f>
        <v>0.22061016171579309</v>
      </c>
      <c r="T1281" s="9">
        <f>(Таблица1[[#This Row],[Кредитный рейтинг]]-586)/(751-586)</f>
        <v>0.8606060606060606</v>
      </c>
      <c r="U1281" s="9">
        <f>Таблица1[[#This Row],[Ежемесячный платеж]]/(Таблица1[[#This Row],[Годовой доход]]/12)</f>
        <v>0.12899969607942458</v>
      </c>
    </row>
    <row r="1282" spans="1:21" x14ac:dyDescent="0.3">
      <c r="A1282">
        <v>1281</v>
      </c>
      <c r="B1282">
        <v>1</v>
      </c>
      <c r="C1282" s="9">
        <v>66484</v>
      </c>
      <c r="D1282">
        <f>$Y$13</f>
        <v>723</v>
      </c>
      <c r="E1282">
        <f>$AB$13</f>
        <v>1168044</v>
      </c>
      <c r="F1282">
        <v>37</v>
      </c>
      <c r="G1282">
        <v>2795.28</v>
      </c>
      <c r="H1282">
        <v>29.1</v>
      </c>
      <c r="I1282">
        <v>11</v>
      </c>
      <c r="J1282">
        <v>81529</v>
      </c>
      <c r="K1282">
        <v>166188</v>
      </c>
      <c r="L1282" t="s">
        <v>24</v>
      </c>
      <c r="M1282" t="s">
        <v>1321</v>
      </c>
      <c r="N1282" t="s">
        <v>26</v>
      </c>
      <c r="O1282" t="s">
        <v>34</v>
      </c>
      <c r="P1282" t="s">
        <v>22</v>
      </c>
      <c r="Q1282" t="s">
        <v>23</v>
      </c>
      <c r="R1282" t="b">
        <f>OR(Таблица1[[#This Row],[Ежемесячный платеж]]&lt;$AC$5, Таблица1[[#This Row],[Ежемесячный платеж]]&gt;$AC$6)</f>
        <v>0</v>
      </c>
      <c r="S1282" s="9">
        <f>(Таблица1[[#This Row],[Размер кредита]]-21824)/(789096-21824)</f>
        <v>5.8206216309209774E-2</v>
      </c>
      <c r="T1282" s="9">
        <f>(Таблица1[[#This Row],[Кредитный рейтинг]]-586)/(751-586)</f>
        <v>0.83030303030303032</v>
      </c>
      <c r="U1282" s="9">
        <f>Таблица1[[#This Row],[Ежемесячный платеж]]/(Таблица1[[#This Row],[Годовой доход]]/12)</f>
        <v>2.8717548311536212E-2</v>
      </c>
    </row>
    <row r="1283" spans="1:21" x14ac:dyDescent="0.3">
      <c r="A1283">
        <v>1282</v>
      </c>
      <c r="B1283">
        <v>0</v>
      </c>
      <c r="C1283" s="9">
        <v>129976</v>
      </c>
      <c r="D1283">
        <v>719</v>
      </c>
      <c r="E1283" s="1">
        <v>561222</v>
      </c>
      <c r="F1283">
        <v>0</v>
      </c>
      <c r="G1283">
        <v>10008.44</v>
      </c>
      <c r="H1283">
        <v>21.1</v>
      </c>
      <c r="I1283">
        <v>6</v>
      </c>
      <c r="J1283">
        <v>117401</v>
      </c>
      <c r="K1283">
        <v>142934</v>
      </c>
      <c r="L1283" t="s">
        <v>24</v>
      </c>
      <c r="M1283" t="s">
        <v>1322</v>
      </c>
      <c r="N1283" t="s">
        <v>71</v>
      </c>
      <c r="O1283" t="s">
        <v>34</v>
      </c>
      <c r="P1283" t="s">
        <v>22</v>
      </c>
      <c r="Q1283" t="s">
        <v>23</v>
      </c>
      <c r="R1283" t="b">
        <f>OR(Таблица1[[#This Row],[Ежемесячный платеж]]&lt;$AC$5, Таблица1[[#This Row],[Ежемесячный платеж]]&gt;$AC$6)</f>
        <v>0</v>
      </c>
      <c r="S1283" s="9">
        <f>(Таблица1[[#This Row],[Размер кредита]]-21824)/(789096-21824)</f>
        <v>0.14095653171235234</v>
      </c>
      <c r="T1283" s="9">
        <f>(Таблица1[[#This Row],[Кредитный рейтинг]]-586)/(751-586)</f>
        <v>0.80606060606060603</v>
      </c>
      <c r="U1283" s="9">
        <f>Таблица1[[#This Row],[Ежемесячный платеж]]/(Таблица1[[#This Row],[Годовой доход]]/12)</f>
        <v>0.21399959374365227</v>
      </c>
    </row>
    <row r="1284" spans="1:21" x14ac:dyDescent="0.3">
      <c r="A1284">
        <v>1283</v>
      </c>
      <c r="B1284">
        <v>0</v>
      </c>
      <c r="C1284" s="9">
        <v>536492</v>
      </c>
      <c r="D1284">
        <v>720</v>
      </c>
      <c r="E1284" s="1">
        <v>1061834</v>
      </c>
      <c r="F1284">
        <v>0</v>
      </c>
      <c r="G1284">
        <v>14069.12</v>
      </c>
      <c r="H1284">
        <v>19.399999999999999</v>
      </c>
      <c r="I1284">
        <v>7</v>
      </c>
      <c r="J1284">
        <v>629603</v>
      </c>
      <c r="K1284">
        <v>1347544</v>
      </c>
      <c r="L1284" t="s">
        <v>24</v>
      </c>
      <c r="M1284" t="s">
        <v>1323</v>
      </c>
      <c r="N1284" t="s">
        <v>26</v>
      </c>
      <c r="O1284" t="s">
        <v>34</v>
      </c>
      <c r="P1284" t="s">
        <v>31</v>
      </c>
      <c r="Q1284" t="s">
        <v>23</v>
      </c>
      <c r="R1284" t="b">
        <f>OR(Таблица1[[#This Row],[Ежемесячный платеж]]&lt;$AC$5, Таблица1[[#This Row],[Ежемесячный платеж]]&gt;$AC$6)</f>
        <v>0</v>
      </c>
      <c r="S1284" s="9">
        <f>(Таблица1[[#This Row],[Размер кредита]]-21824)/(789096-21824)</f>
        <v>0.67077646519096223</v>
      </c>
      <c r="T1284" s="9">
        <f>(Таблица1[[#This Row],[Кредитный рейтинг]]-586)/(751-586)</f>
        <v>0.81212121212121213</v>
      </c>
      <c r="U1284" s="9">
        <f>Таблица1[[#This Row],[Ежемесячный платеж]]/(Таблица1[[#This Row],[Годовой доход]]/12)</f>
        <v>0.15899796013312814</v>
      </c>
    </row>
    <row r="1285" spans="1:21" x14ac:dyDescent="0.3">
      <c r="A1285">
        <v>1284</v>
      </c>
      <c r="B1285">
        <v>0</v>
      </c>
      <c r="D1285">
        <v>745</v>
      </c>
      <c r="E1285" s="1">
        <v>2873370</v>
      </c>
      <c r="F1285">
        <v>0</v>
      </c>
      <c r="G1285">
        <v>24184.15</v>
      </c>
      <c r="H1285">
        <v>25.5</v>
      </c>
      <c r="I1285">
        <v>9</v>
      </c>
      <c r="J1285">
        <v>844702</v>
      </c>
      <c r="K1285">
        <v>1142592</v>
      </c>
      <c r="L1285" t="s">
        <v>24</v>
      </c>
      <c r="M1285" t="s">
        <v>1324</v>
      </c>
      <c r="N1285" t="s">
        <v>26</v>
      </c>
      <c r="O1285" t="s">
        <v>34</v>
      </c>
      <c r="P1285" t="s">
        <v>22</v>
      </c>
      <c r="Q1285" t="s">
        <v>23</v>
      </c>
      <c r="R1285" t="b">
        <f>OR(Таблица1[[#This Row],[Ежемесячный платеж]]&lt;$AC$5, Таблица1[[#This Row],[Ежемесячный платеж]]&gt;$AC$6)</f>
        <v>0</v>
      </c>
      <c r="T1285" s="9">
        <f>(Таблица1[[#This Row],[Кредитный рейтинг]]-586)/(751-586)</f>
        <v>0.96363636363636362</v>
      </c>
      <c r="U1285" s="9">
        <f>Таблица1[[#This Row],[Ежемесячный платеж]]/(Таблица1[[#This Row],[Годовой доход]]/12)</f>
        <v>0.10099980162666139</v>
      </c>
    </row>
    <row r="1286" spans="1:21" x14ac:dyDescent="0.3">
      <c r="A1286">
        <v>1285</v>
      </c>
      <c r="B1286">
        <v>0</v>
      </c>
      <c r="C1286" s="9">
        <v>262460</v>
      </c>
      <c r="D1286">
        <v>696</v>
      </c>
      <c r="E1286" s="1">
        <v>793364</v>
      </c>
      <c r="F1286">
        <v>9</v>
      </c>
      <c r="G1286">
        <v>18049.240000000002</v>
      </c>
      <c r="H1286">
        <v>14</v>
      </c>
      <c r="I1286">
        <v>25</v>
      </c>
      <c r="J1286">
        <v>197220</v>
      </c>
      <c r="K1286">
        <v>542432</v>
      </c>
      <c r="L1286" t="s">
        <v>24</v>
      </c>
      <c r="M1286" t="s">
        <v>1325</v>
      </c>
      <c r="N1286" t="s">
        <v>26</v>
      </c>
      <c r="O1286" t="s">
        <v>34</v>
      </c>
      <c r="P1286" t="s">
        <v>31</v>
      </c>
      <c r="Q1286" t="s">
        <v>23</v>
      </c>
      <c r="R1286" t="b">
        <f>OR(Таблица1[[#This Row],[Ежемесячный платеж]]&lt;$AC$5, Таблица1[[#This Row],[Ежемесячный платеж]]&gt;$AC$6)</f>
        <v>0</v>
      </c>
      <c r="S1286" s="9">
        <f>(Таблица1[[#This Row],[Размер кредита]]-21824)/(789096-21824)</f>
        <v>0.31362541575868791</v>
      </c>
      <c r="T1286" s="9">
        <f>(Таблица1[[#This Row],[Кредитный рейтинг]]-586)/(751-586)</f>
        <v>0.66666666666666663</v>
      </c>
      <c r="U1286" s="9">
        <f>Таблица1[[#This Row],[Ежемесячный платеж]]/(Таблица1[[#This Row],[Годовой доход]]/12)</f>
        <v>0.27300316122233931</v>
      </c>
    </row>
    <row r="1287" spans="1:21" x14ac:dyDescent="0.3">
      <c r="A1287">
        <v>1286</v>
      </c>
      <c r="B1287">
        <v>0</v>
      </c>
      <c r="C1287" s="9">
        <v>270226</v>
      </c>
      <c r="D1287">
        <f>$Y$13</f>
        <v>723</v>
      </c>
      <c r="E1287">
        <f>$AB$13</f>
        <v>1168044</v>
      </c>
      <c r="F1287">
        <v>22</v>
      </c>
      <c r="G1287">
        <v>26717.23</v>
      </c>
      <c r="H1287">
        <v>33.5</v>
      </c>
      <c r="I1287">
        <v>11</v>
      </c>
      <c r="J1287">
        <v>635398</v>
      </c>
      <c r="K1287">
        <v>913946</v>
      </c>
      <c r="L1287" t="s">
        <v>24</v>
      </c>
      <c r="M1287" t="s">
        <v>1326</v>
      </c>
      <c r="N1287" t="s">
        <v>26</v>
      </c>
      <c r="O1287" t="s">
        <v>21</v>
      </c>
      <c r="P1287" t="s">
        <v>31</v>
      </c>
      <c r="Q1287" t="s">
        <v>23</v>
      </c>
      <c r="R1287" t="b">
        <f>OR(Таблица1[[#This Row],[Ежемесячный платеж]]&lt;$AC$5, Таблица1[[#This Row],[Ежемесячный платеж]]&gt;$AC$6)</f>
        <v>0</v>
      </c>
      <c r="S1287" s="9">
        <f>(Таблица1[[#This Row],[Размер кредита]]-21824)/(789096-21824)</f>
        <v>0.32374698933363916</v>
      </c>
      <c r="T1287" s="9">
        <f>(Таблица1[[#This Row],[Кредитный рейтинг]]-586)/(751-586)</f>
        <v>0.83030303030303032</v>
      </c>
      <c r="U1287" s="9">
        <f>Таблица1[[#This Row],[Ежемесячный платеж]]/(Таблица1[[#This Row],[Годовой доход]]/12)</f>
        <v>0.27448174897520983</v>
      </c>
    </row>
    <row r="1288" spans="1:21" x14ac:dyDescent="0.3">
      <c r="A1288">
        <v>1287</v>
      </c>
      <c r="B1288">
        <v>0</v>
      </c>
      <c r="C1288" s="9">
        <v>173712</v>
      </c>
      <c r="D1288">
        <v>723</v>
      </c>
      <c r="E1288" s="1">
        <v>656355</v>
      </c>
      <c r="F1288">
        <v>27</v>
      </c>
      <c r="G1288">
        <v>11978.55</v>
      </c>
      <c r="H1288">
        <v>12.5</v>
      </c>
      <c r="I1288">
        <v>9</v>
      </c>
      <c r="J1288">
        <v>124051</v>
      </c>
      <c r="K1288">
        <v>271524</v>
      </c>
      <c r="L1288" t="s">
        <v>29</v>
      </c>
      <c r="M1288" t="s">
        <v>1327</v>
      </c>
      <c r="N1288" t="s">
        <v>26</v>
      </c>
      <c r="O1288" t="s">
        <v>34</v>
      </c>
      <c r="P1288" t="s">
        <v>22</v>
      </c>
      <c r="Q1288" t="s">
        <v>23</v>
      </c>
      <c r="R1288" t="b">
        <f>OR(Таблица1[[#This Row],[Ежемесячный платеж]]&lt;$AC$5, Таблица1[[#This Row],[Ежемесячный платеж]]&gt;$AC$6)</f>
        <v>0</v>
      </c>
      <c r="S1288" s="9">
        <f>(Таблица1[[#This Row],[Размер кредита]]-21824)/(789096-21824)</f>
        <v>0.19795848147723363</v>
      </c>
      <c r="T1288" s="9">
        <f>(Таблица1[[#This Row],[Кредитный рейтинг]]-586)/(751-586)</f>
        <v>0.83030303030303032</v>
      </c>
      <c r="U1288" s="9">
        <f>Таблица1[[#This Row],[Ежемесячный платеж]]/(Таблица1[[#This Row],[Годовой доход]]/12)</f>
        <v>0.21900130264871906</v>
      </c>
    </row>
    <row r="1289" spans="1:21" x14ac:dyDescent="0.3">
      <c r="A1289">
        <v>1288</v>
      </c>
      <c r="B1289">
        <v>0</v>
      </c>
      <c r="C1289" s="9">
        <v>453530</v>
      </c>
      <c r="D1289">
        <v>667</v>
      </c>
      <c r="E1289" s="1">
        <v>1506472</v>
      </c>
      <c r="F1289">
        <v>50</v>
      </c>
      <c r="G1289">
        <v>16571.23</v>
      </c>
      <c r="H1289">
        <v>18.7</v>
      </c>
      <c r="I1289">
        <v>12</v>
      </c>
      <c r="J1289">
        <v>353875</v>
      </c>
      <c r="K1289">
        <v>628430</v>
      </c>
      <c r="L1289" t="s">
        <v>63</v>
      </c>
      <c r="M1289" t="s">
        <v>1328</v>
      </c>
      <c r="N1289" t="s">
        <v>26</v>
      </c>
      <c r="O1289" t="s">
        <v>34</v>
      </c>
      <c r="P1289" t="s">
        <v>31</v>
      </c>
      <c r="Q1289" t="s">
        <v>23</v>
      </c>
      <c r="R1289" t="b">
        <f>OR(Таблица1[[#This Row],[Ежемесячный платеж]]&lt;$AC$5, Таблица1[[#This Row],[Ежемесячный платеж]]&gt;$AC$6)</f>
        <v>0</v>
      </c>
      <c r="S1289" s="9">
        <f>(Таблица1[[#This Row],[Размер кредита]]-21824)/(789096-21824)</f>
        <v>0.56265053331804105</v>
      </c>
      <c r="T1289" s="9">
        <f>(Таблица1[[#This Row],[Кредитный рейтинг]]-586)/(751-586)</f>
        <v>0.49090909090909091</v>
      </c>
      <c r="U1289" s="9">
        <f>Таблица1[[#This Row],[Ежемесячный платеж]]/(Таблица1[[#This Row],[Годовой доход]]/12)</f>
        <v>0.13200030269397639</v>
      </c>
    </row>
    <row r="1290" spans="1:21" x14ac:dyDescent="0.3">
      <c r="A1290">
        <v>1289</v>
      </c>
      <c r="B1290">
        <v>3</v>
      </c>
      <c r="C1290" s="9">
        <v>226512</v>
      </c>
      <c r="D1290">
        <f>$Y$13</f>
        <v>723</v>
      </c>
      <c r="E1290">
        <f>$AB$13</f>
        <v>1168044</v>
      </c>
      <c r="F1290">
        <v>80</v>
      </c>
      <c r="G1290">
        <v>10180.77</v>
      </c>
      <c r="H1290">
        <v>14</v>
      </c>
      <c r="I1290">
        <v>6</v>
      </c>
      <c r="J1290">
        <v>45068</v>
      </c>
      <c r="K1290">
        <v>109648</v>
      </c>
      <c r="L1290" t="s">
        <v>24</v>
      </c>
      <c r="M1290" t="s">
        <v>1329</v>
      </c>
      <c r="N1290" t="s">
        <v>26</v>
      </c>
      <c r="O1290" t="s">
        <v>28</v>
      </c>
      <c r="P1290" t="s">
        <v>22</v>
      </c>
      <c r="Q1290" t="s">
        <v>36</v>
      </c>
      <c r="R1290" t="b">
        <f>OR(Таблица1[[#This Row],[Ежемесячный платеж]]&lt;$AC$5, Таблица1[[#This Row],[Ежемесячный платеж]]&gt;$AC$6)</f>
        <v>0</v>
      </c>
      <c r="S1290" s="9">
        <f>(Таблица1[[#This Row],[Размер кредита]]-21824)/(789096-21824)</f>
        <v>0.26677371258171811</v>
      </c>
      <c r="T1290" s="9">
        <f>(Таблица1[[#This Row],[Кредитный рейтинг]]-586)/(751-586)</f>
        <v>0.83030303030303032</v>
      </c>
      <c r="U1290" s="9">
        <f>Таблица1[[#This Row],[Ежемесячный платеж]]/(Таблица1[[#This Row],[Годовой доход]]/12)</f>
        <v>0.1045930119070857</v>
      </c>
    </row>
    <row r="1291" spans="1:21" x14ac:dyDescent="0.3">
      <c r="A1291">
        <v>1290</v>
      </c>
      <c r="B1291">
        <v>0</v>
      </c>
      <c r="C1291" s="9">
        <v>538450</v>
      </c>
      <c r="D1291">
        <v>692</v>
      </c>
      <c r="E1291" s="1">
        <v>1860100</v>
      </c>
      <c r="F1291">
        <v>28</v>
      </c>
      <c r="G1291">
        <v>34876.97</v>
      </c>
      <c r="H1291">
        <v>14.4</v>
      </c>
      <c r="I1291">
        <v>13</v>
      </c>
      <c r="J1291">
        <v>222490</v>
      </c>
      <c r="K1291">
        <v>417538</v>
      </c>
      <c r="L1291" t="s">
        <v>50</v>
      </c>
      <c r="M1291" t="s">
        <v>1330</v>
      </c>
      <c r="N1291" t="s">
        <v>26</v>
      </c>
      <c r="O1291" t="s">
        <v>21</v>
      </c>
      <c r="P1291" t="s">
        <v>31</v>
      </c>
      <c r="Q1291" t="s">
        <v>23</v>
      </c>
      <c r="R1291" t="b">
        <f>OR(Таблица1[[#This Row],[Ежемесячный платеж]]&lt;$AC$5, Таблица1[[#This Row],[Ежемесячный платеж]]&gt;$AC$6)</f>
        <v>0</v>
      </c>
      <c r="S1291" s="9">
        <f>(Таблица1[[#This Row],[Размер кредита]]-21824)/(789096-21824)</f>
        <v>0.67332836334442026</v>
      </c>
      <c r="T1291" s="9">
        <f>(Таблица1[[#This Row],[Кредитный рейтинг]]-586)/(751-586)</f>
        <v>0.64242424242424245</v>
      </c>
      <c r="U1291" s="9">
        <f>Таблица1[[#This Row],[Ежемесячный платеж]]/(Таблица1[[#This Row],[Годовой доход]]/12)</f>
        <v>0.22500061287027578</v>
      </c>
    </row>
    <row r="1292" spans="1:21" x14ac:dyDescent="0.3">
      <c r="A1292">
        <v>1291</v>
      </c>
      <c r="B1292">
        <v>1</v>
      </c>
      <c r="C1292" s="9">
        <v>234102</v>
      </c>
      <c r="D1292">
        <v>715</v>
      </c>
      <c r="E1292" s="1">
        <v>1097516</v>
      </c>
      <c r="F1292">
        <v>67</v>
      </c>
      <c r="G1292">
        <v>20121</v>
      </c>
      <c r="H1292">
        <v>18.399999999999999</v>
      </c>
      <c r="I1292">
        <v>12</v>
      </c>
      <c r="J1292">
        <v>469015</v>
      </c>
      <c r="K1292">
        <v>767052</v>
      </c>
      <c r="L1292" t="s">
        <v>24</v>
      </c>
      <c r="M1292" t="s">
        <v>1331</v>
      </c>
      <c r="N1292" t="s">
        <v>20</v>
      </c>
      <c r="O1292" t="s">
        <v>21</v>
      </c>
      <c r="P1292" t="s">
        <v>31</v>
      </c>
      <c r="Q1292" t="s">
        <v>23</v>
      </c>
      <c r="R1292" t="b">
        <f>OR(Таблица1[[#This Row],[Ежемесячный платеж]]&lt;$AC$5, Таблица1[[#This Row],[Ежемесячный платеж]]&gt;$AC$6)</f>
        <v>0</v>
      </c>
      <c r="S1292" s="9">
        <f>(Таблица1[[#This Row],[Размер кредита]]-21824)/(789096-21824)</f>
        <v>0.27666590205298774</v>
      </c>
      <c r="T1292" s="9">
        <f>(Таблица1[[#This Row],[Кредитный рейтинг]]-586)/(751-586)</f>
        <v>0.78181818181818186</v>
      </c>
      <c r="U1292" s="9">
        <f>Таблица1[[#This Row],[Ежемесячный платеж]]/(Таблица1[[#This Row],[Годовой доход]]/12)</f>
        <v>0.21999861505435911</v>
      </c>
    </row>
    <row r="1293" spans="1:21" x14ac:dyDescent="0.3">
      <c r="A1293">
        <v>1292</v>
      </c>
      <c r="B1293">
        <v>1</v>
      </c>
      <c r="C1293" s="9">
        <v>155078</v>
      </c>
      <c r="D1293">
        <v>745</v>
      </c>
      <c r="E1293" s="1">
        <v>1626305</v>
      </c>
      <c r="F1293">
        <v>0</v>
      </c>
      <c r="G1293">
        <v>30357.82</v>
      </c>
      <c r="H1293">
        <v>28.2</v>
      </c>
      <c r="I1293">
        <v>11</v>
      </c>
      <c r="J1293">
        <v>98496</v>
      </c>
      <c r="K1293">
        <v>349844</v>
      </c>
      <c r="L1293" t="s">
        <v>24</v>
      </c>
      <c r="M1293" t="s">
        <v>1332</v>
      </c>
      <c r="N1293" t="s">
        <v>26</v>
      </c>
      <c r="O1293" t="s">
        <v>21</v>
      </c>
      <c r="P1293" t="s">
        <v>22</v>
      </c>
      <c r="Q1293" t="s">
        <v>23</v>
      </c>
      <c r="R1293" t="b">
        <f>OR(Таблица1[[#This Row],[Ежемесячный платеж]]&lt;$AC$5, Таблица1[[#This Row],[Ежемесячный платеж]]&gt;$AC$6)</f>
        <v>0</v>
      </c>
      <c r="S1293" s="9">
        <f>(Таблица1[[#This Row],[Размер кредита]]-21824)/(789096-21824)</f>
        <v>0.17367243949994265</v>
      </c>
      <c r="T1293" s="9">
        <f>(Таблица1[[#This Row],[Кредитный рейтинг]]-586)/(751-586)</f>
        <v>0.96363636363636362</v>
      </c>
      <c r="U1293" s="9">
        <f>Таблица1[[#This Row],[Ежемесячный платеж]]/(Таблица1[[#This Row],[Годовой доход]]/12)</f>
        <v>0.22400093463403237</v>
      </c>
    </row>
    <row r="1294" spans="1:21" x14ac:dyDescent="0.3">
      <c r="A1294">
        <v>1293</v>
      </c>
      <c r="B1294">
        <v>0</v>
      </c>
      <c r="C1294" s="9">
        <v>198484</v>
      </c>
      <c r="D1294">
        <v>743</v>
      </c>
      <c r="E1294" s="1">
        <v>952280</v>
      </c>
      <c r="F1294">
        <v>18</v>
      </c>
      <c r="G1294">
        <v>15633.2</v>
      </c>
      <c r="H1294">
        <v>17</v>
      </c>
      <c r="I1294">
        <v>15</v>
      </c>
      <c r="J1294">
        <v>277856</v>
      </c>
      <c r="K1294">
        <v>744744</v>
      </c>
      <c r="L1294" t="s">
        <v>18</v>
      </c>
      <c r="M1294" t="s">
        <v>1333</v>
      </c>
      <c r="N1294" t="s">
        <v>26</v>
      </c>
      <c r="O1294" t="s">
        <v>21</v>
      </c>
      <c r="P1294" t="s">
        <v>22</v>
      </c>
      <c r="Q1294" t="s">
        <v>23</v>
      </c>
      <c r="R1294" t="b">
        <f>OR(Таблица1[[#This Row],[Ежемесячный платеж]]&lt;$AC$5, Таблица1[[#This Row],[Ежемесячный платеж]]&gt;$AC$6)</f>
        <v>0</v>
      </c>
      <c r="S1294" s="9">
        <f>(Таблица1[[#This Row],[Размер кредита]]-21824)/(789096-21824)</f>
        <v>0.23024429407042091</v>
      </c>
      <c r="T1294" s="9">
        <f>(Таблица1[[#This Row],[Кредитный рейтинг]]-586)/(751-586)</f>
        <v>0.95151515151515154</v>
      </c>
      <c r="U1294" s="9">
        <f>Таблица1[[#This Row],[Ежемесячный платеж]]/(Таблица1[[#This Row],[Годовой доход]]/12)</f>
        <v>0.19699920191540302</v>
      </c>
    </row>
    <row r="1295" spans="1:21" x14ac:dyDescent="0.3">
      <c r="A1295">
        <v>1294</v>
      </c>
      <c r="B1295">
        <v>0</v>
      </c>
      <c r="C1295" s="9">
        <v>120472</v>
      </c>
      <c r="D1295">
        <v>711</v>
      </c>
      <c r="E1295" s="1">
        <v>677502</v>
      </c>
      <c r="F1295">
        <v>37</v>
      </c>
      <c r="G1295">
        <v>8638.16</v>
      </c>
      <c r="H1295">
        <v>8.1</v>
      </c>
      <c r="I1295">
        <v>19</v>
      </c>
      <c r="J1295">
        <v>146699</v>
      </c>
      <c r="K1295">
        <v>206162</v>
      </c>
      <c r="L1295" t="s">
        <v>37</v>
      </c>
      <c r="M1295" t="s">
        <v>1334</v>
      </c>
      <c r="N1295" t="s">
        <v>26</v>
      </c>
      <c r="O1295" t="s">
        <v>28</v>
      </c>
      <c r="P1295" t="s">
        <v>22</v>
      </c>
      <c r="Q1295" t="s">
        <v>23</v>
      </c>
      <c r="R1295" t="b">
        <f>OR(Таблица1[[#This Row],[Ежемесячный платеж]]&lt;$AC$5, Таблица1[[#This Row],[Ежемесячный платеж]]&gt;$AC$6)</f>
        <v>0</v>
      </c>
      <c r="S1295" s="9">
        <f>(Таблица1[[#This Row],[Размер кредита]]-21824)/(789096-21824)</f>
        <v>0.12856979011354513</v>
      </c>
      <c r="T1295" s="9">
        <f>(Таблица1[[#This Row],[Кредитный рейтинг]]-586)/(751-586)</f>
        <v>0.75757575757575757</v>
      </c>
      <c r="U1295" s="9">
        <f>Таблица1[[#This Row],[Ежемесячный платеж]]/(Таблица1[[#This Row],[Годовой доход]]/12)</f>
        <v>0.15300016826518592</v>
      </c>
    </row>
    <row r="1296" spans="1:21" x14ac:dyDescent="0.3">
      <c r="A1296">
        <v>1295</v>
      </c>
      <c r="B1296">
        <v>0</v>
      </c>
      <c r="C1296" s="9">
        <v>40524</v>
      </c>
      <c r="D1296">
        <f>$Y$13</f>
        <v>723</v>
      </c>
      <c r="E1296">
        <f>$AB$13</f>
        <v>1168044</v>
      </c>
      <c r="F1296">
        <v>3</v>
      </c>
      <c r="G1296">
        <v>6611.24</v>
      </c>
      <c r="H1296">
        <v>11</v>
      </c>
      <c r="I1296">
        <v>6</v>
      </c>
      <c r="J1296">
        <v>14478</v>
      </c>
      <c r="K1296">
        <v>40524</v>
      </c>
      <c r="L1296" t="s">
        <v>41</v>
      </c>
      <c r="M1296" t="s">
        <v>1335</v>
      </c>
      <c r="N1296" t="s">
        <v>26</v>
      </c>
      <c r="O1296" t="s">
        <v>34</v>
      </c>
      <c r="P1296" t="s">
        <v>22</v>
      </c>
      <c r="Q1296" t="s">
        <v>23</v>
      </c>
      <c r="R1296" t="b">
        <f>OR(Таблица1[[#This Row],[Ежемесячный платеж]]&lt;$AC$5, Таблица1[[#This Row],[Ежемесячный платеж]]&gt;$AC$6)</f>
        <v>0</v>
      </c>
      <c r="S1296" s="9">
        <f>(Таблица1[[#This Row],[Размер кредита]]-21824)/(789096-21824)</f>
        <v>2.4372061016171578E-2</v>
      </c>
      <c r="T1296" s="9">
        <f>(Таблица1[[#This Row],[Кредитный рейтинг]]-586)/(751-586)</f>
        <v>0.83030303030303032</v>
      </c>
      <c r="U1296" s="9">
        <f>Таблица1[[#This Row],[Ежемесячный платеж]]/(Таблица1[[#This Row],[Годовой доход]]/12)</f>
        <v>6.7921139957056412E-2</v>
      </c>
    </row>
    <row r="1297" spans="1:21" x14ac:dyDescent="0.3">
      <c r="A1297">
        <v>1296</v>
      </c>
      <c r="B1297">
        <v>0</v>
      </c>
      <c r="C1297" s="9">
        <v>207636</v>
      </c>
      <c r="D1297">
        <v>738</v>
      </c>
      <c r="E1297" s="1">
        <v>933945</v>
      </c>
      <c r="F1297">
        <v>72</v>
      </c>
      <c r="G1297">
        <v>2015.9</v>
      </c>
      <c r="H1297">
        <v>14.2</v>
      </c>
      <c r="I1297">
        <v>8</v>
      </c>
      <c r="J1297">
        <v>106666</v>
      </c>
      <c r="K1297">
        <v>307208</v>
      </c>
      <c r="L1297" t="s">
        <v>47</v>
      </c>
      <c r="M1297" t="s">
        <v>1336</v>
      </c>
      <c r="N1297" t="s">
        <v>26</v>
      </c>
      <c r="O1297" t="s">
        <v>21</v>
      </c>
      <c r="P1297" t="s">
        <v>22</v>
      </c>
      <c r="Q1297" t="s">
        <v>36</v>
      </c>
      <c r="R1297" t="b">
        <f>OR(Таблица1[[#This Row],[Ежемесячный платеж]]&lt;$AC$5, Таблица1[[#This Row],[Ежемесячный платеж]]&gt;$AC$6)</f>
        <v>0</v>
      </c>
      <c r="S1297" s="9">
        <f>(Таблица1[[#This Row],[Размер кредита]]-21824)/(789096-21824)</f>
        <v>0.2421722674618649</v>
      </c>
      <c r="T1297" s="9">
        <f>(Таблица1[[#This Row],[Кредитный рейтинг]]-586)/(751-586)</f>
        <v>0.92121212121212126</v>
      </c>
      <c r="U1297" s="9">
        <f>Таблица1[[#This Row],[Ежемесячный платеж]]/(Таблица1[[#This Row],[Годовой доход]]/12)</f>
        <v>2.5901739395788832E-2</v>
      </c>
    </row>
    <row r="1298" spans="1:21" x14ac:dyDescent="0.3">
      <c r="A1298">
        <v>1297</v>
      </c>
      <c r="B1298">
        <v>0</v>
      </c>
      <c r="C1298" s="9">
        <v>173118</v>
      </c>
      <c r="D1298">
        <v>714</v>
      </c>
      <c r="E1298" s="1">
        <v>672790</v>
      </c>
      <c r="F1298">
        <v>0</v>
      </c>
      <c r="G1298">
        <v>17604.45</v>
      </c>
      <c r="H1298">
        <v>10</v>
      </c>
      <c r="I1298">
        <v>6</v>
      </c>
      <c r="J1298">
        <v>129010</v>
      </c>
      <c r="K1298">
        <v>183964</v>
      </c>
      <c r="L1298" t="s">
        <v>47</v>
      </c>
      <c r="M1298" t="s">
        <v>1337</v>
      </c>
      <c r="N1298" t="s">
        <v>26</v>
      </c>
      <c r="O1298" t="s">
        <v>34</v>
      </c>
      <c r="P1298" t="s">
        <v>22</v>
      </c>
      <c r="Q1298" t="s">
        <v>23</v>
      </c>
      <c r="R1298" t="b">
        <f>OR(Таблица1[[#This Row],[Ежемесячный платеж]]&lt;$AC$5, Таблица1[[#This Row],[Ежемесячный платеж]]&gt;$AC$6)</f>
        <v>0</v>
      </c>
      <c r="S1298" s="9">
        <f>(Таблица1[[#This Row],[Размер кредита]]-21824)/(789096-21824)</f>
        <v>0.19718431012730817</v>
      </c>
      <c r="T1298" s="9">
        <f>(Таблица1[[#This Row],[Кредитный рейтинг]]-586)/(751-586)</f>
        <v>0.77575757575757576</v>
      </c>
      <c r="U1298" s="9">
        <f>Таблица1[[#This Row],[Ежемесячный платеж]]/(Таблица1[[#This Row],[Годовой доход]]/12)</f>
        <v>0.31399604631460037</v>
      </c>
    </row>
    <row r="1299" spans="1:21" x14ac:dyDescent="0.3">
      <c r="A1299">
        <v>1298</v>
      </c>
      <c r="B1299">
        <v>0</v>
      </c>
      <c r="C1299" s="9">
        <v>109318</v>
      </c>
      <c r="D1299">
        <v>736</v>
      </c>
      <c r="E1299" s="1">
        <v>1888220</v>
      </c>
      <c r="F1299">
        <v>0</v>
      </c>
      <c r="G1299">
        <v>32556.12</v>
      </c>
      <c r="H1299">
        <v>17.3</v>
      </c>
      <c r="I1299">
        <v>12</v>
      </c>
      <c r="J1299">
        <v>1133122</v>
      </c>
      <c r="K1299">
        <v>1789942</v>
      </c>
      <c r="L1299" t="s">
        <v>32</v>
      </c>
      <c r="M1299" t="s">
        <v>1338</v>
      </c>
      <c r="N1299" t="s">
        <v>20</v>
      </c>
      <c r="O1299" t="s">
        <v>21</v>
      </c>
      <c r="P1299" t="s">
        <v>22</v>
      </c>
      <c r="Q1299" t="s">
        <v>23</v>
      </c>
      <c r="R1299" t="b">
        <f>OR(Таблица1[[#This Row],[Ежемесячный платеж]]&lt;$AC$5, Таблица1[[#This Row],[Ежемесячный платеж]]&gt;$AC$6)</f>
        <v>0</v>
      </c>
      <c r="S1299" s="9">
        <f>(Таблица1[[#This Row],[Размер кредита]]-21824)/(789096-21824)</f>
        <v>0.1140325725427228</v>
      </c>
      <c r="T1299" s="9">
        <f>(Таблица1[[#This Row],[Кредитный рейтинг]]-586)/(751-586)</f>
        <v>0.90909090909090906</v>
      </c>
      <c r="U1299" s="9">
        <f>Таблица1[[#This Row],[Ежемесячный платеж]]/(Таблица1[[#This Row],[Годовой доход]]/12)</f>
        <v>0.20690038237069833</v>
      </c>
    </row>
    <row r="1300" spans="1:21" x14ac:dyDescent="0.3">
      <c r="A1300">
        <v>1299</v>
      </c>
      <c r="B1300">
        <v>0</v>
      </c>
      <c r="C1300" s="9">
        <v>225060</v>
      </c>
      <c r="D1300">
        <v>742</v>
      </c>
      <c r="E1300" s="1">
        <v>796917</v>
      </c>
      <c r="F1300">
        <v>14</v>
      </c>
      <c r="G1300">
        <v>17864.18</v>
      </c>
      <c r="H1300">
        <v>15.5</v>
      </c>
      <c r="I1300">
        <v>11</v>
      </c>
      <c r="J1300">
        <v>135470</v>
      </c>
      <c r="K1300">
        <v>270006</v>
      </c>
      <c r="L1300" t="s">
        <v>29</v>
      </c>
      <c r="M1300" t="s">
        <v>1339</v>
      </c>
      <c r="N1300" t="s">
        <v>26</v>
      </c>
      <c r="O1300" t="s">
        <v>34</v>
      </c>
      <c r="P1300" t="s">
        <v>22</v>
      </c>
      <c r="Q1300" t="s">
        <v>36</v>
      </c>
      <c r="R1300" t="b">
        <f>OR(Таблица1[[#This Row],[Ежемесячный платеж]]&lt;$AC$5, Таблица1[[#This Row],[Ежемесячный платеж]]&gt;$AC$6)</f>
        <v>0</v>
      </c>
      <c r="S1300" s="9">
        <f>(Таблица1[[#This Row],[Размер кредита]]-21824)/(789096-21824)</f>
        <v>0.26488129372634478</v>
      </c>
      <c r="T1300" s="9">
        <f>(Таблица1[[#This Row],[Кредитный рейтинг]]-586)/(751-586)</f>
        <v>0.94545454545454544</v>
      </c>
      <c r="U1300" s="9">
        <f>Таблица1[[#This Row],[Ежемесячный платеж]]/(Таблица1[[#This Row],[Годовой доход]]/12)</f>
        <v>0.2689993562692225</v>
      </c>
    </row>
    <row r="1301" spans="1:21" x14ac:dyDescent="0.3">
      <c r="A1301">
        <v>1300</v>
      </c>
      <c r="B1301">
        <v>0</v>
      </c>
      <c r="C1301" s="9">
        <v>394900</v>
      </c>
      <c r="D1301">
        <v>747</v>
      </c>
      <c r="E1301" s="1">
        <v>1686269</v>
      </c>
      <c r="F1301">
        <v>54</v>
      </c>
      <c r="G1301">
        <v>15878.87</v>
      </c>
      <c r="H1301">
        <v>9.1</v>
      </c>
      <c r="I1301">
        <v>12</v>
      </c>
      <c r="J1301">
        <v>8987</v>
      </c>
      <c r="K1301">
        <v>611688</v>
      </c>
      <c r="L1301" t="s">
        <v>69</v>
      </c>
      <c r="M1301" t="s">
        <v>1340</v>
      </c>
      <c r="N1301" t="s">
        <v>26</v>
      </c>
      <c r="O1301" t="s">
        <v>34</v>
      </c>
      <c r="P1301" t="s">
        <v>22</v>
      </c>
      <c r="Q1301" t="s">
        <v>23</v>
      </c>
      <c r="R1301" t="b">
        <f>OR(Таблица1[[#This Row],[Ежемесячный платеж]]&lt;$AC$5, Таблица1[[#This Row],[Ежемесячный платеж]]&gt;$AC$6)</f>
        <v>0</v>
      </c>
      <c r="S1301" s="9">
        <f>(Таблица1[[#This Row],[Размер кредита]]-21824)/(789096-21824)</f>
        <v>0.48623695377910309</v>
      </c>
      <c r="T1301" s="9">
        <f>(Таблица1[[#This Row],[Кредитный рейтинг]]-586)/(751-586)</f>
        <v>0.97575757575757571</v>
      </c>
      <c r="U1301" s="9">
        <f>Таблица1[[#This Row],[Ежемесячный платеж]]/(Таблица1[[#This Row],[Годовой доход]]/12)</f>
        <v>0.11299883944969635</v>
      </c>
    </row>
    <row r="1302" spans="1:21" x14ac:dyDescent="0.3">
      <c r="A1302">
        <v>1301</v>
      </c>
      <c r="B1302">
        <v>0</v>
      </c>
      <c r="C1302" s="9">
        <v>198616</v>
      </c>
      <c r="D1302">
        <v>717</v>
      </c>
      <c r="E1302" s="1">
        <v>773072</v>
      </c>
      <c r="F1302">
        <v>69</v>
      </c>
      <c r="G1302">
        <v>16492.189999999999</v>
      </c>
      <c r="H1302">
        <v>13</v>
      </c>
      <c r="I1302">
        <v>13</v>
      </c>
      <c r="J1302">
        <v>74252</v>
      </c>
      <c r="K1302">
        <v>109670</v>
      </c>
      <c r="L1302" t="s">
        <v>29</v>
      </c>
      <c r="M1302" t="s">
        <v>1341</v>
      </c>
      <c r="N1302" t="s">
        <v>26</v>
      </c>
      <c r="O1302" t="s">
        <v>21</v>
      </c>
      <c r="P1302" t="s">
        <v>22</v>
      </c>
      <c r="Q1302" t="s">
        <v>23</v>
      </c>
      <c r="R1302" t="b">
        <f>OR(Таблица1[[#This Row],[Ежемесячный платеж]]&lt;$AC$5, Таблица1[[#This Row],[Ежемесячный платеж]]&gt;$AC$6)</f>
        <v>0</v>
      </c>
      <c r="S1302" s="9">
        <f>(Таблица1[[#This Row],[Размер кредита]]-21824)/(789096-21824)</f>
        <v>0.23041633214818213</v>
      </c>
      <c r="T1302" s="9">
        <f>(Таблица1[[#This Row],[Кредитный рейтинг]]-586)/(751-586)</f>
        <v>0.79393939393939394</v>
      </c>
      <c r="U1302" s="9">
        <f>Таблица1[[#This Row],[Ежемесячный платеж]]/(Таблица1[[#This Row],[Годовой доход]]/12)</f>
        <v>0.25599980338183248</v>
      </c>
    </row>
    <row r="1303" spans="1:21" x14ac:dyDescent="0.3">
      <c r="A1303">
        <v>1302</v>
      </c>
      <c r="B1303">
        <v>0</v>
      </c>
      <c r="C1303" s="9">
        <v>519024</v>
      </c>
      <c r="D1303">
        <f>$Y$13</f>
        <v>723</v>
      </c>
      <c r="E1303">
        <f>$AB$13</f>
        <v>1168044</v>
      </c>
      <c r="F1303">
        <v>0</v>
      </c>
      <c r="G1303">
        <v>38328.129999999997</v>
      </c>
      <c r="H1303">
        <v>24.5</v>
      </c>
      <c r="I1303">
        <v>15</v>
      </c>
      <c r="J1303">
        <v>871872</v>
      </c>
      <c r="K1303">
        <v>1126708</v>
      </c>
      <c r="L1303" t="s">
        <v>52</v>
      </c>
      <c r="M1303" t="s">
        <v>1342</v>
      </c>
      <c r="N1303" t="s">
        <v>26</v>
      </c>
      <c r="O1303" t="s">
        <v>21</v>
      </c>
      <c r="P1303" t="s">
        <v>22</v>
      </c>
      <c r="Q1303" t="s">
        <v>23</v>
      </c>
      <c r="R1303" t="b">
        <f>OR(Таблица1[[#This Row],[Ежемесячный платеж]]&lt;$AC$5, Таблица1[[#This Row],[Ежемесячный платеж]]&gt;$AC$6)</f>
        <v>0</v>
      </c>
      <c r="S1303" s="9">
        <f>(Таблица1[[#This Row],[Размер кредита]]-21824)/(789096-21824)</f>
        <v>0.648010092900562</v>
      </c>
      <c r="T1303" s="9">
        <f>(Таблица1[[#This Row],[Кредитный рейтинг]]-586)/(751-586)</f>
        <v>0.83030303030303032</v>
      </c>
      <c r="U1303" s="9">
        <f>Таблица1[[#This Row],[Ежемесячный платеж]]/(Таблица1[[#This Row],[Годовой доход]]/12)</f>
        <v>0.39376732383369117</v>
      </c>
    </row>
    <row r="1304" spans="1:21" x14ac:dyDescent="0.3">
      <c r="A1304">
        <v>1303</v>
      </c>
      <c r="B1304">
        <v>0</v>
      </c>
      <c r="C1304" s="9">
        <v>756932</v>
      </c>
      <c r="D1304">
        <v>677</v>
      </c>
      <c r="E1304" s="1">
        <v>1561382</v>
      </c>
      <c r="F1304">
        <v>0</v>
      </c>
      <c r="G1304">
        <v>29015.85</v>
      </c>
      <c r="H1304">
        <v>21</v>
      </c>
      <c r="I1304">
        <v>10</v>
      </c>
      <c r="J1304">
        <v>760608</v>
      </c>
      <c r="K1304">
        <v>1242164</v>
      </c>
      <c r="L1304" t="s">
        <v>24</v>
      </c>
      <c r="M1304" t="s">
        <v>1343</v>
      </c>
      <c r="N1304" t="s">
        <v>26</v>
      </c>
      <c r="O1304" t="s">
        <v>28</v>
      </c>
      <c r="P1304" t="s">
        <v>31</v>
      </c>
      <c r="Q1304" t="s">
        <v>23</v>
      </c>
      <c r="R1304" t="b">
        <f>OR(Таблица1[[#This Row],[Ежемесячный платеж]]&lt;$AC$5, Таблица1[[#This Row],[Ежемесячный платеж]]&gt;$AC$6)</f>
        <v>0</v>
      </c>
      <c r="S1304" s="9">
        <f>(Таблица1[[#This Row],[Размер кредита]]-21824)/(789096-21824)</f>
        <v>0.95808005505218485</v>
      </c>
      <c r="T1304" s="9">
        <f>(Таблица1[[#This Row],[Кредитный рейтинг]]-586)/(751-586)</f>
        <v>0.55151515151515151</v>
      </c>
      <c r="U1304" s="9">
        <f>Таблица1[[#This Row],[Ежемесячный платеж]]/(Таблица1[[#This Row],[Годовой доход]]/12)</f>
        <v>0.22300128988293702</v>
      </c>
    </row>
    <row r="1305" spans="1:21" x14ac:dyDescent="0.3">
      <c r="A1305">
        <v>1304</v>
      </c>
      <c r="B1305">
        <v>1</v>
      </c>
      <c r="C1305" s="9">
        <v>399168</v>
      </c>
      <c r="D1305">
        <v>730</v>
      </c>
      <c r="E1305" s="1">
        <v>1398096</v>
      </c>
      <c r="F1305">
        <v>33</v>
      </c>
      <c r="G1305">
        <v>11883.74</v>
      </c>
      <c r="H1305">
        <v>15.5</v>
      </c>
      <c r="I1305">
        <v>9</v>
      </c>
      <c r="J1305">
        <v>164958</v>
      </c>
      <c r="K1305">
        <v>470448</v>
      </c>
      <c r="L1305" t="s">
        <v>18</v>
      </c>
      <c r="M1305" t="s">
        <v>1344</v>
      </c>
      <c r="N1305" t="s">
        <v>26</v>
      </c>
      <c r="O1305" t="s">
        <v>34</v>
      </c>
      <c r="P1305" t="s">
        <v>22</v>
      </c>
      <c r="Q1305" t="s">
        <v>36</v>
      </c>
      <c r="R1305" t="b">
        <f>OR(Таблица1[[#This Row],[Ежемесячный платеж]]&lt;$AC$5, Таблица1[[#This Row],[Ежемесячный платеж]]&gt;$AC$6)</f>
        <v>0</v>
      </c>
      <c r="S1305" s="9">
        <f>(Таблица1[[#This Row],[Размер кредита]]-21824)/(789096-21824)</f>
        <v>0.49179951829338225</v>
      </c>
      <c r="T1305" s="9">
        <f>(Таблица1[[#This Row],[Кредитный рейтинг]]-586)/(751-586)</f>
        <v>0.87272727272727268</v>
      </c>
      <c r="U1305" s="9">
        <f>Таблица1[[#This Row],[Ежемесячный платеж]]/(Таблица1[[#This Row],[Годовой доход]]/12)</f>
        <v>0.10199934768427919</v>
      </c>
    </row>
    <row r="1306" spans="1:21" x14ac:dyDescent="0.3">
      <c r="A1306">
        <v>1305</v>
      </c>
      <c r="B1306">
        <v>0</v>
      </c>
      <c r="C1306" s="9">
        <v>78430</v>
      </c>
      <c r="D1306">
        <f>$Y$13</f>
        <v>723</v>
      </c>
      <c r="E1306">
        <f>$AB$13</f>
        <v>1168044</v>
      </c>
      <c r="F1306">
        <v>33</v>
      </c>
      <c r="G1306">
        <v>2970.46</v>
      </c>
      <c r="H1306">
        <v>9</v>
      </c>
      <c r="I1306">
        <v>10</v>
      </c>
      <c r="J1306">
        <v>56905</v>
      </c>
      <c r="K1306">
        <v>134200</v>
      </c>
      <c r="L1306" t="s">
        <v>37</v>
      </c>
      <c r="M1306" t="s">
        <v>1345</v>
      </c>
      <c r="N1306" t="s">
        <v>26</v>
      </c>
      <c r="O1306" t="s">
        <v>34</v>
      </c>
      <c r="P1306" t="s">
        <v>22</v>
      </c>
      <c r="Q1306" t="s">
        <v>23</v>
      </c>
      <c r="R1306" t="b">
        <f>OR(Таблица1[[#This Row],[Ежемесячный платеж]]&lt;$AC$5, Таблица1[[#This Row],[Ежемесячный платеж]]&gt;$AC$6)</f>
        <v>0</v>
      </c>
      <c r="S1306" s="9">
        <f>(Таблица1[[#This Row],[Размер кредита]]-21824)/(789096-21824)</f>
        <v>7.377566234659938E-2</v>
      </c>
      <c r="T1306" s="9">
        <f>(Таблица1[[#This Row],[Кредитный рейтинг]]-586)/(751-586)</f>
        <v>0.83030303030303032</v>
      </c>
      <c r="U1306" s="9">
        <f>Таблица1[[#This Row],[Ежемесячный платеж]]/(Таблица1[[#This Row],[Годовой доход]]/12)</f>
        <v>3.0517275034159672E-2</v>
      </c>
    </row>
    <row r="1307" spans="1:21" x14ac:dyDescent="0.3">
      <c r="A1307">
        <v>1306</v>
      </c>
      <c r="B1307">
        <v>0</v>
      </c>
      <c r="C1307" s="9">
        <v>429264</v>
      </c>
      <c r="D1307">
        <v>715</v>
      </c>
      <c r="E1307" s="1">
        <v>704387</v>
      </c>
      <c r="F1307">
        <v>16</v>
      </c>
      <c r="G1307">
        <v>9391.89</v>
      </c>
      <c r="H1307">
        <v>13</v>
      </c>
      <c r="I1307">
        <v>12</v>
      </c>
      <c r="J1307">
        <v>26809</v>
      </c>
      <c r="K1307">
        <v>229900</v>
      </c>
      <c r="L1307" t="s">
        <v>47</v>
      </c>
      <c r="M1307" t="s">
        <v>1346</v>
      </c>
      <c r="N1307" t="s">
        <v>26</v>
      </c>
      <c r="O1307" t="s">
        <v>34</v>
      </c>
      <c r="P1307" t="s">
        <v>22</v>
      </c>
      <c r="Q1307" t="s">
        <v>23</v>
      </c>
      <c r="R1307" t="b">
        <f>OR(Таблица1[[#This Row],[Ежемесячный платеж]]&lt;$AC$5, Таблица1[[#This Row],[Ежемесячный платеж]]&gt;$AC$6)</f>
        <v>0</v>
      </c>
      <c r="S1307" s="9">
        <f>(Таблица1[[#This Row],[Размер кредита]]-21824)/(789096-21824)</f>
        <v>0.53102420002293838</v>
      </c>
      <c r="T1307" s="9">
        <f>(Таблица1[[#This Row],[Кредитный рейтинг]]-586)/(751-586)</f>
        <v>0.78181818181818186</v>
      </c>
      <c r="U1307" s="9">
        <f>Таблица1[[#This Row],[Ежемесячный платеж]]/(Таблица1[[#This Row],[Годовой доход]]/12)</f>
        <v>0.16000107895233728</v>
      </c>
    </row>
    <row r="1308" spans="1:21" x14ac:dyDescent="0.3">
      <c r="A1308">
        <v>1307</v>
      </c>
      <c r="B1308">
        <v>0</v>
      </c>
      <c r="C1308" s="9">
        <v>65692</v>
      </c>
      <c r="D1308">
        <v>684</v>
      </c>
      <c r="E1308" s="1">
        <v>1040193</v>
      </c>
      <c r="F1308">
        <v>5</v>
      </c>
      <c r="G1308">
        <v>17509.830000000002</v>
      </c>
      <c r="H1308">
        <v>16</v>
      </c>
      <c r="I1308">
        <v>25</v>
      </c>
      <c r="J1308">
        <v>185231</v>
      </c>
      <c r="K1308">
        <v>841082</v>
      </c>
      <c r="L1308" t="s">
        <v>18</v>
      </c>
      <c r="M1308" t="s">
        <v>1347</v>
      </c>
      <c r="N1308" t="s">
        <v>26</v>
      </c>
      <c r="O1308" t="s">
        <v>34</v>
      </c>
      <c r="P1308" t="s">
        <v>22</v>
      </c>
      <c r="Q1308" t="s">
        <v>23</v>
      </c>
      <c r="R1308" t="b">
        <f>OR(Таблица1[[#This Row],[Ежемесячный платеж]]&lt;$AC$5, Таблица1[[#This Row],[Ежемесячный платеж]]&gt;$AC$6)</f>
        <v>0</v>
      </c>
      <c r="S1308" s="9">
        <f>(Таблица1[[#This Row],[Размер кредита]]-21824)/(789096-21824)</f>
        <v>5.7173987842642507E-2</v>
      </c>
      <c r="T1308" s="9">
        <f>(Таблица1[[#This Row],[Кредитный рейтинг]]-586)/(751-586)</f>
        <v>0.59393939393939399</v>
      </c>
      <c r="U1308" s="9">
        <f>Таблица1[[#This Row],[Ежемесячный платеж]]/(Таблица1[[#This Row],[Годовой доход]]/12)</f>
        <v>0.20199901364458328</v>
      </c>
    </row>
    <row r="1309" spans="1:21" x14ac:dyDescent="0.3">
      <c r="A1309">
        <v>1308</v>
      </c>
      <c r="B1309">
        <v>0</v>
      </c>
      <c r="C1309" s="9">
        <v>306240</v>
      </c>
      <c r="D1309">
        <v>714</v>
      </c>
      <c r="E1309" s="1">
        <v>1205683</v>
      </c>
      <c r="F1309">
        <v>8</v>
      </c>
      <c r="G1309">
        <v>9725.7199999999993</v>
      </c>
      <c r="H1309">
        <v>32.200000000000003</v>
      </c>
      <c r="I1309">
        <v>7</v>
      </c>
      <c r="J1309">
        <v>18506</v>
      </c>
      <c r="K1309">
        <v>93192</v>
      </c>
      <c r="L1309" t="s">
        <v>50</v>
      </c>
      <c r="M1309" t="s">
        <v>1348</v>
      </c>
      <c r="N1309" t="s">
        <v>26</v>
      </c>
      <c r="O1309" t="s">
        <v>34</v>
      </c>
      <c r="P1309" t="s">
        <v>22</v>
      </c>
      <c r="Q1309" t="s">
        <v>23</v>
      </c>
      <c r="R1309" t="b">
        <f>OR(Таблица1[[#This Row],[Ежемесячный платеж]]&lt;$AC$5, Таблица1[[#This Row],[Ежемесячный платеж]]&gt;$AC$6)</f>
        <v>0</v>
      </c>
      <c r="S1309" s="9">
        <f>(Таблица1[[#This Row],[Размер кредита]]-21824)/(789096-21824)</f>
        <v>0.37068471154948962</v>
      </c>
      <c r="T1309" s="9">
        <f>(Таблица1[[#This Row],[Кредитный рейтинг]]-586)/(751-586)</f>
        <v>0.77575757575757576</v>
      </c>
      <c r="U1309" s="9">
        <f>Таблица1[[#This Row],[Ежемесячный платеж]]/(Таблица1[[#This Row],[Годовой доход]]/12)</f>
        <v>9.6798777124667099E-2</v>
      </c>
    </row>
    <row r="1310" spans="1:21" x14ac:dyDescent="0.3">
      <c r="A1310">
        <v>1309</v>
      </c>
      <c r="B1310">
        <v>0</v>
      </c>
      <c r="C1310" s="9">
        <v>256454</v>
      </c>
      <c r="D1310">
        <v>707</v>
      </c>
      <c r="E1310" s="1">
        <v>1045627</v>
      </c>
      <c r="F1310">
        <v>35</v>
      </c>
      <c r="G1310">
        <v>29800.36</v>
      </c>
      <c r="H1310">
        <v>19.5</v>
      </c>
      <c r="I1310">
        <v>18</v>
      </c>
      <c r="J1310">
        <v>347225</v>
      </c>
      <c r="K1310">
        <v>825572</v>
      </c>
      <c r="L1310" t="s">
        <v>24</v>
      </c>
      <c r="M1310" t="s">
        <v>1349</v>
      </c>
      <c r="N1310" t="s">
        <v>26</v>
      </c>
      <c r="O1310" t="s">
        <v>21</v>
      </c>
      <c r="P1310" t="s">
        <v>31</v>
      </c>
      <c r="Q1310" t="s">
        <v>23</v>
      </c>
      <c r="R1310" t="b">
        <f>OR(Таблица1[[#This Row],[Ежемесячный платеж]]&lt;$AC$5, Таблица1[[#This Row],[Ежемесячный платеж]]&gt;$AC$6)</f>
        <v>0</v>
      </c>
      <c r="S1310" s="9">
        <f>(Таблица1[[#This Row],[Размер кредита]]-21824)/(789096-21824)</f>
        <v>0.30579768322055284</v>
      </c>
      <c r="T1310" s="9">
        <f>(Таблица1[[#This Row],[Кредитный рейтинг]]-586)/(751-586)</f>
        <v>0.73333333333333328</v>
      </c>
      <c r="U1310" s="9">
        <f>Таблица1[[#This Row],[Ежемесячный платеж]]/(Таблица1[[#This Row],[Годовой доход]]/12)</f>
        <v>0.34199989097450623</v>
      </c>
    </row>
    <row r="1311" spans="1:21" x14ac:dyDescent="0.3">
      <c r="A1311">
        <v>1310</v>
      </c>
      <c r="B1311">
        <v>0</v>
      </c>
      <c r="D1311">
        <v>717</v>
      </c>
      <c r="E1311" s="1">
        <v>3055200</v>
      </c>
      <c r="F1311">
        <v>0</v>
      </c>
      <c r="G1311">
        <v>32079.599999999999</v>
      </c>
      <c r="H1311">
        <v>17.5</v>
      </c>
      <c r="I1311">
        <v>22</v>
      </c>
      <c r="J1311">
        <v>573895</v>
      </c>
      <c r="K1311">
        <v>921646</v>
      </c>
      <c r="L1311" t="s">
        <v>37</v>
      </c>
      <c r="M1311" t="s">
        <v>1350</v>
      </c>
      <c r="N1311" t="s">
        <v>2041</v>
      </c>
      <c r="O1311" t="s">
        <v>34</v>
      </c>
      <c r="P1311" t="s">
        <v>22</v>
      </c>
      <c r="Q1311" t="s">
        <v>23</v>
      </c>
      <c r="R1311" t="b">
        <f>OR(Таблица1[[#This Row],[Ежемесячный платеж]]&lt;$AC$5, Таблица1[[#This Row],[Ежемесячный платеж]]&gt;$AC$6)</f>
        <v>0</v>
      </c>
      <c r="T1311" s="9">
        <f>(Таблица1[[#This Row],[Кредитный рейтинг]]-586)/(751-586)</f>
        <v>0.79393939393939394</v>
      </c>
      <c r="U1311" s="9">
        <f>Таблица1[[#This Row],[Ежемесячный платеж]]/(Таблица1[[#This Row],[Годовой доход]]/12)</f>
        <v>0.126</v>
      </c>
    </row>
    <row r="1312" spans="1:21" x14ac:dyDescent="0.3">
      <c r="A1312">
        <v>1311</v>
      </c>
      <c r="B1312">
        <v>0</v>
      </c>
      <c r="C1312" s="9">
        <v>306130</v>
      </c>
      <c r="D1312">
        <v>714</v>
      </c>
      <c r="E1312" s="1">
        <v>1605158</v>
      </c>
      <c r="F1312">
        <v>18</v>
      </c>
      <c r="G1312">
        <v>18191.55</v>
      </c>
      <c r="H1312">
        <v>13.5</v>
      </c>
      <c r="I1312">
        <v>15</v>
      </c>
      <c r="J1312">
        <v>271757</v>
      </c>
      <c r="K1312">
        <v>590370</v>
      </c>
      <c r="L1312" t="s">
        <v>37</v>
      </c>
      <c r="M1312" t="s">
        <v>1351</v>
      </c>
      <c r="N1312" t="s">
        <v>26</v>
      </c>
      <c r="O1312" t="s">
        <v>28</v>
      </c>
      <c r="P1312" t="s">
        <v>31</v>
      </c>
      <c r="Q1312" t="s">
        <v>23</v>
      </c>
      <c r="R1312" t="b">
        <f>OR(Таблица1[[#This Row],[Ежемесячный платеж]]&lt;$AC$5, Таблица1[[#This Row],[Ежемесячный платеж]]&gt;$AC$6)</f>
        <v>0</v>
      </c>
      <c r="S1312" s="9">
        <f>(Таблица1[[#This Row],[Размер кредита]]-21824)/(789096-21824)</f>
        <v>0.37054134648468862</v>
      </c>
      <c r="T1312" s="9">
        <f>(Таблица1[[#This Row],[Кредитный рейтинг]]-586)/(751-586)</f>
        <v>0.77575757575757576</v>
      </c>
      <c r="U1312" s="9">
        <f>Таблица1[[#This Row],[Ежемесячный платеж]]/(Таблица1[[#This Row],[Годовой доход]]/12)</f>
        <v>0.13599820080017044</v>
      </c>
    </row>
    <row r="1313" spans="1:21" x14ac:dyDescent="0.3">
      <c r="A1313">
        <v>1312</v>
      </c>
      <c r="B1313">
        <v>0</v>
      </c>
      <c r="C1313" s="9">
        <v>266860</v>
      </c>
      <c r="D1313">
        <f>$Y$13</f>
        <v>723</v>
      </c>
      <c r="E1313">
        <f>$AB$13</f>
        <v>1168044</v>
      </c>
      <c r="F1313">
        <v>17</v>
      </c>
      <c r="G1313">
        <v>29336</v>
      </c>
      <c r="H1313">
        <v>10</v>
      </c>
      <c r="I1313">
        <v>21</v>
      </c>
      <c r="J1313">
        <v>119966</v>
      </c>
      <c r="K1313">
        <v>583682</v>
      </c>
      <c r="L1313" t="s">
        <v>37</v>
      </c>
      <c r="M1313" t="s">
        <v>1352</v>
      </c>
      <c r="N1313" t="s">
        <v>26</v>
      </c>
      <c r="O1313" t="s">
        <v>21</v>
      </c>
      <c r="P1313" t="s">
        <v>22</v>
      </c>
      <c r="Q1313" t="s">
        <v>23</v>
      </c>
      <c r="R1313" t="b">
        <f>OR(Таблица1[[#This Row],[Ежемесячный платеж]]&lt;$AC$5, Таблица1[[#This Row],[Ежемесячный платеж]]&gt;$AC$6)</f>
        <v>0</v>
      </c>
      <c r="S1313" s="9">
        <f>(Таблица1[[#This Row],[Размер кредита]]-21824)/(789096-21824)</f>
        <v>0.3193600183507283</v>
      </c>
      <c r="T1313" s="9">
        <f>(Таблица1[[#This Row],[Кредитный рейтинг]]-586)/(751-586)</f>
        <v>0.83030303030303032</v>
      </c>
      <c r="U1313" s="9">
        <f>Таблица1[[#This Row],[Ежемесячный платеж]]/(Таблица1[[#This Row],[Годовой доход]]/12)</f>
        <v>0.30138590669529575</v>
      </c>
    </row>
    <row r="1314" spans="1:21" x14ac:dyDescent="0.3">
      <c r="A1314">
        <v>1313</v>
      </c>
      <c r="B1314">
        <v>1</v>
      </c>
      <c r="C1314" s="9">
        <v>171952</v>
      </c>
      <c r="D1314">
        <v>729</v>
      </c>
      <c r="E1314" s="1">
        <v>742520</v>
      </c>
      <c r="F1314">
        <v>72</v>
      </c>
      <c r="G1314">
        <v>13612.74</v>
      </c>
      <c r="H1314">
        <v>12</v>
      </c>
      <c r="I1314">
        <v>8</v>
      </c>
      <c r="J1314">
        <v>93974</v>
      </c>
      <c r="K1314">
        <v>165616</v>
      </c>
      <c r="L1314" t="s">
        <v>24</v>
      </c>
      <c r="M1314" t="s">
        <v>1353</v>
      </c>
      <c r="N1314" t="s">
        <v>26</v>
      </c>
      <c r="O1314" t="s">
        <v>34</v>
      </c>
      <c r="P1314" t="s">
        <v>22</v>
      </c>
      <c r="Q1314" t="s">
        <v>36</v>
      </c>
      <c r="R1314" t="b">
        <f>OR(Таблица1[[#This Row],[Ежемесячный платеж]]&lt;$AC$5, Таблица1[[#This Row],[Ежемесячный платеж]]&gt;$AC$6)</f>
        <v>0</v>
      </c>
      <c r="S1314" s="9">
        <f>(Таблица1[[#This Row],[Размер кредита]]-21824)/(789096-21824)</f>
        <v>0.19566464044041748</v>
      </c>
      <c r="T1314" s="9">
        <f>(Таблица1[[#This Row],[Кредитный рейтинг]]-586)/(751-586)</f>
        <v>0.8666666666666667</v>
      </c>
      <c r="U1314" s="9">
        <f>Таблица1[[#This Row],[Ежемесячный платеж]]/(Таблица1[[#This Row],[Годовой доход]]/12)</f>
        <v>0.21999795291709315</v>
      </c>
    </row>
    <row r="1315" spans="1:21" x14ac:dyDescent="0.3">
      <c r="A1315">
        <v>1314</v>
      </c>
      <c r="B1315">
        <v>1</v>
      </c>
      <c r="D1315">
        <v>739</v>
      </c>
      <c r="E1315" s="1">
        <v>1501912</v>
      </c>
      <c r="F1315">
        <v>0</v>
      </c>
      <c r="G1315">
        <v>27409.97</v>
      </c>
      <c r="H1315">
        <v>42.3</v>
      </c>
      <c r="I1315">
        <v>14</v>
      </c>
      <c r="J1315">
        <v>180405</v>
      </c>
      <c r="K1315">
        <v>412808</v>
      </c>
      <c r="L1315" t="s">
        <v>41</v>
      </c>
      <c r="M1315" t="s">
        <v>1354</v>
      </c>
      <c r="N1315" t="s">
        <v>26</v>
      </c>
      <c r="O1315" t="s">
        <v>21</v>
      </c>
      <c r="P1315" t="s">
        <v>22</v>
      </c>
      <c r="Q1315" t="s">
        <v>23</v>
      </c>
      <c r="R1315" t="b">
        <f>OR(Таблица1[[#This Row],[Ежемесячный платеж]]&lt;$AC$5, Таблица1[[#This Row],[Ежемесячный платеж]]&gt;$AC$6)</f>
        <v>0</v>
      </c>
      <c r="T1315" s="9">
        <f>(Таблица1[[#This Row],[Кредитный рейтинг]]-586)/(751-586)</f>
        <v>0.92727272727272725</v>
      </c>
      <c r="U1315" s="9">
        <f>Таблица1[[#This Row],[Ежемесячный платеж]]/(Таблица1[[#This Row],[Годовой доход]]/12)</f>
        <v>0.2190006072259893</v>
      </c>
    </row>
    <row r="1316" spans="1:21" x14ac:dyDescent="0.3">
      <c r="A1316">
        <v>1315</v>
      </c>
      <c r="B1316">
        <v>0</v>
      </c>
      <c r="C1316" s="9">
        <v>142824</v>
      </c>
      <c r="D1316">
        <f>$Y$13</f>
        <v>723</v>
      </c>
      <c r="E1316">
        <f>$AB$13</f>
        <v>1168044</v>
      </c>
      <c r="F1316">
        <v>10</v>
      </c>
      <c r="G1316">
        <v>12886.75</v>
      </c>
      <c r="H1316">
        <v>39.4</v>
      </c>
      <c r="I1316">
        <v>14</v>
      </c>
      <c r="J1316">
        <v>257298</v>
      </c>
      <c r="K1316">
        <v>1038092</v>
      </c>
      <c r="L1316" t="s">
        <v>24</v>
      </c>
      <c r="M1316" t="s">
        <v>1355</v>
      </c>
      <c r="N1316" t="s">
        <v>26</v>
      </c>
      <c r="O1316" t="s">
        <v>21</v>
      </c>
      <c r="P1316" t="s">
        <v>22</v>
      </c>
      <c r="Q1316" t="s">
        <v>23</v>
      </c>
      <c r="R1316" t="b">
        <f>OR(Таблица1[[#This Row],[Ежемесячный платеж]]&lt;$AC$5, Таблица1[[#This Row],[Ежемесячный платеж]]&gt;$AC$6)</f>
        <v>0</v>
      </c>
      <c r="S1316" s="9">
        <f>(Таблица1[[#This Row],[Размер кредита]]-21824)/(789096-21824)</f>
        <v>0.15770157128111023</v>
      </c>
      <c r="T1316" s="9">
        <f>(Таблица1[[#This Row],[Кредитный рейтинг]]-586)/(751-586)</f>
        <v>0.83030303030303032</v>
      </c>
      <c r="U1316" s="9">
        <f>Таблица1[[#This Row],[Ежемесячный платеж]]/(Таблица1[[#This Row],[Годовой доход]]/12)</f>
        <v>0.13239312902596134</v>
      </c>
    </row>
    <row r="1317" spans="1:21" x14ac:dyDescent="0.3">
      <c r="A1317">
        <v>1316</v>
      </c>
      <c r="B1317">
        <v>0</v>
      </c>
      <c r="C1317" s="9">
        <v>324258</v>
      </c>
      <c r="D1317">
        <v>735</v>
      </c>
      <c r="E1317" s="1">
        <v>2427022</v>
      </c>
      <c r="F1317">
        <v>20</v>
      </c>
      <c r="G1317">
        <v>34180.43</v>
      </c>
      <c r="H1317">
        <v>17.7</v>
      </c>
      <c r="I1317">
        <v>20</v>
      </c>
      <c r="J1317">
        <v>2682306</v>
      </c>
      <c r="K1317">
        <v>3649624</v>
      </c>
      <c r="L1317" t="s">
        <v>32</v>
      </c>
      <c r="M1317" t="s">
        <v>1356</v>
      </c>
      <c r="N1317" t="s">
        <v>26</v>
      </c>
      <c r="O1317" t="s">
        <v>34</v>
      </c>
      <c r="P1317" t="s">
        <v>22</v>
      </c>
      <c r="Q1317" t="s">
        <v>23</v>
      </c>
      <c r="R1317" t="b">
        <f>OR(Таблица1[[#This Row],[Ежемесячный платеж]]&lt;$AC$5, Таблица1[[#This Row],[Ежемесячный платеж]]&gt;$AC$6)</f>
        <v>0</v>
      </c>
      <c r="S1317" s="9">
        <f>(Таблица1[[#This Row],[Размер кредита]]-21824)/(789096-21824)</f>
        <v>0.39416790916389494</v>
      </c>
      <c r="T1317" s="9">
        <f>(Таблица1[[#This Row],[Кредитный рейтинг]]-586)/(751-586)</f>
        <v>0.90303030303030307</v>
      </c>
      <c r="U1317" s="9">
        <f>Таблица1[[#This Row],[Ежемесячный платеж]]/(Таблица1[[#This Row],[Годовой доход]]/12)</f>
        <v>0.16899935806103117</v>
      </c>
    </row>
    <row r="1318" spans="1:21" x14ac:dyDescent="0.3">
      <c r="A1318">
        <v>1317</v>
      </c>
      <c r="B1318">
        <v>0</v>
      </c>
      <c r="C1318" s="9">
        <v>108064</v>
      </c>
      <c r="D1318">
        <v>715</v>
      </c>
      <c r="E1318" s="1">
        <v>563844</v>
      </c>
      <c r="F1318">
        <v>47</v>
      </c>
      <c r="G1318">
        <v>5920.21</v>
      </c>
      <c r="H1318">
        <v>9.4</v>
      </c>
      <c r="I1318">
        <v>3</v>
      </c>
      <c r="J1318">
        <v>37753</v>
      </c>
      <c r="K1318">
        <v>45034</v>
      </c>
      <c r="L1318" t="s">
        <v>47</v>
      </c>
      <c r="M1318" t="s">
        <v>1357</v>
      </c>
      <c r="N1318" t="s">
        <v>26</v>
      </c>
      <c r="O1318" t="s">
        <v>34</v>
      </c>
      <c r="P1318" t="s">
        <v>22</v>
      </c>
      <c r="Q1318" t="s">
        <v>23</v>
      </c>
      <c r="R1318" t="b">
        <f>OR(Таблица1[[#This Row],[Ежемесячный платеж]]&lt;$AC$5, Таблица1[[#This Row],[Ежемесячный платеж]]&gt;$AC$6)</f>
        <v>0</v>
      </c>
      <c r="S1318" s="9">
        <f>(Таблица1[[#This Row],[Размер кредита]]-21824)/(789096-21824)</f>
        <v>0.11239821080399129</v>
      </c>
      <c r="T1318" s="9">
        <f>(Таблица1[[#This Row],[Кредитный рейтинг]]-586)/(751-586)</f>
        <v>0.78181818181818186</v>
      </c>
      <c r="U1318" s="9">
        <f>Таблица1[[#This Row],[Ежемесячный платеж]]/(Таблица1[[#This Row],[Годовой доход]]/12)</f>
        <v>0.1259967650626769</v>
      </c>
    </row>
    <row r="1319" spans="1:21" x14ac:dyDescent="0.3">
      <c r="A1319">
        <v>1318</v>
      </c>
      <c r="B1319">
        <v>0</v>
      </c>
      <c r="C1319" s="9">
        <v>111012</v>
      </c>
      <c r="D1319">
        <v>699</v>
      </c>
      <c r="E1319" s="1">
        <v>325945</v>
      </c>
      <c r="F1319">
        <v>0</v>
      </c>
      <c r="G1319">
        <v>2015.52</v>
      </c>
      <c r="H1319">
        <v>9.1999999999999993</v>
      </c>
      <c r="I1319">
        <v>7</v>
      </c>
      <c r="J1319">
        <v>45410</v>
      </c>
      <c r="K1319">
        <v>383724</v>
      </c>
      <c r="L1319" t="s">
        <v>24</v>
      </c>
      <c r="M1319" t="s">
        <v>1358</v>
      </c>
      <c r="N1319" t="s">
        <v>26</v>
      </c>
      <c r="O1319" t="s">
        <v>34</v>
      </c>
      <c r="P1319" t="s">
        <v>22</v>
      </c>
      <c r="Q1319" t="s">
        <v>23</v>
      </c>
      <c r="R1319" t="b">
        <f>OR(Таблица1[[#This Row],[Ежемесячный платеж]]&lt;$AC$5, Таблица1[[#This Row],[Ежемесячный платеж]]&gt;$AC$6)</f>
        <v>0</v>
      </c>
      <c r="S1319" s="9">
        <f>(Таблица1[[#This Row],[Размер кредита]]-21824)/(789096-21824)</f>
        <v>0.11624039454065833</v>
      </c>
      <c r="T1319" s="9">
        <f>(Таблица1[[#This Row],[Кредитный рейтинг]]-586)/(751-586)</f>
        <v>0.68484848484848482</v>
      </c>
      <c r="U1319" s="9">
        <f>Таблица1[[#This Row],[Ежемесячный платеж]]/(Таблица1[[#This Row],[Годовой доход]]/12)</f>
        <v>7.4203439230545037E-2</v>
      </c>
    </row>
    <row r="1320" spans="1:21" x14ac:dyDescent="0.3">
      <c r="A1320">
        <v>1319</v>
      </c>
      <c r="B1320">
        <v>0</v>
      </c>
      <c r="C1320" s="9">
        <v>522500</v>
      </c>
      <c r="D1320">
        <f>$Y$13</f>
        <v>723</v>
      </c>
      <c r="E1320">
        <f>$AB$13</f>
        <v>1168044</v>
      </c>
      <c r="F1320">
        <v>0</v>
      </c>
      <c r="G1320">
        <v>24274.21</v>
      </c>
      <c r="H1320">
        <v>16.399999999999999</v>
      </c>
      <c r="I1320">
        <v>11</v>
      </c>
      <c r="J1320">
        <v>378670</v>
      </c>
      <c r="K1320">
        <v>680834</v>
      </c>
      <c r="L1320" t="s">
        <v>24</v>
      </c>
      <c r="M1320" t="s">
        <v>1359</v>
      </c>
      <c r="N1320" t="s">
        <v>26</v>
      </c>
      <c r="O1320" t="s">
        <v>34</v>
      </c>
      <c r="P1320" t="s">
        <v>22</v>
      </c>
      <c r="Q1320" t="s">
        <v>23</v>
      </c>
      <c r="R1320" t="b">
        <f>OR(Таблица1[[#This Row],[Ежемесячный платеж]]&lt;$AC$5, Таблица1[[#This Row],[Ежемесячный платеж]]&gt;$AC$6)</f>
        <v>0</v>
      </c>
      <c r="S1320" s="9">
        <f>(Таблица1[[#This Row],[Размер кредита]]-21824)/(789096-21824)</f>
        <v>0.65254042894827391</v>
      </c>
      <c r="T1320" s="9">
        <f>(Таблица1[[#This Row],[Кредитный рейтинг]]-586)/(751-586)</f>
        <v>0.83030303030303032</v>
      </c>
      <c r="U1320" s="9">
        <f>Таблица1[[#This Row],[Ежемесячный платеж]]/(Таблица1[[#This Row],[Годовой доход]]/12)</f>
        <v>0.24938317392153034</v>
      </c>
    </row>
    <row r="1321" spans="1:21" x14ac:dyDescent="0.3">
      <c r="A1321">
        <v>1320</v>
      </c>
      <c r="B1321">
        <v>0</v>
      </c>
      <c r="C1321" s="9">
        <v>325512</v>
      </c>
      <c r="D1321">
        <v>713</v>
      </c>
      <c r="E1321" s="1">
        <v>930601</v>
      </c>
      <c r="F1321">
        <v>20</v>
      </c>
      <c r="G1321">
        <v>15044.77</v>
      </c>
      <c r="H1321">
        <v>12.2</v>
      </c>
      <c r="I1321">
        <v>6</v>
      </c>
      <c r="J1321">
        <v>161025</v>
      </c>
      <c r="K1321">
        <v>242462</v>
      </c>
      <c r="L1321" t="s">
        <v>24</v>
      </c>
      <c r="M1321" t="s">
        <v>1360</v>
      </c>
      <c r="N1321" t="s">
        <v>26</v>
      </c>
      <c r="O1321" t="s">
        <v>34</v>
      </c>
      <c r="P1321" t="s">
        <v>22</v>
      </c>
      <c r="Q1321" t="s">
        <v>23</v>
      </c>
      <c r="R1321" t="b">
        <f>OR(Таблица1[[#This Row],[Ежемесячный платеж]]&lt;$AC$5, Таблица1[[#This Row],[Ежемесячный платеж]]&gt;$AC$6)</f>
        <v>0</v>
      </c>
      <c r="S1321" s="9">
        <f>(Таблица1[[#This Row],[Размер кредита]]-21824)/(789096-21824)</f>
        <v>0.39580227090262643</v>
      </c>
      <c r="T1321" s="9">
        <f>(Таблица1[[#This Row],[Кредитный рейтинг]]-586)/(751-586)</f>
        <v>0.76969696969696966</v>
      </c>
      <c r="U1321" s="9">
        <f>Таблица1[[#This Row],[Ежемесячный платеж]]/(Таблица1[[#This Row],[Годовой доход]]/12)</f>
        <v>0.19400069417505464</v>
      </c>
    </row>
    <row r="1322" spans="1:21" x14ac:dyDescent="0.3">
      <c r="A1322">
        <v>1321</v>
      </c>
      <c r="B1322">
        <v>0</v>
      </c>
      <c r="C1322" s="9">
        <v>67562</v>
      </c>
      <c r="D1322">
        <v>719</v>
      </c>
      <c r="E1322" s="1">
        <v>1264279</v>
      </c>
      <c r="F1322">
        <v>78</v>
      </c>
      <c r="G1322">
        <v>19490.77</v>
      </c>
      <c r="H1322">
        <v>12.5</v>
      </c>
      <c r="I1322">
        <v>8</v>
      </c>
      <c r="J1322">
        <v>112385</v>
      </c>
      <c r="K1322">
        <v>130636</v>
      </c>
      <c r="L1322" t="s">
        <v>18</v>
      </c>
      <c r="M1322" t="s">
        <v>1361</v>
      </c>
      <c r="N1322" t="s">
        <v>26</v>
      </c>
      <c r="O1322" t="s">
        <v>21</v>
      </c>
      <c r="P1322" t="s">
        <v>22</v>
      </c>
      <c r="Q1322" t="s">
        <v>23</v>
      </c>
      <c r="R1322" t="b">
        <f>OR(Таблица1[[#This Row],[Ежемесячный платеж]]&lt;$AC$5, Таблица1[[#This Row],[Ежемесячный платеж]]&gt;$AC$6)</f>
        <v>0</v>
      </c>
      <c r="S1322" s="9">
        <f>(Таблица1[[#This Row],[Размер кредита]]-21824)/(789096-21824)</f>
        <v>5.9611193944259663E-2</v>
      </c>
      <c r="T1322" s="9">
        <f>(Таблица1[[#This Row],[Кредитный рейтинг]]-586)/(751-586)</f>
        <v>0.80606060606060603</v>
      </c>
      <c r="U1322" s="9">
        <f>Таблица1[[#This Row],[Ежемесячный платеж]]/(Таблица1[[#This Row],[Годовой доход]]/12)</f>
        <v>0.18499812145895014</v>
      </c>
    </row>
    <row r="1323" spans="1:21" x14ac:dyDescent="0.3">
      <c r="A1323">
        <v>1322</v>
      </c>
      <c r="B1323">
        <v>0</v>
      </c>
      <c r="C1323" s="9">
        <v>718498</v>
      </c>
      <c r="D1323">
        <f>$Y$13</f>
        <v>723</v>
      </c>
      <c r="E1323">
        <f>$AB$13</f>
        <v>1168044</v>
      </c>
      <c r="F1323">
        <v>67</v>
      </c>
      <c r="G1323">
        <v>30122.22</v>
      </c>
      <c r="H1323">
        <v>20.399999999999999</v>
      </c>
      <c r="I1323">
        <v>13</v>
      </c>
      <c r="J1323">
        <v>436164</v>
      </c>
      <c r="K1323">
        <v>890714</v>
      </c>
      <c r="L1323" t="s">
        <v>41</v>
      </c>
      <c r="M1323" t="s">
        <v>1362</v>
      </c>
      <c r="N1323" t="s">
        <v>26</v>
      </c>
      <c r="O1323" t="s">
        <v>34</v>
      </c>
      <c r="P1323" t="s">
        <v>22</v>
      </c>
      <c r="Q1323" t="s">
        <v>36</v>
      </c>
      <c r="R1323" t="b">
        <f>OR(Таблица1[[#This Row],[Ежемесячный платеж]]&lt;$AC$5, Таблица1[[#This Row],[Ежемесячный платеж]]&gt;$AC$6)</f>
        <v>0</v>
      </c>
      <c r="S1323" s="9">
        <f>(Таблица1[[#This Row],[Размер кредита]]-21824)/(789096-21824)</f>
        <v>0.90798830141071218</v>
      </c>
      <c r="T1323" s="9">
        <f>(Таблица1[[#This Row],[Кредитный рейтинг]]-586)/(751-586)</f>
        <v>0.83030303030303032</v>
      </c>
      <c r="U1323" s="9">
        <f>Таблица1[[#This Row],[Ежемесячный платеж]]/(Таблица1[[#This Row],[Годовой доход]]/12)</f>
        <v>0.30946320515323056</v>
      </c>
    </row>
    <row r="1324" spans="1:21" x14ac:dyDescent="0.3">
      <c r="A1324">
        <v>1323</v>
      </c>
      <c r="B1324">
        <v>0</v>
      </c>
      <c r="C1324" s="9">
        <v>303050</v>
      </c>
      <c r="D1324">
        <f>$Y$13</f>
        <v>723</v>
      </c>
      <c r="E1324">
        <f>$AB$13</f>
        <v>1168044</v>
      </c>
      <c r="F1324">
        <v>0</v>
      </c>
      <c r="G1324">
        <v>18487</v>
      </c>
      <c r="H1324">
        <v>18.7</v>
      </c>
      <c r="I1324">
        <v>7</v>
      </c>
      <c r="J1324">
        <v>192375</v>
      </c>
      <c r="K1324">
        <v>317306</v>
      </c>
      <c r="L1324" t="s">
        <v>24</v>
      </c>
      <c r="M1324" t="s">
        <v>1363</v>
      </c>
      <c r="N1324" t="s">
        <v>26</v>
      </c>
      <c r="O1324" t="s">
        <v>34</v>
      </c>
      <c r="P1324" t="s">
        <v>22</v>
      </c>
      <c r="Q1324" t="s">
        <v>23</v>
      </c>
      <c r="R1324" t="b">
        <f>OR(Таблица1[[#This Row],[Ежемесячный платеж]]&lt;$AC$5, Таблица1[[#This Row],[Ежемесячный платеж]]&gt;$AC$6)</f>
        <v>0</v>
      </c>
      <c r="S1324" s="9">
        <f>(Таблица1[[#This Row],[Размер кредита]]-21824)/(789096-21824)</f>
        <v>0.36652712467026033</v>
      </c>
      <c r="T1324" s="9">
        <f>(Таблица1[[#This Row],[Кредитный рейтинг]]-586)/(751-586)</f>
        <v>0.83030303030303032</v>
      </c>
      <c r="U1324" s="9">
        <f>Таблица1[[#This Row],[Ежемесячный платеж]]/(Таблица1[[#This Row],[Годовой доход]]/12)</f>
        <v>0.18992777669334374</v>
      </c>
    </row>
    <row r="1325" spans="1:21" x14ac:dyDescent="0.3">
      <c r="A1325">
        <v>1324</v>
      </c>
      <c r="B1325">
        <v>0</v>
      </c>
      <c r="C1325" s="9">
        <v>78430</v>
      </c>
      <c r="D1325">
        <v>699</v>
      </c>
      <c r="E1325" s="1">
        <v>620977</v>
      </c>
      <c r="F1325">
        <v>0</v>
      </c>
      <c r="G1325">
        <v>11384.61</v>
      </c>
      <c r="H1325">
        <v>11.4</v>
      </c>
      <c r="I1325">
        <v>15</v>
      </c>
      <c r="J1325">
        <v>87837</v>
      </c>
      <c r="K1325">
        <v>309144</v>
      </c>
      <c r="L1325" t="s">
        <v>37</v>
      </c>
      <c r="M1325" t="s">
        <v>1364</v>
      </c>
      <c r="N1325" t="s">
        <v>103</v>
      </c>
      <c r="O1325" t="s">
        <v>34</v>
      </c>
      <c r="P1325" t="s">
        <v>22</v>
      </c>
      <c r="Q1325" t="s">
        <v>23</v>
      </c>
      <c r="R1325" t="b">
        <f>OR(Таблица1[[#This Row],[Ежемесячный платеж]]&lt;$AC$5, Таблица1[[#This Row],[Ежемесячный платеж]]&gt;$AC$6)</f>
        <v>0</v>
      </c>
      <c r="S1325" s="9">
        <f>(Таблица1[[#This Row],[Размер кредита]]-21824)/(789096-21824)</f>
        <v>7.377566234659938E-2</v>
      </c>
      <c r="T1325" s="9">
        <f>(Таблица1[[#This Row],[Кредитный рейтинг]]-586)/(751-586)</f>
        <v>0.68484848484848482</v>
      </c>
      <c r="U1325" s="9">
        <f>Таблица1[[#This Row],[Ежемесячный платеж]]/(Таблица1[[#This Row],[Годовой доход]]/12)</f>
        <v>0.2200006119389285</v>
      </c>
    </row>
    <row r="1326" spans="1:21" x14ac:dyDescent="0.3">
      <c r="A1326">
        <v>1325</v>
      </c>
      <c r="B1326">
        <v>1</v>
      </c>
      <c r="C1326" s="9">
        <v>218174</v>
      </c>
      <c r="D1326">
        <v>731</v>
      </c>
      <c r="E1326" s="1">
        <v>1168215</v>
      </c>
      <c r="F1326">
        <v>0</v>
      </c>
      <c r="G1326">
        <v>12947.93</v>
      </c>
      <c r="H1326">
        <v>25.4</v>
      </c>
      <c r="I1326">
        <v>8</v>
      </c>
      <c r="J1326">
        <v>156522</v>
      </c>
      <c r="K1326">
        <v>208318</v>
      </c>
      <c r="L1326" t="s">
        <v>24</v>
      </c>
      <c r="M1326" t="s">
        <v>1365</v>
      </c>
      <c r="N1326" t="s">
        <v>26</v>
      </c>
      <c r="O1326" t="s">
        <v>21</v>
      </c>
      <c r="P1326" t="s">
        <v>22</v>
      </c>
      <c r="Q1326" t="s">
        <v>23</v>
      </c>
      <c r="R1326" t="b">
        <f>OR(Таблица1[[#This Row],[Ежемесячный платеж]]&lt;$AC$5, Таблица1[[#This Row],[Ежемесячный платеж]]&gt;$AC$6)</f>
        <v>0</v>
      </c>
      <c r="S1326" s="9">
        <f>(Таблица1[[#This Row],[Размер кредита]]-21824)/(789096-21824)</f>
        <v>0.25590664066980157</v>
      </c>
      <c r="T1326" s="9">
        <f>(Таблица1[[#This Row],[Кредитный рейтинг]]-586)/(751-586)</f>
        <v>0.87878787878787878</v>
      </c>
      <c r="U1326" s="9">
        <f>Таблица1[[#This Row],[Ежемесячный платеж]]/(Таблица1[[#This Row],[Годовой доход]]/12)</f>
        <v>0.13300219565747742</v>
      </c>
    </row>
    <row r="1327" spans="1:21" x14ac:dyDescent="0.3">
      <c r="A1327">
        <v>1326</v>
      </c>
      <c r="B1327">
        <v>0</v>
      </c>
      <c r="C1327" s="9">
        <v>265408</v>
      </c>
      <c r="D1327">
        <f>$Y$13</f>
        <v>723</v>
      </c>
      <c r="E1327">
        <f>$AB$13</f>
        <v>1168044</v>
      </c>
      <c r="F1327">
        <v>0</v>
      </c>
      <c r="G1327">
        <v>13036.28</v>
      </c>
      <c r="H1327">
        <v>11.8</v>
      </c>
      <c r="I1327">
        <v>9</v>
      </c>
      <c r="J1327">
        <v>82878</v>
      </c>
      <c r="K1327">
        <v>311586</v>
      </c>
      <c r="L1327" t="s">
        <v>69</v>
      </c>
      <c r="M1327" t="s">
        <v>1366</v>
      </c>
      <c r="N1327" t="s">
        <v>26</v>
      </c>
      <c r="O1327" t="s">
        <v>34</v>
      </c>
      <c r="P1327" t="s">
        <v>31</v>
      </c>
      <c r="Q1327" t="s">
        <v>36</v>
      </c>
      <c r="R1327" t="b">
        <f>OR(Таблица1[[#This Row],[Ежемесячный платеж]]&lt;$AC$5, Таблица1[[#This Row],[Ежемесячный платеж]]&gt;$AC$6)</f>
        <v>0</v>
      </c>
      <c r="S1327" s="9">
        <f>(Таблица1[[#This Row],[Размер кредита]]-21824)/(789096-21824)</f>
        <v>0.31746759949535497</v>
      </c>
      <c r="T1327" s="9">
        <f>(Таблица1[[#This Row],[Кредитный рейтинг]]-586)/(751-586)</f>
        <v>0.83030303030303032</v>
      </c>
      <c r="U1327" s="9">
        <f>Таблица1[[#This Row],[Ежемесячный платеж]]/(Таблица1[[#This Row],[Годовой доход]]/12)</f>
        <v>0.13392933827835254</v>
      </c>
    </row>
    <row r="1328" spans="1:21" x14ac:dyDescent="0.3">
      <c r="A1328">
        <v>1327</v>
      </c>
      <c r="B1328">
        <v>0</v>
      </c>
      <c r="C1328" s="9">
        <v>449680</v>
      </c>
      <c r="D1328">
        <v>739</v>
      </c>
      <c r="E1328" s="1">
        <v>1747620</v>
      </c>
      <c r="F1328">
        <v>45</v>
      </c>
      <c r="G1328">
        <v>36263.21</v>
      </c>
      <c r="H1328">
        <v>9.9</v>
      </c>
      <c r="I1328">
        <v>15</v>
      </c>
      <c r="J1328">
        <v>313405</v>
      </c>
      <c r="K1328">
        <v>707388</v>
      </c>
      <c r="L1328" t="s">
        <v>52</v>
      </c>
      <c r="M1328" t="s">
        <v>1367</v>
      </c>
      <c r="N1328" t="s">
        <v>26</v>
      </c>
      <c r="O1328" t="s">
        <v>21</v>
      </c>
      <c r="P1328" t="s">
        <v>22</v>
      </c>
      <c r="Q1328" t="s">
        <v>23</v>
      </c>
      <c r="R1328" t="b">
        <f>OR(Таблица1[[#This Row],[Ежемесячный платеж]]&lt;$AC$5, Таблица1[[#This Row],[Ежемесячный платеж]]&gt;$AC$6)</f>
        <v>0</v>
      </c>
      <c r="S1328" s="9">
        <f>(Таблица1[[#This Row],[Размер кредита]]-21824)/(789096-21824)</f>
        <v>0.55763275605000573</v>
      </c>
      <c r="T1328" s="9">
        <f>(Таблица1[[#This Row],[Кредитный рейтинг]]-586)/(751-586)</f>
        <v>0.92727272727272725</v>
      </c>
      <c r="U1328" s="9">
        <f>Таблица1[[#This Row],[Ежемесячный платеж]]/(Таблица1[[#This Row],[Годовой доход]]/12)</f>
        <v>0.2490006523157208</v>
      </c>
    </row>
    <row r="1329" spans="1:21" x14ac:dyDescent="0.3">
      <c r="A1329">
        <v>1328</v>
      </c>
      <c r="B1329">
        <v>1</v>
      </c>
      <c r="C1329" s="9">
        <v>269478</v>
      </c>
      <c r="D1329">
        <v>715</v>
      </c>
      <c r="E1329" s="1">
        <v>930905</v>
      </c>
      <c r="F1329">
        <v>76</v>
      </c>
      <c r="G1329">
        <v>26143.05</v>
      </c>
      <c r="H1329">
        <v>20.8</v>
      </c>
      <c r="I1329">
        <v>16</v>
      </c>
      <c r="J1329">
        <v>265772</v>
      </c>
      <c r="K1329">
        <v>575212</v>
      </c>
      <c r="L1329" t="s">
        <v>69</v>
      </c>
      <c r="M1329" t="s">
        <v>1368</v>
      </c>
      <c r="N1329" t="s">
        <v>26</v>
      </c>
      <c r="O1329" t="s">
        <v>21</v>
      </c>
      <c r="P1329" t="s">
        <v>22</v>
      </c>
      <c r="Q1329" t="s">
        <v>23</v>
      </c>
      <c r="R1329" t="b">
        <f>OR(Таблица1[[#This Row],[Ежемесячный платеж]]&lt;$AC$5, Таблица1[[#This Row],[Ежемесячный платеж]]&gt;$AC$6)</f>
        <v>0</v>
      </c>
      <c r="S1329" s="9">
        <f>(Таблица1[[#This Row],[Размер кредита]]-21824)/(789096-21824)</f>
        <v>0.32277210689299229</v>
      </c>
      <c r="T1329" s="9">
        <f>(Таблица1[[#This Row],[Кредитный рейтинг]]-586)/(751-586)</f>
        <v>0.78181818181818186</v>
      </c>
      <c r="U1329" s="9">
        <f>Таблица1[[#This Row],[Ежемесячный платеж]]/(Таблица1[[#This Row],[Годовой доход]]/12)</f>
        <v>0.33700173487090518</v>
      </c>
    </row>
    <row r="1330" spans="1:21" x14ac:dyDescent="0.3">
      <c r="A1330">
        <v>1329</v>
      </c>
      <c r="B1330">
        <v>0</v>
      </c>
      <c r="C1330" s="9">
        <v>310948</v>
      </c>
      <c r="D1330">
        <f>$Y$13</f>
        <v>723</v>
      </c>
      <c r="E1330">
        <f>$AB$13</f>
        <v>1168044</v>
      </c>
      <c r="F1330">
        <v>0</v>
      </c>
      <c r="G1330">
        <v>12634.81</v>
      </c>
      <c r="H1330">
        <v>10.3</v>
      </c>
      <c r="I1330">
        <v>12</v>
      </c>
      <c r="J1330">
        <v>183445</v>
      </c>
      <c r="K1330">
        <v>495110</v>
      </c>
      <c r="L1330" t="s">
        <v>24</v>
      </c>
      <c r="M1330" t="s">
        <v>1369</v>
      </c>
      <c r="N1330" t="s">
        <v>26</v>
      </c>
      <c r="O1330" t="s">
        <v>34</v>
      </c>
      <c r="P1330" t="s">
        <v>31</v>
      </c>
      <c r="Q1330" t="s">
        <v>23</v>
      </c>
      <c r="R1330" t="b">
        <f>OR(Таблица1[[#This Row],[Ежемесячный платеж]]&lt;$AC$5, Таблица1[[#This Row],[Ежемесячный платеж]]&gt;$AC$6)</f>
        <v>0</v>
      </c>
      <c r="S1330" s="9">
        <f>(Таблица1[[#This Row],[Размер кредита]]-21824)/(789096-21824)</f>
        <v>0.3768207363229728</v>
      </c>
      <c r="T1330" s="9">
        <f>(Таблица1[[#This Row],[Кредитный рейтинг]]-586)/(751-586)</f>
        <v>0.83030303030303032</v>
      </c>
      <c r="U1330" s="9">
        <f>Таблица1[[#This Row],[Ежемесячный платеж]]/(Таблица1[[#This Row],[Годовой доход]]/12)</f>
        <v>0.129804801873902</v>
      </c>
    </row>
    <row r="1331" spans="1:21" x14ac:dyDescent="0.3">
      <c r="A1331">
        <v>1330</v>
      </c>
      <c r="B1331">
        <v>0</v>
      </c>
      <c r="C1331" s="9">
        <v>433752</v>
      </c>
      <c r="D1331">
        <v>724</v>
      </c>
      <c r="E1331" s="1">
        <v>5806362</v>
      </c>
      <c r="F1331">
        <v>17</v>
      </c>
      <c r="G1331">
        <v>28306.01</v>
      </c>
      <c r="H1331">
        <v>15.7</v>
      </c>
      <c r="I1331">
        <v>6</v>
      </c>
      <c r="J1331">
        <v>354559</v>
      </c>
      <c r="K1331">
        <v>546656</v>
      </c>
      <c r="L1331" t="s">
        <v>50</v>
      </c>
      <c r="M1331" t="s">
        <v>1370</v>
      </c>
      <c r="N1331" t="s">
        <v>71</v>
      </c>
      <c r="O1331" t="s">
        <v>34</v>
      </c>
      <c r="P1331" t="s">
        <v>22</v>
      </c>
      <c r="Q1331" t="s">
        <v>23</v>
      </c>
      <c r="R1331" t="b">
        <f>OR(Таблица1[[#This Row],[Ежемесячный платеж]]&lt;$AC$5, Таблица1[[#This Row],[Ежемесячный платеж]]&gt;$AC$6)</f>
        <v>0</v>
      </c>
      <c r="S1331" s="9">
        <f>(Таблица1[[#This Row],[Размер кредита]]-21824)/(789096-21824)</f>
        <v>0.53687349466681955</v>
      </c>
      <c r="T1331" s="9">
        <f>(Таблица1[[#This Row],[Кредитный рейтинг]]-586)/(751-586)</f>
        <v>0.83636363636363631</v>
      </c>
      <c r="U1331" s="9">
        <f>Таблица1[[#This Row],[Ежемесячный платеж]]/(Таблица1[[#This Row],[Годовой доход]]/12)</f>
        <v>5.8499990183181826E-2</v>
      </c>
    </row>
    <row r="1332" spans="1:21" x14ac:dyDescent="0.3">
      <c r="A1332">
        <v>1331</v>
      </c>
      <c r="B1332">
        <v>0</v>
      </c>
      <c r="C1332" s="9">
        <v>212058</v>
      </c>
      <c r="D1332">
        <v>690</v>
      </c>
      <c r="E1332" s="1">
        <v>763116</v>
      </c>
      <c r="F1332">
        <v>0</v>
      </c>
      <c r="G1332">
        <v>7313.1</v>
      </c>
      <c r="H1332">
        <v>6.8</v>
      </c>
      <c r="I1332">
        <v>10</v>
      </c>
      <c r="J1332">
        <v>142861</v>
      </c>
      <c r="K1332">
        <v>386474</v>
      </c>
      <c r="L1332" t="s">
        <v>29</v>
      </c>
      <c r="M1332" t="s">
        <v>1371</v>
      </c>
      <c r="N1332" t="s">
        <v>68</v>
      </c>
      <c r="O1332" t="s">
        <v>34</v>
      </c>
      <c r="P1332" t="s">
        <v>22</v>
      </c>
      <c r="Q1332" t="s">
        <v>36</v>
      </c>
      <c r="R1332" t="b">
        <f>OR(Таблица1[[#This Row],[Ежемесячный платеж]]&lt;$AC$5, Таблица1[[#This Row],[Ежемесячный платеж]]&gt;$AC$6)</f>
        <v>0</v>
      </c>
      <c r="S1332" s="9">
        <f>(Таблица1[[#This Row],[Размер кредита]]-21824)/(789096-21824)</f>
        <v>0.24793554306686547</v>
      </c>
      <c r="T1332" s="9">
        <f>(Таблица1[[#This Row],[Кредитный рейтинг]]-586)/(751-586)</f>
        <v>0.63030303030303025</v>
      </c>
      <c r="U1332" s="9">
        <f>Таблица1[[#This Row],[Ежемесячный платеж]]/(Таблица1[[#This Row],[Годовой доход]]/12)</f>
        <v>0.11499850612488796</v>
      </c>
    </row>
    <row r="1333" spans="1:21" x14ac:dyDescent="0.3">
      <c r="A1333">
        <v>1332</v>
      </c>
      <c r="B1333">
        <v>0</v>
      </c>
      <c r="C1333" s="9">
        <v>213752</v>
      </c>
      <c r="D1333">
        <v>747</v>
      </c>
      <c r="E1333" s="1">
        <v>1153794</v>
      </c>
      <c r="F1333">
        <v>19</v>
      </c>
      <c r="G1333">
        <v>19056.810000000001</v>
      </c>
      <c r="H1333">
        <v>17</v>
      </c>
      <c r="I1333">
        <v>10</v>
      </c>
      <c r="J1333">
        <v>8474</v>
      </c>
      <c r="K1333">
        <v>755326</v>
      </c>
      <c r="L1333" t="s">
        <v>24</v>
      </c>
      <c r="M1333" t="s">
        <v>1372</v>
      </c>
      <c r="N1333" t="s">
        <v>26</v>
      </c>
      <c r="O1333" t="s">
        <v>34</v>
      </c>
      <c r="P1333" t="s">
        <v>22</v>
      </c>
      <c r="Q1333" t="s">
        <v>23</v>
      </c>
      <c r="R1333" t="b">
        <f>OR(Таблица1[[#This Row],[Ежемесячный платеж]]&lt;$AC$5, Таблица1[[#This Row],[Ежемесячный платеж]]&gt;$AC$6)</f>
        <v>0</v>
      </c>
      <c r="S1333" s="9">
        <f>(Таблица1[[#This Row],[Размер кредита]]-21824)/(789096-21824)</f>
        <v>0.250143365064801</v>
      </c>
      <c r="T1333" s="9">
        <f>(Таблица1[[#This Row],[Кредитный рейтинг]]-586)/(751-586)</f>
        <v>0.97575757575757571</v>
      </c>
      <c r="U1333" s="9">
        <f>Таблица1[[#This Row],[Ежемесячный платеж]]/(Таблица1[[#This Row],[Годовой доход]]/12)</f>
        <v>0.1981997826301749</v>
      </c>
    </row>
    <row r="1334" spans="1:21" x14ac:dyDescent="0.3">
      <c r="A1334">
        <v>1333</v>
      </c>
      <c r="B1334">
        <v>0</v>
      </c>
      <c r="C1334" s="9">
        <v>112706</v>
      </c>
      <c r="D1334">
        <v>744</v>
      </c>
      <c r="E1334" s="1">
        <v>973275</v>
      </c>
      <c r="F1334">
        <v>14</v>
      </c>
      <c r="G1334">
        <v>7688.92</v>
      </c>
      <c r="H1334">
        <v>13</v>
      </c>
      <c r="I1334">
        <v>9</v>
      </c>
      <c r="J1334">
        <v>99750</v>
      </c>
      <c r="K1334">
        <v>220814</v>
      </c>
      <c r="L1334" t="s">
        <v>24</v>
      </c>
      <c r="M1334" t="s">
        <v>1373</v>
      </c>
      <c r="N1334" t="s">
        <v>26</v>
      </c>
      <c r="O1334" t="s">
        <v>21</v>
      </c>
      <c r="P1334" t="s">
        <v>22</v>
      </c>
      <c r="Q1334" t="s">
        <v>23</v>
      </c>
      <c r="R1334" t="b">
        <f>OR(Таблица1[[#This Row],[Ежемесячный платеж]]&lt;$AC$5, Таблица1[[#This Row],[Ежемесячный платеж]]&gt;$AC$6)</f>
        <v>0</v>
      </c>
      <c r="S1334" s="9">
        <f>(Таблица1[[#This Row],[Размер кредита]]-21824)/(789096-21824)</f>
        <v>0.11844821653859387</v>
      </c>
      <c r="T1334" s="9">
        <f>(Таблица1[[#This Row],[Кредитный рейтинг]]-586)/(751-586)</f>
        <v>0.95757575757575752</v>
      </c>
      <c r="U1334" s="9">
        <f>Таблица1[[#This Row],[Ежемесячный платеж]]/(Таблица1[[#This Row],[Годовой доход]]/12)</f>
        <v>9.4800585651537331E-2</v>
      </c>
    </row>
    <row r="1335" spans="1:21" x14ac:dyDescent="0.3">
      <c r="A1335">
        <v>1334</v>
      </c>
      <c r="B1335">
        <v>1</v>
      </c>
      <c r="D1335">
        <v>709</v>
      </c>
      <c r="E1335" s="1">
        <v>1858010</v>
      </c>
      <c r="F1335">
        <v>0</v>
      </c>
      <c r="G1335">
        <v>3623.11</v>
      </c>
      <c r="H1335">
        <v>26.8</v>
      </c>
      <c r="I1335">
        <v>5</v>
      </c>
      <c r="J1335">
        <v>79686</v>
      </c>
      <c r="K1335">
        <v>148346</v>
      </c>
      <c r="L1335" t="s">
        <v>41</v>
      </c>
      <c r="M1335" t="s">
        <v>1374</v>
      </c>
      <c r="N1335" t="s">
        <v>26</v>
      </c>
      <c r="O1335" t="s">
        <v>21</v>
      </c>
      <c r="P1335" t="s">
        <v>22</v>
      </c>
      <c r="Q1335" t="s">
        <v>23</v>
      </c>
      <c r="R1335" t="b">
        <f>OR(Таблица1[[#This Row],[Ежемесячный платеж]]&lt;$AC$5, Таблица1[[#This Row],[Ежемесячный платеж]]&gt;$AC$6)</f>
        <v>0</v>
      </c>
      <c r="T1335" s="9">
        <f>(Таблица1[[#This Row],[Кредитный рейтинг]]-586)/(751-586)</f>
        <v>0.74545454545454548</v>
      </c>
      <c r="U1335" s="9">
        <f>Таблица1[[#This Row],[Ежемесячный платеж]]/(Таблица1[[#This Row],[Годовой доход]]/12)</f>
        <v>2.3399938644033134E-2</v>
      </c>
    </row>
    <row r="1336" spans="1:21" x14ac:dyDescent="0.3">
      <c r="A1336">
        <v>1335</v>
      </c>
      <c r="B1336">
        <v>1</v>
      </c>
      <c r="C1336" s="9">
        <v>519508</v>
      </c>
      <c r="D1336">
        <v>660</v>
      </c>
      <c r="E1336" s="1">
        <v>3084536</v>
      </c>
      <c r="F1336">
        <v>0</v>
      </c>
      <c r="G1336">
        <v>35214.980000000003</v>
      </c>
      <c r="H1336">
        <v>17.600000000000001</v>
      </c>
      <c r="I1336">
        <v>13</v>
      </c>
      <c r="J1336">
        <v>424555</v>
      </c>
      <c r="K1336">
        <v>664334</v>
      </c>
      <c r="L1336" t="s">
        <v>24</v>
      </c>
      <c r="M1336" t="s">
        <v>1375</v>
      </c>
      <c r="N1336" t="s">
        <v>26</v>
      </c>
      <c r="O1336" t="s">
        <v>28</v>
      </c>
      <c r="P1336" t="s">
        <v>31</v>
      </c>
      <c r="Q1336" t="s">
        <v>23</v>
      </c>
      <c r="R1336" t="b">
        <f>OR(Таблица1[[#This Row],[Ежемесячный платеж]]&lt;$AC$5, Таблица1[[#This Row],[Ежемесячный платеж]]&gt;$AC$6)</f>
        <v>0</v>
      </c>
      <c r="S1336" s="9">
        <f>(Таблица1[[#This Row],[Размер кредита]]-21824)/(789096-21824)</f>
        <v>0.64864089918568646</v>
      </c>
      <c r="T1336" s="9">
        <f>(Таблица1[[#This Row],[Кредитный рейтинг]]-586)/(751-586)</f>
        <v>0.44848484848484849</v>
      </c>
      <c r="U1336" s="9">
        <f>Таблица1[[#This Row],[Ежемесячный платеж]]/(Таблица1[[#This Row],[Годовой доход]]/12)</f>
        <v>0.136999457941162</v>
      </c>
    </row>
    <row r="1337" spans="1:21" x14ac:dyDescent="0.3">
      <c r="A1337">
        <v>1336</v>
      </c>
      <c r="B1337">
        <v>0</v>
      </c>
      <c r="C1337" s="9">
        <v>150216</v>
      </c>
      <c r="D1337">
        <v>740</v>
      </c>
      <c r="E1337" s="1">
        <v>1760597</v>
      </c>
      <c r="F1337">
        <v>16</v>
      </c>
      <c r="G1337">
        <v>9551.2999999999993</v>
      </c>
      <c r="H1337">
        <v>20.9</v>
      </c>
      <c r="I1337">
        <v>9</v>
      </c>
      <c r="J1337">
        <v>13129</v>
      </c>
      <c r="K1337">
        <v>183040</v>
      </c>
      <c r="L1337" t="s">
        <v>63</v>
      </c>
      <c r="M1337" t="s">
        <v>1376</v>
      </c>
      <c r="N1337" t="s">
        <v>26</v>
      </c>
      <c r="O1337" t="s">
        <v>34</v>
      </c>
      <c r="P1337" t="s">
        <v>22</v>
      </c>
      <c r="Q1337" t="s">
        <v>23</v>
      </c>
      <c r="R1337" t="b">
        <f>OR(Таблица1[[#This Row],[Ежемесячный платеж]]&lt;$AC$5, Таблица1[[#This Row],[Ежемесячный платеж]]&gt;$AC$6)</f>
        <v>0</v>
      </c>
      <c r="S1337" s="9">
        <f>(Таблица1[[#This Row],[Размер кредита]]-21824)/(789096-21824)</f>
        <v>0.16733570363573805</v>
      </c>
      <c r="T1337" s="9">
        <f>(Таблица1[[#This Row],[Кредитный рейтинг]]-586)/(751-586)</f>
        <v>0.93333333333333335</v>
      </c>
      <c r="U1337" s="9">
        <f>Таблица1[[#This Row],[Ежемесячный платеж]]/(Таблица1[[#This Row],[Годовой доход]]/12)</f>
        <v>6.5100417642424704E-2</v>
      </c>
    </row>
    <row r="1338" spans="1:21" x14ac:dyDescent="0.3">
      <c r="A1338">
        <v>1337</v>
      </c>
      <c r="B1338">
        <v>0</v>
      </c>
      <c r="C1338" s="9">
        <v>327008</v>
      </c>
      <c r="D1338">
        <v>737</v>
      </c>
      <c r="E1338" s="1">
        <v>941355</v>
      </c>
      <c r="F1338">
        <v>0</v>
      </c>
      <c r="G1338">
        <v>3749.84</v>
      </c>
      <c r="H1338">
        <v>5.7</v>
      </c>
      <c r="I1338">
        <v>10</v>
      </c>
      <c r="J1338">
        <v>192223</v>
      </c>
      <c r="K1338">
        <v>573650</v>
      </c>
      <c r="L1338" t="s">
        <v>37</v>
      </c>
      <c r="M1338" t="s">
        <v>1377</v>
      </c>
      <c r="N1338" t="s">
        <v>26</v>
      </c>
      <c r="O1338" t="s">
        <v>28</v>
      </c>
      <c r="P1338" t="s">
        <v>22</v>
      </c>
      <c r="Q1338" t="s">
        <v>23</v>
      </c>
      <c r="R1338" t="b">
        <f>OR(Таблица1[[#This Row],[Ежемесячный платеж]]&lt;$AC$5, Таблица1[[#This Row],[Ежемесячный платеж]]&gt;$AC$6)</f>
        <v>0</v>
      </c>
      <c r="S1338" s="9">
        <f>(Таблица1[[#This Row],[Размер кредита]]-21824)/(789096-21824)</f>
        <v>0.39775203578392015</v>
      </c>
      <c r="T1338" s="9">
        <f>(Таблица1[[#This Row],[Кредитный рейтинг]]-586)/(751-586)</f>
        <v>0.91515151515151516</v>
      </c>
      <c r="U1338" s="9">
        <f>Таблица1[[#This Row],[Ежемесячный платеж]]/(Таблица1[[#This Row],[Годовой доход]]/12)</f>
        <v>4.7801392673327281E-2</v>
      </c>
    </row>
    <row r="1339" spans="1:21" x14ac:dyDescent="0.3">
      <c r="A1339">
        <v>1338</v>
      </c>
      <c r="B1339">
        <v>1</v>
      </c>
      <c r="C1339" s="9">
        <v>214522</v>
      </c>
      <c r="D1339">
        <v>723</v>
      </c>
      <c r="E1339" s="1">
        <v>518757</v>
      </c>
      <c r="F1339">
        <v>0</v>
      </c>
      <c r="G1339">
        <v>6441.19</v>
      </c>
      <c r="H1339">
        <v>17.600000000000001</v>
      </c>
      <c r="I1339">
        <v>7</v>
      </c>
      <c r="J1339">
        <v>148675</v>
      </c>
      <c r="K1339">
        <v>214654</v>
      </c>
      <c r="L1339" t="s">
        <v>47</v>
      </c>
      <c r="M1339" t="s">
        <v>1378</v>
      </c>
      <c r="N1339" t="s">
        <v>26</v>
      </c>
      <c r="O1339" t="s">
        <v>34</v>
      </c>
      <c r="P1339" t="s">
        <v>31</v>
      </c>
      <c r="Q1339" t="s">
        <v>23</v>
      </c>
      <c r="R1339" t="b">
        <f>OR(Таблица1[[#This Row],[Ежемесячный платеж]]&lt;$AC$5, Таблица1[[#This Row],[Ежемесячный платеж]]&gt;$AC$6)</f>
        <v>0</v>
      </c>
      <c r="S1339" s="9">
        <f>(Таблица1[[#This Row],[Размер кредита]]-21824)/(789096-21824)</f>
        <v>0.25114692051840809</v>
      </c>
      <c r="T1339" s="9">
        <f>(Таблица1[[#This Row],[Кредитный рейтинг]]-586)/(751-586)</f>
        <v>0.83030303030303032</v>
      </c>
      <c r="U1339" s="9">
        <f>Таблица1[[#This Row],[Ежемесячный платеж]]/(Таблица1[[#This Row],[Годовой доход]]/12)</f>
        <v>0.14899901109768157</v>
      </c>
    </row>
    <row r="1340" spans="1:21" x14ac:dyDescent="0.3">
      <c r="A1340">
        <v>1339</v>
      </c>
      <c r="B1340">
        <v>0</v>
      </c>
      <c r="C1340" s="9">
        <v>543466</v>
      </c>
      <c r="D1340">
        <v>748</v>
      </c>
      <c r="E1340" s="1">
        <v>1163978</v>
      </c>
      <c r="F1340">
        <v>0</v>
      </c>
      <c r="G1340">
        <v>10572.93</v>
      </c>
      <c r="H1340">
        <v>25</v>
      </c>
      <c r="I1340">
        <v>9</v>
      </c>
      <c r="J1340">
        <v>197657</v>
      </c>
      <c r="K1340">
        <v>908182</v>
      </c>
      <c r="L1340" t="s">
        <v>24</v>
      </c>
      <c r="M1340" t="s">
        <v>1379</v>
      </c>
      <c r="N1340" t="s">
        <v>26</v>
      </c>
      <c r="O1340" t="s">
        <v>21</v>
      </c>
      <c r="P1340" t="s">
        <v>22</v>
      </c>
      <c r="Q1340" t="s">
        <v>23</v>
      </c>
      <c r="R1340" t="b">
        <f>OR(Таблица1[[#This Row],[Ежемесячный платеж]]&lt;$AC$5, Таблица1[[#This Row],[Ежемесячный платеж]]&gt;$AC$6)</f>
        <v>0</v>
      </c>
      <c r="S1340" s="9">
        <f>(Таблица1[[#This Row],[Размер кредита]]-21824)/(789096-21824)</f>
        <v>0.67986581029934623</v>
      </c>
      <c r="T1340" s="9">
        <f>(Таблица1[[#This Row],[Кредитный рейтинг]]-586)/(751-586)</f>
        <v>0.98181818181818181</v>
      </c>
      <c r="U1340" s="9">
        <f>Таблица1[[#This Row],[Ежемесячный платеж]]/(Таблица1[[#This Row],[Годовой доход]]/12)</f>
        <v>0.10900133851327087</v>
      </c>
    </row>
    <row r="1341" spans="1:21" x14ac:dyDescent="0.3">
      <c r="A1341">
        <v>1340</v>
      </c>
      <c r="B1341">
        <v>0</v>
      </c>
      <c r="C1341" s="9">
        <v>118514</v>
      </c>
      <c r="D1341">
        <f>$Y$13</f>
        <v>723</v>
      </c>
      <c r="E1341">
        <f>$AB$13</f>
        <v>1168044</v>
      </c>
      <c r="F1341">
        <v>0</v>
      </c>
      <c r="G1341">
        <v>2289.12</v>
      </c>
      <c r="H1341">
        <v>9.5</v>
      </c>
      <c r="I1341">
        <v>4</v>
      </c>
      <c r="J1341">
        <v>47462</v>
      </c>
      <c r="K1341">
        <v>127226</v>
      </c>
      <c r="L1341" t="s">
        <v>29</v>
      </c>
      <c r="M1341" t="s">
        <v>1380</v>
      </c>
      <c r="N1341" t="s">
        <v>76</v>
      </c>
      <c r="O1341" t="s">
        <v>34</v>
      </c>
      <c r="P1341" t="s">
        <v>22</v>
      </c>
      <c r="Q1341" t="s">
        <v>23</v>
      </c>
      <c r="R1341" t="b">
        <f>OR(Таблица1[[#This Row],[Ежемесячный платеж]]&lt;$AC$5, Таблица1[[#This Row],[Ежемесячный платеж]]&gt;$AC$6)</f>
        <v>0</v>
      </c>
      <c r="S1341" s="9">
        <f>(Таблица1[[#This Row],[Размер кредита]]-21824)/(789096-21824)</f>
        <v>0.12601789196008717</v>
      </c>
      <c r="T1341" s="9">
        <f>(Таблица1[[#This Row],[Кредитный рейтинг]]-586)/(751-586)</f>
        <v>0.83030303030303032</v>
      </c>
      <c r="U1341" s="9">
        <f>Таблица1[[#This Row],[Ежемесячный платеж]]/(Таблица1[[#This Row],[Годовой доход]]/12)</f>
        <v>2.3517470232285769E-2</v>
      </c>
    </row>
    <row r="1342" spans="1:21" x14ac:dyDescent="0.3">
      <c r="A1342">
        <v>1341</v>
      </c>
      <c r="B1342">
        <v>0</v>
      </c>
      <c r="C1342" s="9">
        <v>171776</v>
      </c>
      <c r="D1342">
        <f>$Y$13</f>
        <v>723</v>
      </c>
      <c r="E1342">
        <f>$AB$13</f>
        <v>1168044</v>
      </c>
      <c r="F1342">
        <v>0</v>
      </c>
      <c r="G1342">
        <v>9462</v>
      </c>
      <c r="H1342">
        <v>6.6</v>
      </c>
      <c r="I1342">
        <v>5</v>
      </c>
      <c r="J1342">
        <v>101270</v>
      </c>
      <c r="K1342">
        <v>210518</v>
      </c>
      <c r="L1342" t="s">
        <v>37</v>
      </c>
      <c r="M1342" t="s">
        <v>1381</v>
      </c>
      <c r="N1342" t="s">
        <v>26</v>
      </c>
      <c r="O1342" t="s">
        <v>34</v>
      </c>
      <c r="P1342" t="s">
        <v>22</v>
      </c>
      <c r="Q1342" t="s">
        <v>23</v>
      </c>
      <c r="R1342" t="b">
        <f>OR(Таблица1[[#This Row],[Ежемесячный платеж]]&lt;$AC$5, Таблица1[[#This Row],[Ежемесячный платеж]]&gt;$AC$6)</f>
        <v>0</v>
      </c>
      <c r="S1342" s="9">
        <f>(Таблица1[[#This Row],[Размер кредита]]-21824)/(789096-21824)</f>
        <v>0.19543525633673586</v>
      </c>
      <c r="T1342" s="9">
        <f>(Таблица1[[#This Row],[Кредитный рейтинг]]-586)/(751-586)</f>
        <v>0.83030303030303032</v>
      </c>
      <c r="U1342" s="9">
        <f>Таблица1[[#This Row],[Ежемесячный платеж]]/(Таблица1[[#This Row],[Годовой доход]]/12)</f>
        <v>9.7208666796798751E-2</v>
      </c>
    </row>
    <row r="1343" spans="1:21" x14ac:dyDescent="0.3">
      <c r="A1343">
        <v>1342</v>
      </c>
      <c r="B1343">
        <v>0</v>
      </c>
      <c r="C1343" s="9">
        <v>238854</v>
      </c>
      <c r="D1343">
        <v>703</v>
      </c>
      <c r="E1343" s="1">
        <v>693861</v>
      </c>
      <c r="F1343">
        <v>39</v>
      </c>
      <c r="G1343">
        <v>16652.740000000002</v>
      </c>
      <c r="H1343">
        <v>14</v>
      </c>
      <c r="I1343">
        <v>13</v>
      </c>
      <c r="J1343">
        <v>132240</v>
      </c>
      <c r="K1343">
        <v>293348</v>
      </c>
      <c r="L1343" t="s">
        <v>52</v>
      </c>
      <c r="M1343" t="s">
        <v>1382</v>
      </c>
      <c r="N1343" t="s">
        <v>26</v>
      </c>
      <c r="O1343" t="s">
        <v>34</v>
      </c>
      <c r="P1343" t="s">
        <v>31</v>
      </c>
      <c r="Q1343" t="s">
        <v>36</v>
      </c>
      <c r="R1343" t="b">
        <f>OR(Таблица1[[#This Row],[Ежемесячный платеж]]&lt;$AC$5, Таблица1[[#This Row],[Ежемесячный платеж]]&gt;$AC$6)</f>
        <v>0</v>
      </c>
      <c r="S1343" s="9">
        <f>(Таблица1[[#This Row],[Размер кредита]]-21824)/(789096-21824)</f>
        <v>0.28285927285239132</v>
      </c>
      <c r="T1343" s="9">
        <f>(Таблица1[[#This Row],[Кредитный рейтинг]]-586)/(751-586)</f>
        <v>0.70909090909090911</v>
      </c>
      <c r="U1343" s="9">
        <f>Таблица1[[#This Row],[Ежемесячный платеж]]/(Таблица1[[#This Row],[Годовой доход]]/12)</f>
        <v>0.28800131438429316</v>
      </c>
    </row>
    <row r="1344" spans="1:21" x14ac:dyDescent="0.3">
      <c r="A1344">
        <v>1343</v>
      </c>
      <c r="B1344">
        <v>0</v>
      </c>
      <c r="D1344">
        <v>738</v>
      </c>
      <c r="E1344" s="1">
        <v>2228586</v>
      </c>
      <c r="F1344">
        <v>0</v>
      </c>
      <c r="G1344">
        <v>15804.39</v>
      </c>
      <c r="H1344">
        <v>19.600000000000001</v>
      </c>
      <c r="I1344">
        <v>11</v>
      </c>
      <c r="J1344">
        <v>168207</v>
      </c>
      <c r="K1344">
        <v>740542</v>
      </c>
      <c r="L1344" t="s">
        <v>37</v>
      </c>
      <c r="M1344" t="s">
        <v>1383</v>
      </c>
      <c r="N1344" t="s">
        <v>68</v>
      </c>
      <c r="O1344" t="s">
        <v>21</v>
      </c>
      <c r="P1344" t="s">
        <v>22</v>
      </c>
      <c r="Q1344" t="s">
        <v>23</v>
      </c>
      <c r="R1344" t="b">
        <f>OR(Таблица1[[#This Row],[Ежемесячный платеж]]&lt;$AC$5, Таблица1[[#This Row],[Ежемесячный платеж]]&gt;$AC$6)</f>
        <v>0</v>
      </c>
      <c r="T1344" s="9">
        <f>(Таблица1[[#This Row],[Кредитный рейтинг]]-586)/(751-586)</f>
        <v>0.92121212121212126</v>
      </c>
      <c r="U1344" s="9">
        <f>Таблица1[[#This Row],[Ежемесячный платеж]]/(Таблица1[[#This Row],[Годовой доход]]/12)</f>
        <v>8.5100005115351166E-2</v>
      </c>
    </row>
    <row r="1345" spans="1:21" x14ac:dyDescent="0.3">
      <c r="A1345">
        <v>1344</v>
      </c>
      <c r="B1345">
        <v>0</v>
      </c>
      <c r="C1345" s="9">
        <v>352396</v>
      </c>
      <c r="D1345">
        <v>699</v>
      </c>
      <c r="E1345" s="1">
        <v>1141254</v>
      </c>
      <c r="F1345">
        <v>0</v>
      </c>
      <c r="G1345">
        <v>19972.04</v>
      </c>
      <c r="H1345">
        <v>13.4</v>
      </c>
      <c r="I1345">
        <v>5</v>
      </c>
      <c r="J1345">
        <v>530309</v>
      </c>
      <c r="K1345">
        <v>746988</v>
      </c>
      <c r="L1345" t="s">
        <v>32</v>
      </c>
      <c r="M1345" t="s">
        <v>1384</v>
      </c>
      <c r="N1345" t="s">
        <v>26</v>
      </c>
      <c r="O1345" t="s">
        <v>34</v>
      </c>
      <c r="P1345" t="s">
        <v>22</v>
      </c>
      <c r="Q1345" t="s">
        <v>23</v>
      </c>
      <c r="R1345" t="b">
        <f>OR(Таблица1[[#This Row],[Ежемесячный платеж]]&lt;$AC$5, Таблица1[[#This Row],[Ежемесячный платеж]]&gt;$AC$6)</f>
        <v>0</v>
      </c>
      <c r="S1345" s="9">
        <f>(Таблица1[[#This Row],[Размер кредита]]-21824)/(789096-21824)</f>
        <v>0.43084069273999309</v>
      </c>
      <c r="T1345" s="9">
        <f>(Таблица1[[#This Row],[Кредитный рейтинг]]-586)/(751-586)</f>
        <v>0.68484848484848482</v>
      </c>
      <c r="U1345" s="9">
        <f>Таблица1[[#This Row],[Ежемесячный платеж]]/(Таблица1[[#This Row],[Годовой доход]]/12)</f>
        <v>0.21000099890120869</v>
      </c>
    </row>
    <row r="1346" spans="1:21" x14ac:dyDescent="0.3">
      <c r="A1346">
        <v>1345</v>
      </c>
      <c r="B1346">
        <v>0</v>
      </c>
      <c r="C1346" s="9">
        <v>673464</v>
      </c>
      <c r="D1346">
        <v>739</v>
      </c>
      <c r="E1346" s="1">
        <v>2617326</v>
      </c>
      <c r="F1346">
        <v>0</v>
      </c>
      <c r="G1346">
        <v>25737.02</v>
      </c>
      <c r="H1346">
        <v>21.1</v>
      </c>
      <c r="I1346">
        <v>6</v>
      </c>
      <c r="J1346">
        <v>889162</v>
      </c>
      <c r="K1346">
        <v>1208394</v>
      </c>
      <c r="L1346" t="s">
        <v>24</v>
      </c>
      <c r="M1346" t="s">
        <v>1385</v>
      </c>
      <c r="N1346" t="s">
        <v>26</v>
      </c>
      <c r="O1346" t="s">
        <v>34</v>
      </c>
      <c r="P1346" t="s">
        <v>22</v>
      </c>
      <c r="Q1346" t="s">
        <v>23</v>
      </c>
      <c r="R1346" t="b">
        <f>OR(Таблица1[[#This Row],[Ежемесячный платеж]]&lt;$AC$5, Таблица1[[#This Row],[Ежемесячный платеж]]&gt;$AC$6)</f>
        <v>0</v>
      </c>
      <c r="S1346" s="9">
        <f>(Таблица1[[#This Row],[Размер кредита]]-21824)/(789096-21824)</f>
        <v>0.84929464388117903</v>
      </c>
      <c r="T1346" s="9">
        <f>(Таблица1[[#This Row],[Кредитный рейтинг]]-586)/(751-586)</f>
        <v>0.92727272727272725</v>
      </c>
      <c r="U1346" s="9">
        <f>Таблица1[[#This Row],[Ежемесячный платеж]]/(Таблица1[[#This Row],[Годовой доход]]/12)</f>
        <v>0.11799991288819199</v>
      </c>
    </row>
    <row r="1347" spans="1:21" x14ac:dyDescent="0.3">
      <c r="A1347">
        <v>1346</v>
      </c>
      <c r="B1347">
        <v>0</v>
      </c>
      <c r="C1347" s="9">
        <v>257444</v>
      </c>
      <c r="D1347">
        <v>739</v>
      </c>
      <c r="E1347" s="1">
        <v>1037609</v>
      </c>
      <c r="F1347">
        <v>63</v>
      </c>
      <c r="G1347">
        <v>17985.400000000001</v>
      </c>
      <c r="H1347">
        <v>29.1</v>
      </c>
      <c r="I1347">
        <v>9</v>
      </c>
      <c r="J1347">
        <v>191710</v>
      </c>
      <c r="K1347">
        <v>765468</v>
      </c>
      <c r="L1347" t="s">
        <v>24</v>
      </c>
      <c r="M1347" t="s">
        <v>1386</v>
      </c>
      <c r="N1347" t="s">
        <v>26</v>
      </c>
      <c r="O1347" t="s">
        <v>21</v>
      </c>
      <c r="P1347" t="s">
        <v>22</v>
      </c>
      <c r="Q1347" t="s">
        <v>23</v>
      </c>
      <c r="R1347" t="b">
        <f>OR(Таблица1[[#This Row],[Ежемесячный платеж]]&lt;$AC$5, Таблица1[[#This Row],[Ежемесячный платеж]]&gt;$AC$6)</f>
        <v>0</v>
      </c>
      <c r="S1347" s="9">
        <f>(Таблица1[[#This Row],[Размер кредита]]-21824)/(789096-21824)</f>
        <v>0.30708796880376188</v>
      </c>
      <c r="T1347" s="9">
        <f>(Таблица1[[#This Row],[Кредитный рейтинг]]-586)/(751-586)</f>
        <v>0.92727272727272725</v>
      </c>
      <c r="U1347" s="9">
        <f>Таблица1[[#This Row],[Ежемесячный платеж]]/(Таблица1[[#This Row],[Годовой доход]]/12)</f>
        <v>0.20800205086887258</v>
      </c>
    </row>
    <row r="1348" spans="1:21" x14ac:dyDescent="0.3">
      <c r="A1348">
        <v>1347</v>
      </c>
      <c r="B1348">
        <v>0</v>
      </c>
      <c r="C1348" s="9">
        <v>642246</v>
      </c>
      <c r="D1348">
        <v>691</v>
      </c>
      <c r="E1348" s="1">
        <v>1207830</v>
      </c>
      <c r="F1348">
        <v>0</v>
      </c>
      <c r="G1348">
        <v>12581.42</v>
      </c>
      <c r="H1348">
        <v>16.899999999999999</v>
      </c>
      <c r="I1348">
        <v>7</v>
      </c>
      <c r="J1348">
        <v>129276</v>
      </c>
      <c r="K1348">
        <v>645194</v>
      </c>
      <c r="L1348" t="s">
        <v>69</v>
      </c>
      <c r="M1348" t="s">
        <v>1387</v>
      </c>
      <c r="N1348" t="s">
        <v>20</v>
      </c>
      <c r="O1348" t="s">
        <v>21</v>
      </c>
      <c r="P1348" t="s">
        <v>31</v>
      </c>
      <c r="Q1348" t="s">
        <v>23</v>
      </c>
      <c r="R1348" t="b">
        <f>OR(Таблица1[[#This Row],[Ежемесячный платеж]]&lt;$AC$5, Таблица1[[#This Row],[Ежемесячный платеж]]&gt;$AC$6)</f>
        <v>0</v>
      </c>
      <c r="S1348" s="9">
        <f>(Таблица1[[#This Row],[Размер кредита]]-21824)/(789096-21824)</f>
        <v>0.80860763849065265</v>
      </c>
      <c r="T1348" s="9">
        <f>(Таблица1[[#This Row],[Кредитный рейтинг]]-586)/(751-586)</f>
        <v>0.63636363636363635</v>
      </c>
      <c r="U1348" s="9">
        <f>Таблица1[[#This Row],[Ежемесячный платеж]]/(Таблица1[[#This Row],[Годовой доход]]/12)</f>
        <v>0.12499858423784804</v>
      </c>
    </row>
    <row r="1349" spans="1:21" x14ac:dyDescent="0.3">
      <c r="A1349">
        <v>1348</v>
      </c>
      <c r="B1349">
        <v>1</v>
      </c>
      <c r="C1349" s="9">
        <v>112728</v>
      </c>
      <c r="D1349">
        <v>736</v>
      </c>
      <c r="E1349" s="1">
        <v>584079</v>
      </c>
      <c r="F1349">
        <v>0</v>
      </c>
      <c r="G1349">
        <v>8031.11</v>
      </c>
      <c r="H1349">
        <v>22.5</v>
      </c>
      <c r="I1349">
        <v>4</v>
      </c>
      <c r="J1349">
        <v>38893</v>
      </c>
      <c r="K1349">
        <v>281512</v>
      </c>
      <c r="L1349" t="s">
        <v>32</v>
      </c>
      <c r="M1349" t="s">
        <v>1388</v>
      </c>
      <c r="N1349" t="s">
        <v>26</v>
      </c>
      <c r="O1349" t="s">
        <v>21</v>
      </c>
      <c r="P1349" t="s">
        <v>22</v>
      </c>
      <c r="Q1349" t="s">
        <v>23</v>
      </c>
      <c r="R1349" t="b">
        <f>OR(Таблица1[[#This Row],[Ежемесячный платеж]]&lt;$AC$5, Таблица1[[#This Row],[Ежемесячный платеж]]&gt;$AC$6)</f>
        <v>0</v>
      </c>
      <c r="S1349" s="9">
        <f>(Таблица1[[#This Row],[Размер кредита]]-21824)/(789096-21824)</f>
        <v>0.11847688955155408</v>
      </c>
      <c r="T1349" s="9">
        <f>(Таблица1[[#This Row],[Кредитный рейтинг]]-586)/(751-586)</f>
        <v>0.90909090909090906</v>
      </c>
      <c r="U1349" s="9">
        <f>Таблица1[[#This Row],[Ежемесячный платеж]]/(Таблица1[[#This Row],[Годовой доход]]/12)</f>
        <v>0.16500048794769201</v>
      </c>
    </row>
    <row r="1350" spans="1:21" x14ac:dyDescent="0.3">
      <c r="A1350">
        <v>1349</v>
      </c>
      <c r="B1350">
        <v>1</v>
      </c>
      <c r="C1350" s="9">
        <v>237930</v>
      </c>
      <c r="D1350">
        <v>711</v>
      </c>
      <c r="E1350" s="1">
        <v>1245374</v>
      </c>
      <c r="F1350">
        <v>44</v>
      </c>
      <c r="G1350">
        <v>30511.72</v>
      </c>
      <c r="H1350">
        <v>22.9</v>
      </c>
      <c r="I1350">
        <v>11</v>
      </c>
      <c r="J1350">
        <v>145635</v>
      </c>
      <c r="K1350">
        <v>201938</v>
      </c>
      <c r="L1350" t="s">
        <v>63</v>
      </c>
      <c r="M1350" t="s">
        <v>1389</v>
      </c>
      <c r="N1350" t="s">
        <v>26</v>
      </c>
      <c r="O1350" t="s">
        <v>21</v>
      </c>
      <c r="P1350" t="s">
        <v>31</v>
      </c>
      <c r="Q1350" t="s">
        <v>23</v>
      </c>
      <c r="R1350" t="b">
        <f>OR(Таблица1[[#This Row],[Ежемесячный платеж]]&lt;$AC$5, Таблица1[[#This Row],[Ежемесячный платеж]]&gt;$AC$6)</f>
        <v>0</v>
      </c>
      <c r="S1350" s="9">
        <f>(Таблица1[[#This Row],[Размер кредита]]-21824)/(789096-21824)</f>
        <v>0.28165500630806284</v>
      </c>
      <c r="T1350" s="9">
        <f>(Таблица1[[#This Row],[Кредитный рейтинг]]-586)/(751-586)</f>
        <v>0.75757575757575757</v>
      </c>
      <c r="U1350" s="9">
        <f>Таблица1[[#This Row],[Ежемесячный платеж]]/(Таблица1[[#This Row],[Годовой доход]]/12)</f>
        <v>0.29400054923259999</v>
      </c>
    </row>
    <row r="1351" spans="1:21" x14ac:dyDescent="0.3">
      <c r="A1351">
        <v>1350</v>
      </c>
      <c r="B1351">
        <v>1</v>
      </c>
      <c r="C1351" s="9">
        <v>287386</v>
      </c>
      <c r="D1351">
        <v>705</v>
      </c>
      <c r="E1351" s="1">
        <v>700967</v>
      </c>
      <c r="F1351">
        <v>0</v>
      </c>
      <c r="G1351">
        <v>34.96</v>
      </c>
      <c r="H1351">
        <v>6.5</v>
      </c>
      <c r="I1351">
        <v>5</v>
      </c>
      <c r="J1351">
        <v>38</v>
      </c>
      <c r="K1351">
        <v>0</v>
      </c>
      <c r="L1351" t="s">
        <v>47</v>
      </c>
      <c r="M1351" t="s">
        <v>1390</v>
      </c>
      <c r="N1351" t="s">
        <v>76</v>
      </c>
      <c r="O1351" t="s">
        <v>21</v>
      </c>
      <c r="P1351" t="s">
        <v>31</v>
      </c>
      <c r="Q1351" t="s">
        <v>23</v>
      </c>
      <c r="R1351" t="b">
        <f>OR(Таблица1[[#This Row],[Ежемесячный платеж]]&lt;$AC$5, Таблица1[[#This Row],[Ежемесячный платеж]]&gt;$AC$6)</f>
        <v>0</v>
      </c>
      <c r="S1351" s="9">
        <f>(Таблица1[[#This Row],[Размер кредита]]-21824)/(789096-21824)</f>
        <v>0.34611193944259661</v>
      </c>
      <c r="T1351" s="9">
        <f>(Таблица1[[#This Row],[Кредитный рейтинг]]-586)/(751-586)</f>
        <v>0.72121212121212119</v>
      </c>
      <c r="U1351" s="9">
        <f>Таблица1[[#This Row],[Ежемесячный платеж]]/(Таблица1[[#This Row],[Годовой доход]]/12)</f>
        <v>5.9848751795733607E-4</v>
      </c>
    </row>
    <row r="1352" spans="1:21" x14ac:dyDescent="0.3">
      <c r="A1352">
        <v>1351</v>
      </c>
      <c r="B1352">
        <v>0</v>
      </c>
      <c r="C1352" s="9">
        <v>545842</v>
      </c>
      <c r="D1352">
        <v>676</v>
      </c>
      <c r="E1352" s="1">
        <v>1123660</v>
      </c>
      <c r="F1352">
        <v>49</v>
      </c>
      <c r="G1352">
        <v>36331.800000000003</v>
      </c>
      <c r="H1352">
        <v>17</v>
      </c>
      <c r="I1352">
        <v>20</v>
      </c>
      <c r="J1352">
        <v>445341</v>
      </c>
      <c r="K1352">
        <v>935858</v>
      </c>
      <c r="L1352" t="s">
        <v>47</v>
      </c>
      <c r="M1352" t="s">
        <v>1391</v>
      </c>
      <c r="N1352" t="s">
        <v>26</v>
      </c>
      <c r="O1352" t="s">
        <v>34</v>
      </c>
      <c r="P1352" t="s">
        <v>31</v>
      </c>
      <c r="Q1352" t="s">
        <v>23</v>
      </c>
      <c r="R1352" t="b">
        <f>OR(Таблица1[[#This Row],[Ежемесячный платеж]]&lt;$AC$5, Таблица1[[#This Row],[Ежемесячный платеж]]&gt;$AC$6)</f>
        <v>0</v>
      </c>
      <c r="S1352" s="9">
        <f>(Таблица1[[#This Row],[Размер кредита]]-21824)/(789096-21824)</f>
        <v>0.6829624956990481</v>
      </c>
      <c r="T1352" s="9">
        <f>(Таблица1[[#This Row],[Кредитный рейтинг]]-586)/(751-586)</f>
        <v>0.54545454545454541</v>
      </c>
      <c r="U1352" s="9">
        <f>Таблица1[[#This Row],[Ежемесячный платеж]]/(Таблица1[[#This Row],[Годовой доход]]/12)</f>
        <v>0.38800135272235381</v>
      </c>
    </row>
    <row r="1353" spans="1:21" x14ac:dyDescent="0.3">
      <c r="A1353">
        <v>1352</v>
      </c>
      <c r="B1353">
        <v>0</v>
      </c>
      <c r="C1353" s="9">
        <v>670758</v>
      </c>
      <c r="D1353">
        <v>665</v>
      </c>
      <c r="E1353" s="1">
        <v>2124067</v>
      </c>
      <c r="F1353">
        <v>49</v>
      </c>
      <c r="G1353">
        <v>34693.24</v>
      </c>
      <c r="H1353">
        <v>15</v>
      </c>
      <c r="I1353">
        <v>8</v>
      </c>
      <c r="J1353">
        <v>68989</v>
      </c>
      <c r="K1353">
        <v>272668</v>
      </c>
      <c r="L1353" t="s">
        <v>24</v>
      </c>
      <c r="M1353" t="s">
        <v>1392</v>
      </c>
      <c r="N1353" t="s">
        <v>68</v>
      </c>
      <c r="O1353" t="s">
        <v>21</v>
      </c>
      <c r="P1353" t="s">
        <v>31</v>
      </c>
      <c r="Q1353" t="s">
        <v>23</v>
      </c>
      <c r="R1353" t="b">
        <f>OR(Таблица1[[#This Row],[Ежемесячный платеж]]&lt;$AC$5, Таблица1[[#This Row],[Ежемесячный платеж]]&gt;$AC$6)</f>
        <v>0</v>
      </c>
      <c r="S1353" s="9">
        <f>(Таблица1[[#This Row],[Размер кредита]]-21824)/(789096-21824)</f>
        <v>0.84576786328707421</v>
      </c>
      <c r="T1353" s="9">
        <f>(Таблица1[[#This Row],[Кредитный рейтинг]]-586)/(751-586)</f>
        <v>0.47878787878787876</v>
      </c>
      <c r="U1353" s="9">
        <f>Таблица1[[#This Row],[Ежемесячный платеж]]/(Таблица1[[#This Row],[Годовой доход]]/12)</f>
        <v>0.19600082294955853</v>
      </c>
    </row>
    <row r="1354" spans="1:21" x14ac:dyDescent="0.3">
      <c r="A1354">
        <v>1353</v>
      </c>
      <c r="B1354">
        <v>0</v>
      </c>
      <c r="C1354" s="9">
        <v>613668</v>
      </c>
      <c r="D1354">
        <v>738</v>
      </c>
      <c r="E1354" s="1">
        <v>1608787</v>
      </c>
      <c r="F1354">
        <v>0</v>
      </c>
      <c r="G1354">
        <v>31384.77</v>
      </c>
      <c r="H1354">
        <v>17.600000000000001</v>
      </c>
      <c r="I1354">
        <v>13</v>
      </c>
      <c r="J1354">
        <v>891708</v>
      </c>
      <c r="K1354">
        <v>2335982</v>
      </c>
      <c r="L1354" t="s">
        <v>18</v>
      </c>
      <c r="M1354" t="s">
        <v>1393</v>
      </c>
      <c r="N1354" t="s">
        <v>26</v>
      </c>
      <c r="O1354" t="s">
        <v>21</v>
      </c>
      <c r="P1354" t="s">
        <v>31</v>
      </c>
      <c r="Q1354" t="s">
        <v>36</v>
      </c>
      <c r="R1354" t="b">
        <f>OR(Таблица1[[#This Row],[Ежемесячный платеж]]&lt;$AC$5, Таблица1[[#This Row],[Ежемесячный платеж]]&gt;$AC$6)</f>
        <v>0</v>
      </c>
      <c r="S1354" s="9">
        <f>(Таблица1[[#This Row],[Размер кредита]]-21824)/(789096-21824)</f>
        <v>0.77136139465535036</v>
      </c>
      <c r="T1354" s="9">
        <f>(Таблица1[[#This Row],[Кредитный рейтинг]]-586)/(751-586)</f>
        <v>0.92121212121212126</v>
      </c>
      <c r="U1354" s="9">
        <f>Таблица1[[#This Row],[Ежемесячный платеж]]/(Таблица1[[#This Row],[Годовой доход]]/12)</f>
        <v>0.23410012636849997</v>
      </c>
    </row>
    <row r="1355" spans="1:21" x14ac:dyDescent="0.3">
      <c r="A1355">
        <v>1354</v>
      </c>
      <c r="B1355">
        <v>0</v>
      </c>
      <c r="C1355" s="9">
        <v>245278</v>
      </c>
      <c r="D1355">
        <v>683</v>
      </c>
      <c r="E1355" s="1">
        <v>916009</v>
      </c>
      <c r="F1355">
        <v>73</v>
      </c>
      <c r="G1355">
        <v>15648.59</v>
      </c>
      <c r="H1355">
        <v>9.5</v>
      </c>
      <c r="I1355">
        <v>7</v>
      </c>
      <c r="J1355">
        <v>75886</v>
      </c>
      <c r="K1355">
        <v>291962</v>
      </c>
      <c r="L1355" t="s">
        <v>18</v>
      </c>
      <c r="M1355" t="s">
        <v>1394</v>
      </c>
      <c r="N1355" t="s">
        <v>26</v>
      </c>
      <c r="O1355" t="s">
        <v>21</v>
      </c>
      <c r="P1355" t="s">
        <v>31</v>
      </c>
      <c r="Q1355" t="s">
        <v>23</v>
      </c>
      <c r="R1355" t="b">
        <f>OR(Таблица1[[#This Row],[Ежемесячный платеж]]&lt;$AC$5, Таблица1[[#This Row],[Ежемесячный платеж]]&gt;$AC$6)</f>
        <v>0</v>
      </c>
      <c r="S1355" s="9">
        <f>(Таблица1[[#This Row],[Размер кредита]]-21824)/(789096-21824)</f>
        <v>0.29123179263677029</v>
      </c>
      <c r="T1355" s="9">
        <f>(Таблица1[[#This Row],[Кредитный рейтинг]]-586)/(751-586)</f>
        <v>0.58787878787878789</v>
      </c>
      <c r="U1355" s="9">
        <f>Таблица1[[#This Row],[Ежемесячный платеж]]/(Таблица1[[#This Row],[Годовой доход]]/12)</f>
        <v>0.20500134824002822</v>
      </c>
    </row>
    <row r="1356" spans="1:21" x14ac:dyDescent="0.3">
      <c r="A1356">
        <v>1355</v>
      </c>
      <c r="B1356">
        <v>0</v>
      </c>
      <c r="C1356" s="9">
        <v>398222</v>
      </c>
      <c r="D1356">
        <v>719</v>
      </c>
      <c r="E1356" s="1">
        <v>1108175</v>
      </c>
      <c r="F1356">
        <v>22</v>
      </c>
      <c r="G1356">
        <v>22440.52</v>
      </c>
      <c r="H1356">
        <v>31</v>
      </c>
      <c r="I1356">
        <v>20</v>
      </c>
      <c r="J1356">
        <v>478154</v>
      </c>
      <c r="K1356">
        <v>1006654</v>
      </c>
      <c r="L1356" t="s">
        <v>24</v>
      </c>
      <c r="M1356" t="s">
        <v>1395</v>
      </c>
      <c r="N1356" t="s">
        <v>26</v>
      </c>
      <c r="O1356" t="s">
        <v>34</v>
      </c>
      <c r="P1356" t="s">
        <v>22</v>
      </c>
      <c r="Q1356" t="s">
        <v>23</v>
      </c>
      <c r="R1356" t="b">
        <f>OR(Таблица1[[#This Row],[Ежемесячный платеж]]&lt;$AC$5, Таблица1[[#This Row],[Ежемесячный платеж]]&gt;$AC$6)</f>
        <v>0</v>
      </c>
      <c r="S1356" s="9">
        <f>(Таблица1[[#This Row],[Размер кредита]]-21824)/(789096-21824)</f>
        <v>0.49056657873609361</v>
      </c>
      <c r="T1356" s="9">
        <f>(Таблица1[[#This Row],[Кредитный рейтинг]]-586)/(751-586)</f>
        <v>0.80606060606060603</v>
      </c>
      <c r="U1356" s="9">
        <f>Таблица1[[#This Row],[Ежемесячный платеж]]/(Таблица1[[#This Row],[Годовой доход]]/12)</f>
        <v>0.2429997428204029</v>
      </c>
    </row>
    <row r="1357" spans="1:21" x14ac:dyDescent="0.3">
      <c r="A1357">
        <v>1356</v>
      </c>
      <c r="B1357">
        <v>0</v>
      </c>
      <c r="C1357" s="9">
        <v>153362</v>
      </c>
      <c r="D1357">
        <v>746</v>
      </c>
      <c r="E1357" s="1">
        <v>1892210</v>
      </c>
      <c r="F1357">
        <v>18</v>
      </c>
      <c r="G1357">
        <v>19174.419999999998</v>
      </c>
      <c r="H1357">
        <v>31.7</v>
      </c>
      <c r="I1357">
        <v>8</v>
      </c>
      <c r="J1357">
        <v>468806</v>
      </c>
      <c r="K1357">
        <v>714252</v>
      </c>
      <c r="L1357" t="s">
        <v>47</v>
      </c>
      <c r="M1357" t="s">
        <v>1396</v>
      </c>
      <c r="N1357" t="s">
        <v>26</v>
      </c>
      <c r="O1357" t="s">
        <v>21</v>
      </c>
      <c r="P1357" t="s">
        <v>22</v>
      </c>
      <c r="Q1357" t="s">
        <v>23</v>
      </c>
      <c r="R1357" t="b">
        <f>OR(Таблица1[[#This Row],[Ежемесячный платеж]]&lt;$AC$5, Таблица1[[#This Row],[Ежемесячный платеж]]&gt;$AC$6)</f>
        <v>0</v>
      </c>
      <c r="S1357" s="9">
        <f>(Таблица1[[#This Row],[Размер кредита]]-21824)/(789096-21824)</f>
        <v>0.17143594448904692</v>
      </c>
      <c r="T1357" s="9">
        <f>(Таблица1[[#This Row],[Кредитный рейтинг]]-586)/(751-586)</f>
        <v>0.96969696969696972</v>
      </c>
      <c r="U1357" s="9">
        <f>Таблица1[[#This Row],[Ежемесячный платеж]]/(Таблица1[[#This Row],[Годовой доход]]/12)</f>
        <v>0.12160016065870066</v>
      </c>
    </row>
    <row r="1358" spans="1:21" x14ac:dyDescent="0.3">
      <c r="A1358">
        <v>1357</v>
      </c>
      <c r="B1358">
        <v>0</v>
      </c>
      <c r="C1358" s="9">
        <v>85954</v>
      </c>
      <c r="D1358">
        <v>718</v>
      </c>
      <c r="E1358" s="1">
        <v>556719</v>
      </c>
      <c r="F1358">
        <v>0</v>
      </c>
      <c r="G1358">
        <v>1874.35</v>
      </c>
      <c r="H1358">
        <v>4.9000000000000004</v>
      </c>
      <c r="I1358">
        <v>4</v>
      </c>
      <c r="J1358">
        <v>73131</v>
      </c>
      <c r="K1358">
        <v>193336</v>
      </c>
      <c r="L1358" t="s">
        <v>29</v>
      </c>
      <c r="M1358" t="s">
        <v>1397</v>
      </c>
      <c r="N1358" t="s">
        <v>26</v>
      </c>
      <c r="O1358" t="s">
        <v>34</v>
      </c>
      <c r="P1358" t="s">
        <v>22</v>
      </c>
      <c r="Q1358" t="s">
        <v>23</v>
      </c>
      <c r="R1358" t="b">
        <f>OR(Таблица1[[#This Row],[Ежемесячный платеж]]&lt;$AC$5, Таблица1[[#This Row],[Ежемесячный платеж]]&gt;$AC$6)</f>
        <v>0</v>
      </c>
      <c r="S1358" s="9">
        <f>(Таблица1[[#This Row],[Размер кредита]]-21824)/(789096-21824)</f>
        <v>8.358183277898841E-2</v>
      </c>
      <c r="T1358" s="9">
        <f>(Таблица1[[#This Row],[Кредитный рейтинг]]-586)/(751-586)</f>
        <v>0.8</v>
      </c>
      <c r="U1358" s="9">
        <f>Таблица1[[#This Row],[Ежемесячный платеж]]/(Таблица1[[#This Row],[Годовой доход]]/12)</f>
        <v>4.0401351489710247E-2</v>
      </c>
    </row>
    <row r="1359" spans="1:21" x14ac:dyDescent="0.3">
      <c r="A1359">
        <v>1358</v>
      </c>
      <c r="B1359">
        <v>0</v>
      </c>
      <c r="C1359" s="9">
        <v>308858</v>
      </c>
      <c r="D1359">
        <v>733</v>
      </c>
      <c r="E1359" s="1">
        <v>1095559</v>
      </c>
      <c r="F1359">
        <v>0</v>
      </c>
      <c r="G1359">
        <v>11868.54</v>
      </c>
      <c r="H1359">
        <v>16</v>
      </c>
      <c r="I1359">
        <v>4</v>
      </c>
      <c r="J1359">
        <v>1995</v>
      </c>
      <c r="K1359">
        <v>289564</v>
      </c>
      <c r="L1359" t="s">
        <v>24</v>
      </c>
      <c r="M1359" t="s">
        <v>1398</v>
      </c>
      <c r="N1359" t="s">
        <v>26</v>
      </c>
      <c r="O1359" t="s">
        <v>21</v>
      </c>
      <c r="P1359" t="s">
        <v>31</v>
      </c>
      <c r="Q1359" t="s">
        <v>36</v>
      </c>
      <c r="R1359" t="b">
        <f>OR(Таблица1[[#This Row],[Ежемесячный платеж]]&lt;$AC$5, Таблица1[[#This Row],[Ежемесячный платеж]]&gt;$AC$6)</f>
        <v>0</v>
      </c>
      <c r="S1359" s="9">
        <f>(Таблица1[[#This Row],[Размер кредита]]-21824)/(789096-21824)</f>
        <v>0.37409680009175367</v>
      </c>
      <c r="T1359" s="9">
        <f>(Таблица1[[#This Row],[Кредитный рейтинг]]-586)/(751-586)</f>
        <v>0.89090909090909087</v>
      </c>
      <c r="U1359" s="9">
        <f>Таблица1[[#This Row],[Ежемесячный платеж]]/(Таблица1[[#This Row],[Годовой доход]]/12)</f>
        <v>0.12999982657255338</v>
      </c>
    </row>
    <row r="1360" spans="1:21" x14ac:dyDescent="0.3">
      <c r="A1360">
        <v>1359</v>
      </c>
      <c r="B1360">
        <v>0</v>
      </c>
      <c r="C1360" s="9">
        <v>348524</v>
      </c>
      <c r="D1360">
        <f>$Y$13</f>
        <v>723</v>
      </c>
      <c r="E1360">
        <f>$AB$13</f>
        <v>1168044</v>
      </c>
      <c r="F1360">
        <v>0</v>
      </c>
      <c r="G1360">
        <v>16963.2</v>
      </c>
      <c r="H1360">
        <v>15.9</v>
      </c>
      <c r="I1360">
        <v>12</v>
      </c>
      <c r="J1360">
        <v>328301</v>
      </c>
      <c r="K1360">
        <v>576818</v>
      </c>
      <c r="L1360" t="s">
        <v>37</v>
      </c>
      <c r="M1360" t="s">
        <v>1399</v>
      </c>
      <c r="N1360" t="s">
        <v>68</v>
      </c>
      <c r="O1360" t="s">
        <v>28</v>
      </c>
      <c r="P1360" t="s">
        <v>31</v>
      </c>
      <c r="Q1360" t="s">
        <v>36</v>
      </c>
      <c r="R1360" t="b">
        <f>OR(Таблица1[[#This Row],[Ежемесячный платеж]]&lt;$AC$5, Таблица1[[#This Row],[Ежемесячный платеж]]&gt;$AC$6)</f>
        <v>0</v>
      </c>
      <c r="S1360" s="9">
        <f>(Таблица1[[#This Row],[Размер кредита]]-21824)/(789096-21824)</f>
        <v>0.42579424245899761</v>
      </c>
      <c r="T1360" s="9">
        <f>(Таблица1[[#This Row],[Кредитный рейтинг]]-586)/(751-586)</f>
        <v>0.83030303030303032</v>
      </c>
      <c r="U1360" s="9">
        <f>Таблица1[[#This Row],[Ежемесячный платеж]]/(Таблица1[[#This Row],[Годовой доход]]/12)</f>
        <v>0.17427288698028501</v>
      </c>
    </row>
    <row r="1361" spans="1:21" x14ac:dyDescent="0.3">
      <c r="A1361">
        <v>1360</v>
      </c>
      <c r="B1361">
        <v>0</v>
      </c>
      <c r="C1361" s="9">
        <v>718916</v>
      </c>
      <c r="D1361">
        <v>697</v>
      </c>
      <c r="E1361" s="1">
        <v>2522364</v>
      </c>
      <c r="F1361">
        <v>0</v>
      </c>
      <c r="G1361">
        <v>8092.48</v>
      </c>
      <c r="H1361">
        <v>10.6</v>
      </c>
      <c r="I1361">
        <v>8</v>
      </c>
      <c r="J1361">
        <v>87115</v>
      </c>
      <c r="K1361">
        <v>478082</v>
      </c>
      <c r="L1361" t="s">
        <v>37</v>
      </c>
      <c r="M1361" t="s">
        <v>1400</v>
      </c>
      <c r="N1361" t="s">
        <v>26</v>
      </c>
      <c r="O1361" t="s">
        <v>28</v>
      </c>
      <c r="P1361" t="s">
        <v>31</v>
      </c>
      <c r="Q1361" t="s">
        <v>36</v>
      </c>
      <c r="R1361" t="b">
        <f>OR(Таблица1[[#This Row],[Ежемесячный платеж]]&lt;$AC$5, Таблица1[[#This Row],[Ежемесячный платеж]]&gt;$AC$6)</f>
        <v>0</v>
      </c>
      <c r="S1361" s="9">
        <f>(Таблица1[[#This Row],[Размер кредита]]-21824)/(789096-21824)</f>
        <v>0.90853308865695603</v>
      </c>
      <c r="T1361" s="9">
        <f>(Таблица1[[#This Row],[Кредитный рейтинг]]-586)/(751-586)</f>
        <v>0.67272727272727273</v>
      </c>
      <c r="U1361" s="9">
        <f>Таблица1[[#This Row],[Ежемесячный платеж]]/(Таблица1[[#This Row],[Годовой доход]]/12)</f>
        <v>3.8499502847328934E-2</v>
      </c>
    </row>
    <row r="1362" spans="1:21" x14ac:dyDescent="0.3">
      <c r="A1362">
        <v>1361</v>
      </c>
      <c r="B1362">
        <v>0</v>
      </c>
      <c r="C1362" s="9">
        <v>278740</v>
      </c>
      <c r="D1362">
        <f>$Y$13</f>
        <v>723</v>
      </c>
      <c r="E1362">
        <f>$AB$13</f>
        <v>1168044</v>
      </c>
      <c r="F1362">
        <v>48</v>
      </c>
      <c r="G1362">
        <v>16457.8</v>
      </c>
      <c r="H1362">
        <v>16.7</v>
      </c>
      <c r="I1362">
        <v>14</v>
      </c>
      <c r="J1362">
        <v>72542</v>
      </c>
      <c r="K1362">
        <v>240680</v>
      </c>
      <c r="L1362" t="s">
        <v>63</v>
      </c>
      <c r="M1362" t="s">
        <v>1401</v>
      </c>
      <c r="N1362" t="s">
        <v>20</v>
      </c>
      <c r="O1362" t="s">
        <v>21</v>
      </c>
      <c r="P1362" t="s">
        <v>31</v>
      </c>
      <c r="Q1362" t="s">
        <v>23</v>
      </c>
      <c r="R1362" t="b">
        <f>OR(Таблица1[[#This Row],[Ежемесячный платеж]]&lt;$AC$5, Таблица1[[#This Row],[Ежемесячный платеж]]&gt;$AC$6)</f>
        <v>0</v>
      </c>
      <c r="S1362" s="9">
        <f>(Таблица1[[#This Row],[Размер кредита]]-21824)/(789096-21824)</f>
        <v>0.33484344534923732</v>
      </c>
      <c r="T1362" s="9">
        <f>(Таблица1[[#This Row],[Кредитный рейтинг]]-586)/(751-586)</f>
        <v>0.83030303030303032</v>
      </c>
      <c r="U1362" s="9">
        <f>Таблица1[[#This Row],[Ежемесячный платеж]]/(Таблица1[[#This Row],[Годовой доход]]/12)</f>
        <v>0.16908061682607847</v>
      </c>
    </row>
    <row r="1363" spans="1:21" x14ac:dyDescent="0.3">
      <c r="A1363">
        <v>1362</v>
      </c>
      <c r="B1363">
        <v>0</v>
      </c>
      <c r="C1363" s="9">
        <v>346522</v>
      </c>
      <c r="D1363">
        <f>$Y$13</f>
        <v>723</v>
      </c>
      <c r="E1363">
        <f>$AB$13</f>
        <v>1168044</v>
      </c>
      <c r="F1363">
        <v>0</v>
      </c>
      <c r="G1363">
        <v>10387.49</v>
      </c>
      <c r="H1363">
        <v>16</v>
      </c>
      <c r="I1363">
        <v>6</v>
      </c>
      <c r="J1363">
        <v>161044</v>
      </c>
      <c r="K1363">
        <v>966196</v>
      </c>
      <c r="L1363" t="s">
        <v>41</v>
      </c>
      <c r="M1363" s="2" t="s">
        <v>1402</v>
      </c>
      <c r="N1363" t="s">
        <v>68</v>
      </c>
      <c r="O1363" t="s">
        <v>28</v>
      </c>
      <c r="P1363" t="s">
        <v>22</v>
      </c>
      <c r="Q1363" t="s">
        <v>23</v>
      </c>
      <c r="R1363" t="b">
        <f>OR(Таблица1[[#This Row],[Ежемесячный платеж]]&lt;$AC$5, Таблица1[[#This Row],[Ежемесячный платеж]]&gt;$AC$6)</f>
        <v>0</v>
      </c>
      <c r="S1363" s="9">
        <f>(Таблица1[[#This Row],[Размер кредита]]-21824)/(789096-21824)</f>
        <v>0.4231849982796192</v>
      </c>
      <c r="T1363" s="9">
        <f>(Таблица1[[#This Row],[Кредитный рейтинг]]-586)/(751-586)</f>
        <v>0.83030303030303032</v>
      </c>
      <c r="U1363" s="9">
        <f>Таблица1[[#This Row],[Ежемесячный платеж]]/(Таблица1[[#This Row],[Годовой доход]]/12)</f>
        <v>0.10671676751903182</v>
      </c>
    </row>
    <row r="1364" spans="1:21" x14ac:dyDescent="0.3">
      <c r="A1364">
        <v>1363</v>
      </c>
      <c r="B1364">
        <v>0</v>
      </c>
      <c r="C1364" s="9">
        <v>261052</v>
      </c>
      <c r="D1364">
        <v>747</v>
      </c>
      <c r="E1364" s="1">
        <v>2160528</v>
      </c>
      <c r="F1364">
        <v>50</v>
      </c>
      <c r="G1364">
        <v>24305.94</v>
      </c>
      <c r="H1364">
        <v>20.399999999999999</v>
      </c>
      <c r="I1364">
        <v>23</v>
      </c>
      <c r="J1364">
        <v>160265</v>
      </c>
      <c r="K1364">
        <v>751322</v>
      </c>
      <c r="L1364" t="s">
        <v>50</v>
      </c>
      <c r="M1364" t="s">
        <v>1403</v>
      </c>
      <c r="N1364" t="s">
        <v>26</v>
      </c>
      <c r="O1364" t="s">
        <v>34</v>
      </c>
      <c r="P1364" t="s">
        <v>22</v>
      </c>
      <c r="Q1364" t="s">
        <v>36</v>
      </c>
      <c r="R1364" t="b">
        <f>OR(Таблица1[[#This Row],[Ежемесячный платеж]]&lt;$AC$5, Таблица1[[#This Row],[Ежемесячный платеж]]&gt;$AC$6)</f>
        <v>0</v>
      </c>
      <c r="S1364" s="9">
        <f>(Таблица1[[#This Row],[Размер кредита]]-21824)/(789096-21824)</f>
        <v>0.31179034292923502</v>
      </c>
      <c r="T1364" s="9">
        <f>(Таблица1[[#This Row],[Кредитный рейтинг]]-586)/(751-586)</f>
        <v>0.97575757575757571</v>
      </c>
      <c r="U1364" s="9">
        <f>Таблица1[[#This Row],[Ежемесячный платеж]]/(Таблица1[[#This Row],[Годовой доход]]/12)</f>
        <v>0.13499999999999998</v>
      </c>
    </row>
    <row r="1365" spans="1:21" x14ac:dyDescent="0.3">
      <c r="A1365">
        <v>1364</v>
      </c>
      <c r="B1365">
        <v>0</v>
      </c>
      <c r="C1365" s="9">
        <v>173338</v>
      </c>
      <c r="D1365">
        <f>$Y$13</f>
        <v>723</v>
      </c>
      <c r="E1365">
        <f>$AB$13</f>
        <v>1168044</v>
      </c>
      <c r="F1365">
        <v>12</v>
      </c>
      <c r="G1365">
        <v>19703.38</v>
      </c>
      <c r="H1365">
        <v>17.399999999999999</v>
      </c>
      <c r="I1365">
        <v>10</v>
      </c>
      <c r="J1365">
        <v>479902</v>
      </c>
      <c r="K1365">
        <v>765402</v>
      </c>
      <c r="L1365" t="s">
        <v>24</v>
      </c>
      <c r="M1365" t="s">
        <v>1404</v>
      </c>
      <c r="N1365" t="s">
        <v>26</v>
      </c>
      <c r="O1365" t="s">
        <v>34</v>
      </c>
      <c r="P1365" t="s">
        <v>22</v>
      </c>
      <c r="Q1365" t="s">
        <v>23</v>
      </c>
      <c r="R1365" t="b">
        <f>OR(Таблица1[[#This Row],[Ежемесячный платеж]]&lt;$AC$5, Таблица1[[#This Row],[Ежемесячный платеж]]&gt;$AC$6)</f>
        <v>0</v>
      </c>
      <c r="S1365" s="9">
        <f>(Таблица1[[#This Row],[Размер кредита]]-21824)/(789096-21824)</f>
        <v>0.1974710402569102</v>
      </c>
      <c r="T1365" s="9">
        <f>(Таблица1[[#This Row],[Кредитный рейтинг]]-586)/(751-586)</f>
        <v>0.83030303030303032</v>
      </c>
      <c r="U1365" s="9">
        <f>Таблица1[[#This Row],[Ежемесячный платеж]]/(Таблица1[[#This Row],[Годовой доход]]/12)</f>
        <v>0.20242436072613704</v>
      </c>
    </row>
    <row r="1366" spans="1:21" x14ac:dyDescent="0.3">
      <c r="A1366">
        <v>1365</v>
      </c>
      <c r="B1366">
        <v>0</v>
      </c>
      <c r="C1366" s="9">
        <v>138534</v>
      </c>
      <c r="D1366">
        <v>703</v>
      </c>
      <c r="E1366" s="1">
        <v>1215126</v>
      </c>
      <c r="F1366">
        <v>47</v>
      </c>
      <c r="G1366">
        <v>13568.66</v>
      </c>
      <c r="H1366">
        <v>14.2</v>
      </c>
      <c r="I1366">
        <v>6</v>
      </c>
      <c r="J1366">
        <v>47500</v>
      </c>
      <c r="K1366">
        <v>56298</v>
      </c>
      <c r="L1366" t="s">
        <v>41</v>
      </c>
      <c r="M1366" t="s">
        <v>1405</v>
      </c>
      <c r="N1366" t="s">
        <v>26</v>
      </c>
      <c r="O1366" t="s">
        <v>21</v>
      </c>
      <c r="P1366" t="s">
        <v>22</v>
      </c>
      <c r="Q1366" t="s">
        <v>23</v>
      </c>
      <c r="R1366" t="b">
        <f>OR(Таблица1[[#This Row],[Ежемесячный платеж]]&lt;$AC$5, Таблица1[[#This Row],[Ежемесячный платеж]]&gt;$AC$6)</f>
        <v>0</v>
      </c>
      <c r="S1366" s="9">
        <f>(Таблица1[[#This Row],[Размер кредита]]-21824)/(789096-21824)</f>
        <v>0.15211033375387087</v>
      </c>
      <c r="T1366" s="9">
        <f>(Таблица1[[#This Row],[Кредитный рейтинг]]-586)/(751-586)</f>
        <v>0.70909090909090911</v>
      </c>
      <c r="U1366" s="9">
        <f>Таблица1[[#This Row],[Ежемесячный платеж]]/(Таблица1[[#This Row],[Годовой доход]]/12)</f>
        <v>0.13399756074678676</v>
      </c>
    </row>
    <row r="1367" spans="1:21" x14ac:dyDescent="0.3">
      <c r="A1367">
        <v>1366</v>
      </c>
      <c r="B1367">
        <v>0</v>
      </c>
      <c r="C1367" s="9">
        <v>44726</v>
      </c>
      <c r="D1367">
        <f>$Y$13</f>
        <v>723</v>
      </c>
      <c r="E1367">
        <f>$AB$13</f>
        <v>1168044</v>
      </c>
      <c r="F1367">
        <v>0</v>
      </c>
      <c r="G1367">
        <v>9094.92</v>
      </c>
      <c r="H1367">
        <v>10</v>
      </c>
      <c r="I1367">
        <v>10</v>
      </c>
      <c r="J1367">
        <v>83125</v>
      </c>
      <c r="K1367">
        <v>190234</v>
      </c>
      <c r="L1367" t="s">
        <v>37</v>
      </c>
      <c r="M1367" t="s">
        <v>1406</v>
      </c>
      <c r="N1367" t="s">
        <v>68</v>
      </c>
      <c r="O1367" t="s">
        <v>34</v>
      </c>
      <c r="P1367" t="s">
        <v>22</v>
      </c>
      <c r="Q1367" t="s">
        <v>23</v>
      </c>
      <c r="R1367" t="b">
        <f>OR(Таблица1[[#This Row],[Ежемесячный платеж]]&lt;$AC$5, Таблица1[[#This Row],[Ежемесячный платеж]]&gt;$AC$6)</f>
        <v>0</v>
      </c>
      <c r="S1367" s="9">
        <f>(Таблица1[[#This Row],[Размер кредита]]-21824)/(789096-21824)</f>
        <v>2.9848606491570135E-2</v>
      </c>
      <c r="T1367" s="9">
        <f>(Таблица1[[#This Row],[Кредитный рейтинг]]-586)/(751-586)</f>
        <v>0.83030303030303032</v>
      </c>
      <c r="U1367" s="9">
        <f>Таблица1[[#This Row],[Ежемесячный платеж]]/(Таблица1[[#This Row],[Годовой доход]]/12)</f>
        <v>9.3437439000585598E-2</v>
      </c>
    </row>
    <row r="1368" spans="1:21" x14ac:dyDescent="0.3">
      <c r="A1368">
        <v>1367</v>
      </c>
      <c r="B1368">
        <v>0</v>
      </c>
      <c r="C1368" s="9">
        <v>217470</v>
      </c>
      <c r="D1368">
        <v>747</v>
      </c>
      <c r="E1368" s="1">
        <v>1877219</v>
      </c>
      <c r="F1368">
        <v>12</v>
      </c>
      <c r="G1368">
        <v>12201.99</v>
      </c>
      <c r="H1368">
        <v>30</v>
      </c>
      <c r="I1368">
        <v>22</v>
      </c>
      <c r="J1368">
        <v>407968</v>
      </c>
      <c r="K1368">
        <v>1769240</v>
      </c>
      <c r="L1368" t="s">
        <v>24</v>
      </c>
      <c r="M1368" t="s">
        <v>1407</v>
      </c>
      <c r="N1368" t="s">
        <v>26</v>
      </c>
      <c r="O1368" t="s">
        <v>21</v>
      </c>
      <c r="P1368" t="s">
        <v>22</v>
      </c>
      <c r="Q1368" t="s">
        <v>23</v>
      </c>
      <c r="R1368" t="b">
        <f>OR(Таблица1[[#This Row],[Ежемесячный платеж]]&lt;$AC$5, Таблица1[[#This Row],[Ежемесячный платеж]]&gt;$AC$6)</f>
        <v>0</v>
      </c>
      <c r="S1368" s="9">
        <f>(Таблица1[[#This Row],[Размер кредита]]-21824)/(789096-21824)</f>
        <v>0.25498910425507515</v>
      </c>
      <c r="T1368" s="9">
        <f>(Таблица1[[#This Row],[Кредитный рейтинг]]-586)/(751-586)</f>
        <v>0.97575757575757571</v>
      </c>
      <c r="U1368" s="9">
        <f>Таблица1[[#This Row],[Ежемесячный платеж]]/(Таблица1[[#This Row],[Годовой доход]]/12)</f>
        <v>7.8000425096911977E-2</v>
      </c>
    </row>
    <row r="1369" spans="1:21" x14ac:dyDescent="0.3">
      <c r="A1369">
        <v>1368</v>
      </c>
      <c r="B1369">
        <v>0</v>
      </c>
      <c r="C1369" s="9">
        <v>644094</v>
      </c>
      <c r="D1369">
        <v>734</v>
      </c>
      <c r="E1369" s="1">
        <v>2225052</v>
      </c>
      <c r="F1369">
        <v>0</v>
      </c>
      <c r="G1369">
        <v>34859.11</v>
      </c>
      <c r="H1369">
        <v>19.399999999999999</v>
      </c>
      <c r="I1369">
        <v>20</v>
      </c>
      <c r="J1369">
        <v>413060</v>
      </c>
      <c r="K1369">
        <v>534402</v>
      </c>
      <c r="L1369" t="s">
        <v>29</v>
      </c>
      <c r="M1369" t="s">
        <v>1408</v>
      </c>
      <c r="N1369" t="s">
        <v>26</v>
      </c>
      <c r="O1369" t="s">
        <v>21</v>
      </c>
      <c r="P1369" t="s">
        <v>22</v>
      </c>
      <c r="Q1369" t="s">
        <v>36</v>
      </c>
      <c r="R1369" t="b">
        <f>OR(Таблица1[[#This Row],[Ежемесячный платеж]]&lt;$AC$5, Таблица1[[#This Row],[Ежемесячный платеж]]&gt;$AC$6)</f>
        <v>0</v>
      </c>
      <c r="S1369" s="9">
        <f>(Таблица1[[#This Row],[Размер кредита]]-21824)/(789096-21824)</f>
        <v>0.81101617157930961</v>
      </c>
      <c r="T1369" s="9">
        <f>(Таблица1[[#This Row],[Кредитный рейтинг]]-586)/(751-586)</f>
        <v>0.89696969696969697</v>
      </c>
      <c r="U1369" s="9">
        <f>Таблица1[[#This Row],[Ежемесячный платеж]]/(Таблица1[[#This Row],[Годовой доход]]/12)</f>
        <v>0.18799979506096937</v>
      </c>
    </row>
    <row r="1370" spans="1:21" x14ac:dyDescent="0.3">
      <c r="A1370">
        <v>1369</v>
      </c>
      <c r="B1370">
        <v>0</v>
      </c>
      <c r="C1370" s="9">
        <v>244420</v>
      </c>
      <c r="D1370">
        <v>696</v>
      </c>
      <c r="E1370" s="1">
        <v>2461184</v>
      </c>
      <c r="F1370">
        <v>2</v>
      </c>
      <c r="G1370">
        <v>31585.22</v>
      </c>
      <c r="H1370">
        <v>27</v>
      </c>
      <c r="I1370">
        <v>27</v>
      </c>
      <c r="J1370">
        <v>227373</v>
      </c>
      <c r="K1370">
        <v>2289430</v>
      </c>
      <c r="L1370" t="s">
        <v>47</v>
      </c>
      <c r="M1370" t="s">
        <v>1409</v>
      </c>
      <c r="N1370" t="s">
        <v>76</v>
      </c>
      <c r="O1370" t="s">
        <v>21</v>
      </c>
      <c r="P1370" t="s">
        <v>31</v>
      </c>
      <c r="Q1370" t="s">
        <v>23</v>
      </c>
      <c r="R1370" t="b">
        <f>OR(Таблица1[[#This Row],[Ежемесячный платеж]]&lt;$AC$5, Таблица1[[#This Row],[Ежемесячный платеж]]&gt;$AC$6)</f>
        <v>0</v>
      </c>
      <c r="S1370" s="9">
        <f>(Таблица1[[#This Row],[Размер кредита]]-21824)/(789096-21824)</f>
        <v>0.29011354513132243</v>
      </c>
      <c r="T1370" s="9">
        <f>(Таблица1[[#This Row],[Кредитный рейтинг]]-586)/(751-586)</f>
        <v>0.66666666666666663</v>
      </c>
      <c r="U1370" s="9">
        <f>Таблица1[[#This Row],[Ежемесячный платеж]]/(Таблица1[[#This Row],[Годовой доход]]/12)</f>
        <v>0.15400012351778658</v>
      </c>
    </row>
    <row r="1371" spans="1:21" x14ac:dyDescent="0.3">
      <c r="A1371">
        <v>1370</v>
      </c>
      <c r="B1371">
        <v>0</v>
      </c>
      <c r="C1371" s="9">
        <v>189376</v>
      </c>
      <c r="D1371">
        <v>733</v>
      </c>
      <c r="E1371" s="1">
        <v>1127916</v>
      </c>
      <c r="F1371">
        <v>0</v>
      </c>
      <c r="G1371">
        <v>18704.55</v>
      </c>
      <c r="H1371">
        <v>14.4</v>
      </c>
      <c r="I1371">
        <v>24</v>
      </c>
      <c r="J1371">
        <v>137731</v>
      </c>
      <c r="K1371">
        <v>239470</v>
      </c>
      <c r="L1371" t="s">
        <v>18</v>
      </c>
      <c r="M1371" t="s">
        <v>1410</v>
      </c>
      <c r="N1371" t="s">
        <v>26</v>
      </c>
      <c r="O1371" t="s">
        <v>34</v>
      </c>
      <c r="P1371" t="s">
        <v>22</v>
      </c>
      <c r="Q1371" t="s">
        <v>23</v>
      </c>
      <c r="R1371" t="b">
        <f>OR(Таблица1[[#This Row],[Ежемесячный платеж]]&lt;$AC$5, Таблица1[[#This Row],[Ежемесячный платеж]]&gt;$AC$6)</f>
        <v>0</v>
      </c>
      <c r="S1371" s="9">
        <f>(Таблица1[[#This Row],[Размер кредита]]-21824)/(789096-21824)</f>
        <v>0.21837366670489736</v>
      </c>
      <c r="T1371" s="9">
        <f>(Таблица1[[#This Row],[Кредитный рейтинг]]-586)/(751-586)</f>
        <v>0.89090909090909087</v>
      </c>
      <c r="U1371" s="9">
        <f>Таблица1[[#This Row],[Ежемесячный платеж]]/(Таблица1[[#This Row],[Годовой доход]]/12)</f>
        <v>0.19899939357186172</v>
      </c>
    </row>
    <row r="1372" spans="1:21" x14ac:dyDescent="0.3">
      <c r="A1372">
        <v>1371</v>
      </c>
      <c r="B1372">
        <v>1</v>
      </c>
      <c r="C1372" s="9">
        <v>108856</v>
      </c>
      <c r="D1372">
        <v>672</v>
      </c>
      <c r="E1372" s="1">
        <v>1692045</v>
      </c>
      <c r="F1372">
        <v>17</v>
      </c>
      <c r="G1372">
        <v>23688.63</v>
      </c>
      <c r="H1372">
        <v>6</v>
      </c>
      <c r="I1372">
        <v>13</v>
      </c>
      <c r="J1372">
        <v>83600</v>
      </c>
      <c r="K1372">
        <v>509498</v>
      </c>
      <c r="L1372" t="s">
        <v>41</v>
      </c>
      <c r="M1372" t="s">
        <v>1411</v>
      </c>
      <c r="N1372" t="s">
        <v>68</v>
      </c>
      <c r="O1372" t="s">
        <v>34</v>
      </c>
      <c r="P1372" t="s">
        <v>22</v>
      </c>
      <c r="Q1372" t="s">
        <v>23</v>
      </c>
      <c r="R1372" t="b">
        <f>OR(Таблица1[[#This Row],[Ежемесячный платеж]]&lt;$AC$5, Таблица1[[#This Row],[Ежемесячный платеж]]&gt;$AC$6)</f>
        <v>0</v>
      </c>
      <c r="S1372" s="9">
        <f>(Таблица1[[#This Row],[Размер кредита]]-21824)/(789096-21824)</f>
        <v>0.11343043927055856</v>
      </c>
      <c r="T1372" s="9">
        <f>(Таблица1[[#This Row],[Кредитный рейтинг]]-586)/(751-586)</f>
        <v>0.52121212121212124</v>
      </c>
      <c r="U1372" s="9">
        <f>Таблица1[[#This Row],[Ежемесячный платеж]]/(Таблица1[[#This Row],[Годовой доход]]/12)</f>
        <v>0.16800000000000001</v>
      </c>
    </row>
    <row r="1373" spans="1:21" x14ac:dyDescent="0.3">
      <c r="A1373">
        <v>1372</v>
      </c>
      <c r="B1373">
        <v>0</v>
      </c>
      <c r="C1373" s="9">
        <v>216194</v>
      </c>
      <c r="D1373">
        <v>731</v>
      </c>
      <c r="E1373" s="1">
        <v>552539</v>
      </c>
      <c r="F1373">
        <v>9</v>
      </c>
      <c r="G1373">
        <v>10820.69</v>
      </c>
      <c r="H1373">
        <v>15.4</v>
      </c>
      <c r="I1373">
        <v>11</v>
      </c>
      <c r="J1373">
        <v>251674</v>
      </c>
      <c r="K1373">
        <v>419298</v>
      </c>
      <c r="L1373" t="s">
        <v>24</v>
      </c>
      <c r="M1373" t="s">
        <v>1412</v>
      </c>
      <c r="N1373" t="s">
        <v>26</v>
      </c>
      <c r="O1373" t="s">
        <v>34</v>
      </c>
      <c r="P1373" t="s">
        <v>22</v>
      </c>
      <c r="Q1373" t="s">
        <v>23</v>
      </c>
      <c r="R1373" t="b">
        <f>OR(Таблица1[[#This Row],[Ежемесячный платеж]]&lt;$AC$5, Таблица1[[#This Row],[Ежемесячный платеж]]&gt;$AC$6)</f>
        <v>0</v>
      </c>
      <c r="S1373" s="9">
        <f>(Таблица1[[#This Row],[Размер кредита]]-21824)/(789096-21824)</f>
        <v>0.25332606950338343</v>
      </c>
      <c r="T1373" s="9">
        <f>(Таблица1[[#This Row],[Кредитный рейтинг]]-586)/(751-586)</f>
        <v>0.87878787878787878</v>
      </c>
      <c r="U1373" s="9">
        <f>Таблица1[[#This Row],[Ежемесячный платеж]]/(Таблица1[[#This Row],[Годовой доход]]/12)</f>
        <v>0.23500292287060282</v>
      </c>
    </row>
    <row r="1374" spans="1:21" x14ac:dyDescent="0.3">
      <c r="A1374">
        <v>1373</v>
      </c>
      <c r="B1374">
        <v>0</v>
      </c>
      <c r="D1374">
        <v>689</v>
      </c>
      <c r="E1374" s="1">
        <v>2072026</v>
      </c>
      <c r="F1374">
        <v>25</v>
      </c>
      <c r="G1374">
        <v>25382.29</v>
      </c>
      <c r="H1374">
        <v>17.5</v>
      </c>
      <c r="I1374">
        <v>15</v>
      </c>
      <c r="J1374">
        <v>344147</v>
      </c>
      <c r="K1374">
        <v>591228</v>
      </c>
      <c r="L1374" t="s">
        <v>18</v>
      </c>
      <c r="M1374" t="s">
        <v>1413</v>
      </c>
      <c r="N1374" t="s">
        <v>26</v>
      </c>
      <c r="O1374" t="s">
        <v>21</v>
      </c>
      <c r="P1374" t="s">
        <v>22</v>
      </c>
      <c r="Q1374" t="s">
        <v>23</v>
      </c>
      <c r="R1374" t="b">
        <f>OR(Таблица1[[#This Row],[Ежемесячный платеж]]&lt;$AC$5, Таблица1[[#This Row],[Ежемесячный платеж]]&gt;$AC$6)</f>
        <v>0</v>
      </c>
      <c r="T1374" s="9">
        <f>(Таблица1[[#This Row],[Кредитный рейтинг]]-586)/(751-586)</f>
        <v>0.62424242424242427</v>
      </c>
      <c r="U1374" s="9">
        <f>Таблица1[[#This Row],[Ежемесячный платеж]]/(Таблица1[[#This Row],[Годовой доход]]/12)</f>
        <v>0.14699983494415611</v>
      </c>
    </row>
    <row r="1375" spans="1:21" x14ac:dyDescent="0.3">
      <c r="A1375">
        <v>1374</v>
      </c>
      <c r="B1375">
        <v>0</v>
      </c>
      <c r="C1375" s="9">
        <v>107492</v>
      </c>
      <c r="D1375">
        <v>681</v>
      </c>
      <c r="E1375" s="1">
        <v>807576</v>
      </c>
      <c r="F1375">
        <v>16</v>
      </c>
      <c r="G1375">
        <v>3936.8</v>
      </c>
      <c r="H1375">
        <v>9.1</v>
      </c>
      <c r="I1375">
        <v>5</v>
      </c>
      <c r="J1375">
        <v>43833</v>
      </c>
      <c r="K1375">
        <v>111782</v>
      </c>
      <c r="L1375" t="s">
        <v>47</v>
      </c>
      <c r="M1375" t="s">
        <v>1414</v>
      </c>
      <c r="N1375" t="s">
        <v>68</v>
      </c>
      <c r="O1375" t="s">
        <v>34</v>
      </c>
      <c r="P1375" t="s">
        <v>22</v>
      </c>
      <c r="Q1375" t="s">
        <v>36</v>
      </c>
      <c r="R1375" t="b">
        <f>OR(Таблица1[[#This Row],[Ежемесячный платеж]]&lt;$AC$5, Таблица1[[#This Row],[Ежемесячный платеж]]&gt;$AC$6)</f>
        <v>0</v>
      </c>
      <c r="S1375" s="9">
        <f>(Таблица1[[#This Row],[Размер кредита]]-21824)/(789096-21824)</f>
        <v>0.11165271246702603</v>
      </c>
      <c r="T1375" s="9">
        <f>(Таблица1[[#This Row],[Кредитный рейтинг]]-586)/(751-586)</f>
        <v>0.5757575757575758</v>
      </c>
      <c r="U1375" s="9">
        <f>Таблица1[[#This Row],[Ежемесячный платеж]]/(Таблица1[[#This Row],[Годовой доход]]/12)</f>
        <v>5.8498023715415022E-2</v>
      </c>
    </row>
    <row r="1376" spans="1:21" x14ac:dyDescent="0.3">
      <c r="A1376">
        <v>1375</v>
      </c>
      <c r="B1376">
        <v>0</v>
      </c>
      <c r="C1376" s="9">
        <v>455532</v>
      </c>
      <c r="D1376">
        <v>716</v>
      </c>
      <c r="E1376" s="1">
        <v>1121285</v>
      </c>
      <c r="F1376">
        <v>0</v>
      </c>
      <c r="G1376">
        <v>6419.34</v>
      </c>
      <c r="H1376">
        <v>14.5</v>
      </c>
      <c r="I1376">
        <v>16</v>
      </c>
      <c r="J1376">
        <v>361779</v>
      </c>
      <c r="K1376">
        <v>856680</v>
      </c>
      <c r="L1376" t="s">
        <v>41</v>
      </c>
      <c r="M1376" t="s">
        <v>1415</v>
      </c>
      <c r="N1376" t="s">
        <v>26</v>
      </c>
      <c r="O1376" t="s">
        <v>34</v>
      </c>
      <c r="P1376" t="s">
        <v>22</v>
      </c>
      <c r="Q1376" t="s">
        <v>23</v>
      </c>
      <c r="R1376" t="b">
        <f>OR(Таблица1[[#This Row],[Ежемесячный платеж]]&lt;$AC$5, Таблица1[[#This Row],[Ежемесячный платеж]]&gt;$AC$6)</f>
        <v>0</v>
      </c>
      <c r="S1376" s="9">
        <f>(Таблица1[[#This Row],[Размер кредита]]-21824)/(789096-21824)</f>
        <v>0.5652597774974194</v>
      </c>
      <c r="T1376" s="9">
        <f>(Таблица1[[#This Row],[Кредитный рейтинг]]-586)/(751-586)</f>
        <v>0.78787878787878785</v>
      </c>
      <c r="U1376" s="9">
        <f>Таблица1[[#This Row],[Ежемесячный платеж]]/(Таблица1[[#This Row],[Годовой доход]]/12)</f>
        <v>6.8699822079132417E-2</v>
      </c>
    </row>
    <row r="1377" spans="1:21" x14ac:dyDescent="0.3">
      <c r="A1377">
        <v>1376</v>
      </c>
      <c r="B1377">
        <v>0</v>
      </c>
      <c r="C1377" s="9">
        <v>204600</v>
      </c>
      <c r="D1377">
        <v>719</v>
      </c>
      <c r="E1377" s="1">
        <v>1007019</v>
      </c>
      <c r="F1377">
        <v>0</v>
      </c>
      <c r="G1377">
        <v>16028.4</v>
      </c>
      <c r="H1377">
        <v>16.100000000000001</v>
      </c>
      <c r="I1377">
        <v>13</v>
      </c>
      <c r="J1377">
        <v>347928</v>
      </c>
      <c r="K1377">
        <v>540012</v>
      </c>
      <c r="L1377" t="s">
        <v>24</v>
      </c>
      <c r="M1377" t="s">
        <v>1416</v>
      </c>
      <c r="N1377" t="s">
        <v>26</v>
      </c>
      <c r="O1377" t="s">
        <v>21</v>
      </c>
      <c r="P1377" t="s">
        <v>22</v>
      </c>
      <c r="Q1377" t="s">
        <v>36</v>
      </c>
      <c r="R1377" t="b">
        <f>OR(Таблица1[[#This Row],[Ежемесячный платеж]]&lt;$AC$5, Таблица1[[#This Row],[Ежемесячный платеж]]&gt;$AC$6)</f>
        <v>0</v>
      </c>
      <c r="S1377" s="9">
        <f>(Таблица1[[#This Row],[Размер кредита]]-21824)/(789096-21824)</f>
        <v>0.23821539167335704</v>
      </c>
      <c r="T1377" s="9">
        <f>(Таблица1[[#This Row],[Кредитный рейтинг]]-586)/(751-586)</f>
        <v>0.80606060606060603</v>
      </c>
      <c r="U1377" s="9">
        <f>Таблица1[[#This Row],[Ежемесячный платеж]]/(Таблица1[[#This Row],[Годовой доход]]/12)</f>
        <v>0.19100016980811682</v>
      </c>
    </row>
    <row r="1378" spans="1:21" x14ac:dyDescent="0.3">
      <c r="A1378">
        <v>1377</v>
      </c>
      <c r="B1378">
        <v>0</v>
      </c>
      <c r="D1378">
        <v>676</v>
      </c>
      <c r="E1378" s="1">
        <v>2042766</v>
      </c>
      <c r="F1378">
        <v>31</v>
      </c>
      <c r="G1378">
        <v>32513.94</v>
      </c>
      <c r="H1378">
        <v>24</v>
      </c>
      <c r="I1378">
        <v>20</v>
      </c>
      <c r="J1378">
        <v>856330</v>
      </c>
      <c r="K1378">
        <v>1404436</v>
      </c>
      <c r="L1378" t="s">
        <v>50</v>
      </c>
      <c r="M1378" t="s">
        <v>1417</v>
      </c>
      <c r="N1378" t="s">
        <v>26</v>
      </c>
      <c r="O1378" t="s">
        <v>34</v>
      </c>
      <c r="P1378" t="s">
        <v>31</v>
      </c>
      <c r="Q1378" t="s">
        <v>23</v>
      </c>
      <c r="R1378" t="b">
        <f>OR(Таблица1[[#This Row],[Ежемесячный платеж]]&lt;$AC$5, Таблица1[[#This Row],[Ежемесячный платеж]]&gt;$AC$6)</f>
        <v>0</v>
      </c>
      <c r="T1378" s="9">
        <f>(Таблица1[[#This Row],[Кредитный рейтинг]]-586)/(751-586)</f>
        <v>0.54545454545454541</v>
      </c>
      <c r="U1378" s="9">
        <f>Таблица1[[#This Row],[Ежемесячный платеж]]/(Таблица1[[#This Row],[Годовой доход]]/12)</f>
        <v>0.19099949773982922</v>
      </c>
    </row>
    <row r="1379" spans="1:21" x14ac:dyDescent="0.3">
      <c r="A1379">
        <v>1378</v>
      </c>
      <c r="B1379">
        <v>0</v>
      </c>
      <c r="C1379" s="9">
        <v>505912</v>
      </c>
      <c r="D1379">
        <v>747</v>
      </c>
      <c r="E1379" s="1">
        <v>1238952</v>
      </c>
      <c r="F1379">
        <v>0</v>
      </c>
      <c r="G1379">
        <v>13835.04</v>
      </c>
      <c r="H1379">
        <v>21.9</v>
      </c>
      <c r="I1379">
        <v>26</v>
      </c>
      <c r="J1379">
        <v>674785</v>
      </c>
      <c r="K1379">
        <v>1676642</v>
      </c>
      <c r="L1379" t="s">
        <v>24</v>
      </c>
      <c r="M1379" t="s">
        <v>1418</v>
      </c>
      <c r="N1379" t="s">
        <v>26</v>
      </c>
      <c r="O1379" t="s">
        <v>21</v>
      </c>
      <c r="P1379" t="s">
        <v>22</v>
      </c>
      <c r="Q1379" t="s">
        <v>23</v>
      </c>
      <c r="R1379" t="b">
        <f>OR(Таблица1[[#This Row],[Ежемесячный платеж]]&lt;$AC$5, Таблица1[[#This Row],[Ежемесячный платеж]]&gt;$AC$6)</f>
        <v>0</v>
      </c>
      <c r="S1379" s="9">
        <f>(Таблица1[[#This Row],[Размер кредита]]-21824)/(789096-21824)</f>
        <v>0.63092097717628171</v>
      </c>
      <c r="T1379" s="9">
        <f>(Таблица1[[#This Row],[Кредитный рейтинг]]-586)/(751-586)</f>
        <v>0.97575757575757571</v>
      </c>
      <c r="U1379" s="9">
        <f>Таблица1[[#This Row],[Ежемесячный платеж]]/(Таблица1[[#This Row],[Годовой доход]]/12)</f>
        <v>0.13400073610599927</v>
      </c>
    </row>
    <row r="1380" spans="1:21" x14ac:dyDescent="0.3">
      <c r="A1380">
        <v>1379</v>
      </c>
      <c r="B1380">
        <v>0</v>
      </c>
      <c r="D1380">
        <v>742</v>
      </c>
      <c r="E1380" s="1">
        <v>896990</v>
      </c>
      <c r="F1380">
        <v>0</v>
      </c>
      <c r="G1380">
        <v>14277.17</v>
      </c>
      <c r="H1380">
        <v>19.899999999999999</v>
      </c>
      <c r="I1380">
        <v>18</v>
      </c>
      <c r="J1380">
        <v>456057</v>
      </c>
      <c r="K1380">
        <v>1239568</v>
      </c>
      <c r="L1380" t="s">
        <v>32</v>
      </c>
      <c r="M1380" t="s">
        <v>1419</v>
      </c>
      <c r="N1380" t="s">
        <v>26</v>
      </c>
      <c r="O1380" t="s">
        <v>21</v>
      </c>
      <c r="P1380" t="s">
        <v>22</v>
      </c>
      <c r="Q1380" t="s">
        <v>23</v>
      </c>
      <c r="R1380" t="b">
        <f>OR(Таблица1[[#This Row],[Ежемесячный платеж]]&lt;$AC$5, Таблица1[[#This Row],[Ежемесячный платеж]]&gt;$AC$6)</f>
        <v>0</v>
      </c>
      <c r="T1380" s="9">
        <f>(Таблица1[[#This Row],[Кредитный рейтинг]]-586)/(751-586)</f>
        <v>0.94545454545454544</v>
      </c>
      <c r="U1380" s="9">
        <f>Таблица1[[#This Row],[Ежемесячный платеж]]/(Таблица1[[#This Row],[Годовой доход]]/12)</f>
        <v>0.19100105909764878</v>
      </c>
    </row>
    <row r="1381" spans="1:21" x14ac:dyDescent="0.3">
      <c r="A1381">
        <v>1380</v>
      </c>
      <c r="B1381">
        <v>1</v>
      </c>
      <c r="D1381">
        <v>720</v>
      </c>
      <c r="E1381" s="1">
        <v>2003854</v>
      </c>
      <c r="F1381">
        <v>0</v>
      </c>
      <c r="G1381">
        <v>14294.27</v>
      </c>
      <c r="H1381">
        <v>22.6</v>
      </c>
      <c r="I1381">
        <v>9</v>
      </c>
      <c r="J1381">
        <v>137446</v>
      </c>
      <c r="K1381">
        <v>254232</v>
      </c>
      <c r="L1381" t="s">
        <v>47</v>
      </c>
      <c r="M1381" t="s">
        <v>1420</v>
      </c>
      <c r="N1381" t="s">
        <v>68</v>
      </c>
      <c r="O1381" t="s">
        <v>34</v>
      </c>
      <c r="P1381" t="s">
        <v>22</v>
      </c>
      <c r="Q1381" t="s">
        <v>23</v>
      </c>
      <c r="R1381" t="b">
        <f>OR(Таблица1[[#This Row],[Ежемесячный платеж]]&lt;$AC$5, Таблица1[[#This Row],[Ежемесячный платеж]]&gt;$AC$6)</f>
        <v>0</v>
      </c>
      <c r="T1381" s="9">
        <f>(Таблица1[[#This Row],[Кредитный рейтинг]]-586)/(751-586)</f>
        <v>0.81212121212121213</v>
      </c>
      <c r="U1381" s="9">
        <f>Таблица1[[#This Row],[Ежемесячный платеж]]/(Таблица1[[#This Row],[Годовой доход]]/12)</f>
        <v>8.5600667513701101E-2</v>
      </c>
    </row>
    <row r="1382" spans="1:21" x14ac:dyDescent="0.3">
      <c r="A1382">
        <v>1381</v>
      </c>
      <c r="B1382">
        <v>0</v>
      </c>
      <c r="D1382">
        <v>726</v>
      </c>
      <c r="E1382" s="1">
        <v>1465774</v>
      </c>
      <c r="F1382">
        <v>5</v>
      </c>
      <c r="G1382">
        <v>38843.22</v>
      </c>
      <c r="H1382">
        <v>22.6</v>
      </c>
      <c r="I1382">
        <v>17</v>
      </c>
      <c r="J1382">
        <v>634847</v>
      </c>
      <c r="K1382">
        <v>1904386</v>
      </c>
      <c r="L1382" t="s">
        <v>32</v>
      </c>
      <c r="M1382" t="s">
        <v>1421</v>
      </c>
      <c r="N1382" t="s">
        <v>26</v>
      </c>
      <c r="O1382" t="s">
        <v>21</v>
      </c>
      <c r="P1382" t="s">
        <v>31</v>
      </c>
      <c r="Q1382" t="s">
        <v>23</v>
      </c>
      <c r="R1382" t="b">
        <f>OR(Таблица1[[#This Row],[Ежемесячный платеж]]&lt;$AC$5, Таблица1[[#This Row],[Ежемесячный платеж]]&gt;$AC$6)</f>
        <v>0</v>
      </c>
      <c r="T1382" s="9">
        <f>(Таблица1[[#This Row],[Кредитный рейтинг]]-586)/(751-586)</f>
        <v>0.84848484848484851</v>
      </c>
      <c r="U1382" s="9">
        <f>Таблица1[[#This Row],[Ежемесячный платеж]]/(Таблица1[[#This Row],[Годовой доход]]/12)</f>
        <v>0.31800171104140201</v>
      </c>
    </row>
    <row r="1383" spans="1:21" x14ac:dyDescent="0.3">
      <c r="A1383">
        <v>1382</v>
      </c>
      <c r="B1383">
        <v>0</v>
      </c>
      <c r="C1383" s="9">
        <v>172040</v>
      </c>
      <c r="D1383">
        <v>730</v>
      </c>
      <c r="E1383" s="1">
        <v>479275</v>
      </c>
      <c r="F1383">
        <v>0</v>
      </c>
      <c r="G1383">
        <v>7828</v>
      </c>
      <c r="H1383">
        <v>9.6999999999999993</v>
      </c>
      <c r="I1383">
        <v>12</v>
      </c>
      <c r="J1383">
        <v>219355</v>
      </c>
      <c r="K1383">
        <v>310508</v>
      </c>
      <c r="L1383" t="s">
        <v>41</v>
      </c>
      <c r="M1383" t="s">
        <v>1422</v>
      </c>
      <c r="N1383" t="s">
        <v>26</v>
      </c>
      <c r="O1383" t="s">
        <v>34</v>
      </c>
      <c r="P1383" t="s">
        <v>22</v>
      </c>
      <c r="Q1383" t="s">
        <v>23</v>
      </c>
      <c r="R1383" t="b">
        <f>OR(Таблица1[[#This Row],[Ежемесячный платеж]]&lt;$AC$5, Таблица1[[#This Row],[Ежемесячный платеж]]&gt;$AC$6)</f>
        <v>0</v>
      </c>
      <c r="S1383" s="9">
        <f>(Таблица1[[#This Row],[Размер кредита]]-21824)/(789096-21824)</f>
        <v>0.19577933249225829</v>
      </c>
      <c r="T1383" s="9">
        <f>(Таблица1[[#This Row],[Кредитный рейтинг]]-586)/(751-586)</f>
        <v>0.87272727272727268</v>
      </c>
      <c r="U1383" s="9">
        <f>Таблица1[[#This Row],[Ежемесячный платеж]]/(Таблица1[[#This Row],[Годовой доход]]/12)</f>
        <v>0.19599603567888998</v>
      </c>
    </row>
    <row r="1384" spans="1:21" x14ac:dyDescent="0.3">
      <c r="A1384">
        <v>1383</v>
      </c>
      <c r="B1384">
        <v>0</v>
      </c>
      <c r="D1384">
        <v>731</v>
      </c>
      <c r="E1384" s="1">
        <v>1688796</v>
      </c>
      <c r="F1384">
        <v>37</v>
      </c>
      <c r="G1384">
        <v>10948.94</v>
      </c>
      <c r="H1384">
        <v>9.6</v>
      </c>
      <c r="I1384">
        <v>12</v>
      </c>
      <c r="J1384">
        <v>379392</v>
      </c>
      <c r="K1384">
        <v>536382</v>
      </c>
      <c r="L1384" t="s">
        <v>47</v>
      </c>
      <c r="M1384" t="s">
        <v>1423</v>
      </c>
      <c r="N1384" t="s">
        <v>26</v>
      </c>
      <c r="O1384" t="s">
        <v>34</v>
      </c>
      <c r="P1384" t="s">
        <v>22</v>
      </c>
      <c r="Q1384" t="s">
        <v>23</v>
      </c>
      <c r="R1384" t="b">
        <f>OR(Таблица1[[#This Row],[Ежемесячный платеж]]&lt;$AC$5, Таблица1[[#This Row],[Ежемесячный платеж]]&gt;$AC$6)</f>
        <v>0</v>
      </c>
      <c r="T1384" s="9">
        <f>(Таблица1[[#This Row],[Кредитный рейтинг]]-586)/(751-586)</f>
        <v>0.87878787878787878</v>
      </c>
      <c r="U1384" s="9">
        <f>Таблица1[[#This Row],[Ежемесячный платеж]]/(Таблица1[[#This Row],[Годовой доход]]/12)</f>
        <v>7.779937896584313E-2</v>
      </c>
    </row>
    <row r="1385" spans="1:21" x14ac:dyDescent="0.3">
      <c r="A1385">
        <v>1384</v>
      </c>
      <c r="B1385">
        <v>0</v>
      </c>
      <c r="D1385">
        <v>745</v>
      </c>
      <c r="E1385" s="1">
        <v>1435127</v>
      </c>
      <c r="F1385">
        <v>45</v>
      </c>
      <c r="G1385">
        <v>30017.91</v>
      </c>
      <c r="H1385">
        <v>17.5</v>
      </c>
      <c r="I1385">
        <v>12</v>
      </c>
      <c r="J1385">
        <v>162070</v>
      </c>
      <c r="K1385">
        <v>461098</v>
      </c>
      <c r="L1385" t="s">
        <v>24</v>
      </c>
      <c r="M1385" t="s">
        <v>1424</v>
      </c>
      <c r="N1385" t="s">
        <v>68</v>
      </c>
      <c r="O1385" t="s">
        <v>21</v>
      </c>
      <c r="P1385" t="s">
        <v>22</v>
      </c>
      <c r="Q1385" t="s">
        <v>23</v>
      </c>
      <c r="R1385" t="b">
        <f>OR(Таблица1[[#This Row],[Ежемесячный платеж]]&lt;$AC$5, Таблица1[[#This Row],[Ежемесячный платеж]]&gt;$AC$6)</f>
        <v>0</v>
      </c>
      <c r="T1385" s="9">
        <f>(Таблица1[[#This Row],[Кредитный рейтинг]]-586)/(751-586)</f>
        <v>0.96363636363636362</v>
      </c>
      <c r="U1385" s="9">
        <f>Таблица1[[#This Row],[Ежемесячный платеж]]/(Таблица1[[#This Row],[Годовой доход]]/12)</f>
        <v>0.25099863635761849</v>
      </c>
    </row>
    <row r="1386" spans="1:21" x14ac:dyDescent="0.3">
      <c r="A1386">
        <v>1385</v>
      </c>
      <c r="B1386">
        <v>2</v>
      </c>
      <c r="D1386">
        <v>651</v>
      </c>
      <c r="E1386" s="1">
        <v>3244535</v>
      </c>
      <c r="F1386">
        <v>0</v>
      </c>
      <c r="G1386">
        <v>15925.23</v>
      </c>
      <c r="H1386">
        <v>7.4</v>
      </c>
      <c r="I1386">
        <v>6</v>
      </c>
      <c r="J1386">
        <v>40622</v>
      </c>
      <c r="K1386">
        <v>199276</v>
      </c>
      <c r="L1386" t="s">
        <v>18</v>
      </c>
      <c r="M1386" t="s">
        <v>1425</v>
      </c>
      <c r="N1386" t="s">
        <v>71</v>
      </c>
      <c r="O1386" t="s">
        <v>21</v>
      </c>
      <c r="P1386" t="s">
        <v>22</v>
      </c>
      <c r="Q1386" t="s">
        <v>23</v>
      </c>
      <c r="R1386" t="b">
        <f>OR(Таблица1[[#This Row],[Ежемесячный платеж]]&lt;$AC$5, Таблица1[[#This Row],[Ежемесячный платеж]]&gt;$AC$6)</f>
        <v>0</v>
      </c>
      <c r="T1386" s="9">
        <f>(Таблица1[[#This Row],[Кредитный рейтинг]]-586)/(751-586)</f>
        <v>0.39393939393939392</v>
      </c>
      <c r="U1386" s="9">
        <f>Таблица1[[#This Row],[Ежемесячный платеж]]/(Таблица1[[#This Row],[Годовой доход]]/12)</f>
        <v>5.8899891663982663E-2</v>
      </c>
    </row>
    <row r="1387" spans="1:21" x14ac:dyDescent="0.3">
      <c r="A1387">
        <v>1386</v>
      </c>
      <c r="B1387">
        <v>1</v>
      </c>
      <c r="C1387" s="9">
        <v>780560</v>
      </c>
      <c r="D1387">
        <v>614</v>
      </c>
      <c r="E1387" s="1">
        <v>1637135</v>
      </c>
      <c r="F1387">
        <v>30</v>
      </c>
      <c r="G1387">
        <v>43383.839999999997</v>
      </c>
      <c r="H1387">
        <v>25.7</v>
      </c>
      <c r="I1387">
        <v>10</v>
      </c>
      <c r="J1387">
        <v>265354</v>
      </c>
      <c r="K1387">
        <v>618200</v>
      </c>
      <c r="L1387" t="s">
        <v>32</v>
      </c>
      <c r="M1387" t="s">
        <v>1426</v>
      </c>
      <c r="N1387" t="s">
        <v>20</v>
      </c>
      <c r="O1387" t="s">
        <v>28</v>
      </c>
      <c r="P1387" t="s">
        <v>31</v>
      </c>
      <c r="Q1387" t="s">
        <v>36</v>
      </c>
      <c r="R1387" t="b">
        <f>OR(Таблица1[[#This Row],[Ежемесячный платеж]]&lt;$AC$5, Таблица1[[#This Row],[Ежемесячный платеж]]&gt;$AC$6)</f>
        <v>0</v>
      </c>
      <c r="S1387" s="9">
        <f>(Таблица1[[#This Row],[Размер кредита]]-21824)/(789096-21824)</f>
        <v>0.98887487097144167</v>
      </c>
      <c r="T1387" s="9">
        <f>(Таблица1[[#This Row],[Кредитный рейтинг]]-586)/(751-586)</f>
        <v>0.16969696969696971</v>
      </c>
      <c r="U1387" s="9">
        <f>Таблица1[[#This Row],[Ежемесячный платеж]]/(Таблица1[[#This Row],[Годовой доход]]/12)</f>
        <v>0.3179982591539488</v>
      </c>
    </row>
    <row r="1388" spans="1:21" x14ac:dyDescent="0.3">
      <c r="A1388">
        <v>1387</v>
      </c>
      <c r="B1388">
        <v>0</v>
      </c>
      <c r="C1388" s="9">
        <v>441452</v>
      </c>
      <c r="D1388">
        <v>720</v>
      </c>
      <c r="E1388" s="1">
        <v>869288</v>
      </c>
      <c r="F1388">
        <v>0</v>
      </c>
      <c r="G1388">
        <v>20717.79</v>
      </c>
      <c r="H1388">
        <v>15.6</v>
      </c>
      <c r="I1388">
        <v>9</v>
      </c>
      <c r="J1388">
        <v>301169</v>
      </c>
      <c r="K1388">
        <v>345620</v>
      </c>
      <c r="L1388" t="s">
        <v>41</v>
      </c>
      <c r="M1388" t="s">
        <v>1427</v>
      </c>
      <c r="N1388" t="s">
        <v>26</v>
      </c>
      <c r="O1388" t="s">
        <v>34</v>
      </c>
      <c r="P1388" t="s">
        <v>22</v>
      </c>
      <c r="Q1388" t="s">
        <v>23</v>
      </c>
      <c r="R1388" t="b">
        <f>OR(Таблица1[[#This Row],[Ежемесячный платеж]]&lt;$AC$5, Таблица1[[#This Row],[Ежемесячный платеж]]&gt;$AC$6)</f>
        <v>0</v>
      </c>
      <c r="S1388" s="9">
        <f>(Таблица1[[#This Row],[Размер кредита]]-21824)/(789096-21824)</f>
        <v>0.54690904920289019</v>
      </c>
      <c r="T1388" s="9">
        <f>(Таблица1[[#This Row],[Кредитный рейтинг]]-586)/(751-586)</f>
        <v>0.81212121212121213</v>
      </c>
      <c r="U1388" s="9">
        <f>Таблица1[[#This Row],[Ежемесячный платеж]]/(Таблица1[[#This Row],[Годовой доход]]/12)</f>
        <v>0.28599667774086379</v>
      </c>
    </row>
    <row r="1389" spans="1:21" x14ac:dyDescent="0.3">
      <c r="A1389">
        <v>1388</v>
      </c>
      <c r="B1389">
        <v>1</v>
      </c>
      <c r="C1389" s="9">
        <v>111078</v>
      </c>
      <c r="D1389">
        <v>745</v>
      </c>
      <c r="E1389" s="1">
        <v>1841879</v>
      </c>
      <c r="F1389">
        <v>0</v>
      </c>
      <c r="G1389">
        <v>9454.9699999999993</v>
      </c>
      <c r="H1389">
        <v>24.4</v>
      </c>
      <c r="I1389">
        <v>16</v>
      </c>
      <c r="J1389">
        <v>526870</v>
      </c>
      <c r="K1389">
        <v>1289772</v>
      </c>
      <c r="L1389" t="s">
        <v>37</v>
      </c>
      <c r="M1389" t="s">
        <v>1428</v>
      </c>
      <c r="N1389" t="s">
        <v>26</v>
      </c>
      <c r="O1389" t="s">
        <v>28</v>
      </c>
      <c r="P1389" t="s">
        <v>22</v>
      </c>
      <c r="Q1389" t="s">
        <v>23</v>
      </c>
      <c r="R1389" t="b">
        <f>OR(Таблица1[[#This Row],[Ежемесячный платеж]]&lt;$AC$5, Таблица1[[#This Row],[Ежемесячный платеж]]&gt;$AC$6)</f>
        <v>0</v>
      </c>
      <c r="S1389" s="9">
        <f>(Таблица1[[#This Row],[Размер кредита]]-21824)/(789096-21824)</f>
        <v>0.11632641357953893</v>
      </c>
      <c r="T1389" s="9">
        <f>(Таблица1[[#This Row],[Кредитный рейтинг]]-586)/(751-586)</f>
        <v>0.96363636363636362</v>
      </c>
      <c r="U1389" s="9">
        <f>Таблица1[[#This Row],[Ежемесячный платеж]]/(Таблица1[[#This Row],[Годовой доход]]/12)</f>
        <v>6.1599942232904548E-2</v>
      </c>
    </row>
    <row r="1390" spans="1:21" x14ac:dyDescent="0.3">
      <c r="A1390">
        <v>1389</v>
      </c>
      <c r="B1390">
        <v>0</v>
      </c>
      <c r="C1390" s="9">
        <v>444840</v>
      </c>
      <c r="D1390">
        <v>728</v>
      </c>
      <c r="E1390" s="1">
        <v>916275</v>
      </c>
      <c r="F1390">
        <v>0</v>
      </c>
      <c r="G1390">
        <v>10995.3</v>
      </c>
      <c r="H1390">
        <v>7.8</v>
      </c>
      <c r="I1390">
        <v>8</v>
      </c>
      <c r="J1390">
        <v>354692</v>
      </c>
      <c r="K1390">
        <v>613910</v>
      </c>
      <c r="L1390" t="s">
        <v>32</v>
      </c>
      <c r="M1390" t="s">
        <v>1429</v>
      </c>
      <c r="N1390" t="s">
        <v>26</v>
      </c>
      <c r="O1390" t="s">
        <v>21</v>
      </c>
      <c r="P1390" t="s">
        <v>31</v>
      </c>
      <c r="Q1390" t="s">
        <v>23</v>
      </c>
      <c r="R1390" t="b">
        <f>OR(Таблица1[[#This Row],[Ежемесячный платеж]]&lt;$AC$5, Таблица1[[#This Row],[Ежемесячный платеж]]&gt;$AC$6)</f>
        <v>0</v>
      </c>
      <c r="S1390" s="9">
        <f>(Таблица1[[#This Row],[Размер кредита]]-21824)/(789096-21824)</f>
        <v>0.55132469319876132</v>
      </c>
      <c r="T1390" s="9">
        <f>(Таблица1[[#This Row],[Кредитный рейтинг]]-586)/(751-586)</f>
        <v>0.8606060606060606</v>
      </c>
      <c r="U1390" s="9">
        <f>Таблица1[[#This Row],[Ежемесячный платеж]]/(Таблица1[[#This Row],[Годовой доход]]/12)</f>
        <v>0.14399999999999999</v>
      </c>
    </row>
    <row r="1391" spans="1:21" x14ac:dyDescent="0.3">
      <c r="A1391">
        <v>1390</v>
      </c>
      <c r="B1391">
        <v>0</v>
      </c>
      <c r="C1391" s="9">
        <v>178178</v>
      </c>
      <c r="D1391">
        <v>747</v>
      </c>
      <c r="E1391" s="1">
        <v>827127</v>
      </c>
      <c r="F1391">
        <v>34</v>
      </c>
      <c r="G1391">
        <v>4446</v>
      </c>
      <c r="H1391">
        <v>39.6</v>
      </c>
      <c r="I1391">
        <v>12</v>
      </c>
      <c r="J1391">
        <v>86070</v>
      </c>
      <c r="K1391">
        <v>324676</v>
      </c>
      <c r="L1391" t="s">
        <v>24</v>
      </c>
      <c r="M1391" t="s">
        <v>1430</v>
      </c>
      <c r="N1391" t="s">
        <v>26</v>
      </c>
      <c r="O1391" t="s">
        <v>21</v>
      </c>
      <c r="P1391" t="s">
        <v>22</v>
      </c>
      <c r="Q1391" t="s">
        <v>23</v>
      </c>
      <c r="R1391" t="b">
        <f>OR(Таблица1[[#This Row],[Ежемесячный платеж]]&lt;$AC$5, Таблица1[[#This Row],[Ежемесячный платеж]]&gt;$AC$6)</f>
        <v>0</v>
      </c>
      <c r="S1391" s="9">
        <f>(Таблица1[[#This Row],[Размер кредита]]-21824)/(789096-21824)</f>
        <v>0.20377910310815461</v>
      </c>
      <c r="T1391" s="9">
        <f>(Таблица1[[#This Row],[Кредитный рейтинг]]-586)/(751-586)</f>
        <v>0.97575757575757571</v>
      </c>
      <c r="U1391" s="9">
        <f>Таблица1[[#This Row],[Ежемесячный платеж]]/(Таблица1[[#This Row],[Годовой доход]]/12)</f>
        <v>6.4502790986148445E-2</v>
      </c>
    </row>
    <row r="1392" spans="1:21" x14ac:dyDescent="0.3">
      <c r="A1392">
        <v>1391</v>
      </c>
      <c r="B1392">
        <v>0</v>
      </c>
      <c r="C1392" s="9">
        <v>371272</v>
      </c>
      <c r="D1392">
        <v>681</v>
      </c>
      <c r="E1392" s="1">
        <v>890929</v>
      </c>
      <c r="F1392">
        <v>0</v>
      </c>
      <c r="G1392">
        <v>18858.07</v>
      </c>
      <c r="H1392">
        <v>9.9</v>
      </c>
      <c r="I1392">
        <v>7</v>
      </c>
      <c r="J1392">
        <v>356307</v>
      </c>
      <c r="K1392">
        <v>541420</v>
      </c>
      <c r="L1392" t="s">
        <v>29</v>
      </c>
      <c r="M1392" t="s">
        <v>1431</v>
      </c>
      <c r="N1392" t="s">
        <v>26</v>
      </c>
      <c r="O1392" t="s">
        <v>34</v>
      </c>
      <c r="P1392" t="s">
        <v>31</v>
      </c>
      <c r="Q1392" t="s">
        <v>23</v>
      </c>
      <c r="R1392" t="b">
        <f>OR(Таблица1[[#This Row],[Ежемесячный платеж]]&lt;$AC$5, Таблица1[[#This Row],[Ежемесячный платеж]]&gt;$AC$6)</f>
        <v>0</v>
      </c>
      <c r="S1392" s="9">
        <f>(Таблица1[[#This Row],[Размер кредита]]-21824)/(789096-21824)</f>
        <v>0.45544213785984633</v>
      </c>
      <c r="T1392" s="9">
        <f>(Таблица1[[#This Row],[Кредитный рейтинг]]-586)/(751-586)</f>
        <v>0.5757575757575758</v>
      </c>
      <c r="U1392" s="9">
        <f>Таблица1[[#This Row],[Ежемесячный платеж]]/(Таблица1[[#This Row],[Годовой доход]]/12)</f>
        <v>0.25400098099848584</v>
      </c>
    </row>
    <row r="1393" spans="1:21" x14ac:dyDescent="0.3">
      <c r="A1393">
        <v>1392</v>
      </c>
      <c r="B1393">
        <v>0</v>
      </c>
      <c r="C1393" s="9">
        <v>432168</v>
      </c>
      <c r="D1393">
        <v>693</v>
      </c>
      <c r="E1393" s="1">
        <v>1404632</v>
      </c>
      <c r="F1393">
        <v>17</v>
      </c>
      <c r="G1393">
        <v>24229.94</v>
      </c>
      <c r="H1393">
        <v>12.3</v>
      </c>
      <c r="I1393">
        <v>15</v>
      </c>
      <c r="J1393">
        <v>308047</v>
      </c>
      <c r="K1393">
        <v>457886</v>
      </c>
      <c r="L1393" t="s">
        <v>50</v>
      </c>
      <c r="M1393" t="s">
        <v>1432</v>
      </c>
      <c r="N1393" t="s">
        <v>26</v>
      </c>
      <c r="O1393" t="s">
        <v>34</v>
      </c>
      <c r="P1393" t="s">
        <v>31</v>
      </c>
      <c r="Q1393" t="s">
        <v>36</v>
      </c>
      <c r="R1393" t="b">
        <f>OR(Таблица1[[#This Row],[Ежемесячный платеж]]&lt;$AC$5, Таблица1[[#This Row],[Ежемесячный платеж]]&gt;$AC$6)</f>
        <v>0</v>
      </c>
      <c r="S1393" s="9">
        <f>(Таблица1[[#This Row],[Размер кредита]]-21824)/(789096-21824)</f>
        <v>0.53480903773368504</v>
      </c>
      <c r="T1393" s="9">
        <f>(Таблица1[[#This Row],[Кредитный рейтинг]]-586)/(751-586)</f>
        <v>0.64848484848484844</v>
      </c>
      <c r="U1393" s="9">
        <f>Таблица1[[#This Row],[Ежемесячный платеж]]/(Таблица1[[#This Row],[Годовой доход]]/12)</f>
        <v>0.20700032464019044</v>
      </c>
    </row>
    <row r="1394" spans="1:21" x14ac:dyDescent="0.3">
      <c r="A1394">
        <v>1393</v>
      </c>
      <c r="B1394">
        <v>0</v>
      </c>
      <c r="C1394" s="9">
        <v>268708</v>
      </c>
      <c r="D1394">
        <v>730</v>
      </c>
      <c r="E1394" s="1">
        <v>870219</v>
      </c>
      <c r="F1394">
        <v>0</v>
      </c>
      <c r="G1394">
        <v>16454.57</v>
      </c>
      <c r="H1394">
        <v>23.3</v>
      </c>
      <c r="I1394">
        <v>5</v>
      </c>
      <c r="J1394">
        <v>169195</v>
      </c>
      <c r="K1394">
        <v>201542</v>
      </c>
      <c r="L1394" t="s">
        <v>32</v>
      </c>
      <c r="M1394" t="s">
        <v>1433</v>
      </c>
      <c r="N1394" t="s">
        <v>26</v>
      </c>
      <c r="O1394" t="s">
        <v>34</v>
      </c>
      <c r="P1394" t="s">
        <v>31</v>
      </c>
      <c r="Q1394" t="s">
        <v>36</v>
      </c>
      <c r="R1394" t="b">
        <f>OR(Таблица1[[#This Row],[Ежемесячный платеж]]&lt;$AC$5, Таблица1[[#This Row],[Ежемесячный платеж]]&gt;$AC$6)</f>
        <v>0</v>
      </c>
      <c r="S1394" s="9">
        <f>(Таблица1[[#This Row],[Размер кредита]]-21824)/(789096-21824)</f>
        <v>0.32176855143938526</v>
      </c>
      <c r="T1394" s="9">
        <f>(Таблица1[[#This Row],[Кредитный рейтинг]]-586)/(751-586)</f>
        <v>0.87272727272727268</v>
      </c>
      <c r="U1394" s="9">
        <f>Таблица1[[#This Row],[Ежемесячный платеж]]/(Таблица1[[#This Row],[Годовой доход]]/12)</f>
        <v>0.22690246937839784</v>
      </c>
    </row>
    <row r="1395" spans="1:21" x14ac:dyDescent="0.3">
      <c r="A1395">
        <v>1394</v>
      </c>
      <c r="B1395">
        <v>0</v>
      </c>
      <c r="D1395">
        <v>713</v>
      </c>
      <c r="E1395" s="1">
        <v>2239416</v>
      </c>
      <c r="F1395">
        <v>0</v>
      </c>
      <c r="G1395">
        <v>44228.2</v>
      </c>
      <c r="H1395">
        <v>17.3</v>
      </c>
      <c r="I1395">
        <v>17</v>
      </c>
      <c r="J1395">
        <v>632263</v>
      </c>
      <c r="K1395">
        <v>1247180</v>
      </c>
      <c r="L1395" t="s">
        <v>24</v>
      </c>
      <c r="M1395" t="s">
        <v>1434</v>
      </c>
      <c r="N1395" t="s">
        <v>26</v>
      </c>
      <c r="O1395" t="s">
        <v>21</v>
      </c>
      <c r="P1395" t="s">
        <v>31</v>
      </c>
      <c r="Q1395" t="s">
        <v>23</v>
      </c>
      <c r="R1395" t="b">
        <f>OR(Таблица1[[#This Row],[Ежемесячный платеж]]&lt;$AC$5, Таблица1[[#This Row],[Ежемесячный платеж]]&gt;$AC$6)</f>
        <v>1</v>
      </c>
      <c r="T1395" s="9">
        <f>(Таблица1[[#This Row],[Кредитный рейтинг]]-586)/(751-586)</f>
        <v>0.76969696969696966</v>
      </c>
      <c r="U1395" s="9">
        <f>Таблица1[[#This Row],[Ежемесячный платеж]]/(Таблица1[[#This Row],[Годовой доход]]/12)</f>
        <v>0.23699857462838525</v>
      </c>
    </row>
    <row r="1396" spans="1:21" x14ac:dyDescent="0.3">
      <c r="A1396">
        <v>1395</v>
      </c>
      <c r="B1396">
        <v>0</v>
      </c>
      <c r="C1396" s="9">
        <v>215886</v>
      </c>
      <c r="D1396">
        <v>707</v>
      </c>
      <c r="E1396" s="1">
        <v>783085</v>
      </c>
      <c r="F1396">
        <v>0</v>
      </c>
      <c r="G1396">
        <v>8809.5400000000009</v>
      </c>
      <c r="H1396">
        <v>11</v>
      </c>
      <c r="I1396">
        <v>11</v>
      </c>
      <c r="J1396">
        <v>179949</v>
      </c>
      <c r="K1396">
        <v>304612</v>
      </c>
      <c r="L1396" t="s">
        <v>41</v>
      </c>
      <c r="M1396" t="s">
        <v>1435</v>
      </c>
      <c r="N1396" t="s">
        <v>26</v>
      </c>
      <c r="O1396" t="s">
        <v>34</v>
      </c>
      <c r="P1396" t="s">
        <v>22</v>
      </c>
      <c r="Q1396" t="s">
        <v>23</v>
      </c>
      <c r="R1396" t="b">
        <f>OR(Таблица1[[#This Row],[Ежемесячный платеж]]&lt;$AC$5, Таблица1[[#This Row],[Ежемесячный платеж]]&gt;$AC$6)</f>
        <v>0</v>
      </c>
      <c r="S1396" s="9">
        <f>(Таблица1[[#This Row],[Размер кредита]]-21824)/(789096-21824)</f>
        <v>0.25292464732194059</v>
      </c>
      <c r="T1396" s="9">
        <f>(Таблица1[[#This Row],[Кредитный рейтинг]]-586)/(751-586)</f>
        <v>0.73333333333333328</v>
      </c>
      <c r="U1396" s="9">
        <f>Таблица1[[#This Row],[Ежемесячный платеж]]/(Таблица1[[#This Row],[Годовой доход]]/12)</f>
        <v>0.13499745238384084</v>
      </c>
    </row>
    <row r="1397" spans="1:21" x14ac:dyDescent="0.3">
      <c r="A1397">
        <v>1396</v>
      </c>
      <c r="B1397">
        <v>0</v>
      </c>
      <c r="C1397" s="9">
        <v>544940</v>
      </c>
      <c r="D1397">
        <v>708</v>
      </c>
      <c r="E1397" s="1">
        <v>1780870</v>
      </c>
      <c r="F1397">
        <v>0</v>
      </c>
      <c r="G1397">
        <v>16398.900000000001</v>
      </c>
      <c r="H1397">
        <v>17.399999999999999</v>
      </c>
      <c r="I1397">
        <v>10</v>
      </c>
      <c r="J1397">
        <v>429229</v>
      </c>
      <c r="K1397">
        <v>1453254</v>
      </c>
      <c r="L1397" t="s">
        <v>29</v>
      </c>
      <c r="M1397" t="s">
        <v>1436</v>
      </c>
      <c r="N1397" t="s">
        <v>71</v>
      </c>
      <c r="O1397" t="s">
        <v>21</v>
      </c>
      <c r="P1397" t="s">
        <v>31</v>
      </c>
      <c r="Q1397" t="s">
        <v>23</v>
      </c>
      <c r="R1397" t="b">
        <f>OR(Таблица1[[#This Row],[Ежемесячный платеж]]&lt;$AC$5, Таблица1[[#This Row],[Ежемесячный платеж]]&gt;$AC$6)</f>
        <v>0</v>
      </c>
      <c r="S1397" s="9">
        <f>(Таблица1[[#This Row],[Размер кредита]]-21824)/(789096-21824)</f>
        <v>0.68178690216767979</v>
      </c>
      <c r="T1397" s="9">
        <f>(Таблица1[[#This Row],[Кредитный рейтинг]]-586)/(751-586)</f>
        <v>0.73939393939393938</v>
      </c>
      <c r="U1397" s="9">
        <f>Таблица1[[#This Row],[Ежемесячный платеж]]/(Таблица1[[#This Row],[Годовой доход]]/12)</f>
        <v>0.11050037341299478</v>
      </c>
    </row>
    <row r="1398" spans="1:21" x14ac:dyDescent="0.3">
      <c r="A1398">
        <v>1397</v>
      </c>
      <c r="B1398">
        <v>0</v>
      </c>
      <c r="D1398">
        <v>747</v>
      </c>
      <c r="E1398" s="1">
        <v>2071817</v>
      </c>
      <c r="F1398">
        <v>36</v>
      </c>
      <c r="G1398">
        <v>19164.349999999999</v>
      </c>
      <c r="H1398">
        <v>25.9</v>
      </c>
      <c r="I1398">
        <v>12</v>
      </c>
      <c r="J1398">
        <v>503538</v>
      </c>
      <c r="K1398">
        <v>1154560</v>
      </c>
      <c r="L1398" t="s">
        <v>52</v>
      </c>
      <c r="M1398" t="s">
        <v>1437</v>
      </c>
      <c r="N1398" t="s">
        <v>76</v>
      </c>
      <c r="O1398" t="s">
        <v>21</v>
      </c>
      <c r="P1398" t="s">
        <v>22</v>
      </c>
      <c r="Q1398" t="s">
        <v>23</v>
      </c>
      <c r="R1398" t="b">
        <f>OR(Таблица1[[#This Row],[Ежемесячный платеж]]&lt;$AC$5, Таблица1[[#This Row],[Ежемесячный платеж]]&gt;$AC$6)</f>
        <v>0</v>
      </c>
      <c r="T1398" s="9">
        <f>(Таблица1[[#This Row],[Кредитный рейтинг]]-586)/(751-586)</f>
        <v>0.97575757575757571</v>
      </c>
      <c r="U1398" s="9">
        <f>Таблица1[[#This Row],[Ежемесячный платеж]]/(Таблица1[[#This Row],[Годовой доход]]/12)</f>
        <v>0.1110002476087415</v>
      </c>
    </row>
    <row r="1399" spans="1:21" x14ac:dyDescent="0.3">
      <c r="A1399">
        <v>1398</v>
      </c>
      <c r="B1399">
        <v>0</v>
      </c>
      <c r="C1399" s="9">
        <v>789096</v>
      </c>
      <c r="D1399">
        <v>681</v>
      </c>
      <c r="E1399" s="1">
        <v>2433900</v>
      </c>
      <c r="F1399">
        <v>0</v>
      </c>
      <c r="G1399">
        <v>39956.43</v>
      </c>
      <c r="H1399">
        <v>28.1</v>
      </c>
      <c r="I1399">
        <v>17</v>
      </c>
      <c r="J1399">
        <v>2191726</v>
      </c>
      <c r="K1399">
        <v>2589576</v>
      </c>
      <c r="L1399" t="s">
        <v>69</v>
      </c>
      <c r="M1399" t="s">
        <v>1438</v>
      </c>
      <c r="N1399" t="s">
        <v>26</v>
      </c>
      <c r="O1399" t="s">
        <v>21</v>
      </c>
      <c r="P1399" t="s">
        <v>31</v>
      </c>
      <c r="Q1399" t="s">
        <v>23</v>
      </c>
      <c r="R1399" t="b">
        <f>OR(Таблица1[[#This Row],[Ежемесячный платеж]]&lt;$AC$5, Таблица1[[#This Row],[Ежемесячный платеж]]&gt;$AC$6)</f>
        <v>0</v>
      </c>
      <c r="S1399" s="9">
        <f>(Таблица1[[#This Row],[Размер кредита]]-21824)/(789096-21824)</f>
        <v>1</v>
      </c>
      <c r="T1399" s="9">
        <f>(Таблица1[[#This Row],[Кредитный рейтинг]]-586)/(751-586)</f>
        <v>0.5757575757575758</v>
      </c>
      <c r="U1399" s="9">
        <f>Таблица1[[#This Row],[Ежемесячный платеж]]/(Таблица1[[#This Row],[Годовой доход]]/12)</f>
        <v>0.19699953161592507</v>
      </c>
    </row>
    <row r="1400" spans="1:21" x14ac:dyDescent="0.3">
      <c r="A1400">
        <v>1399</v>
      </c>
      <c r="B1400">
        <v>0</v>
      </c>
      <c r="C1400" s="9">
        <v>444444</v>
      </c>
      <c r="D1400">
        <v>704</v>
      </c>
      <c r="E1400" s="1">
        <v>1458592</v>
      </c>
      <c r="F1400">
        <v>0</v>
      </c>
      <c r="G1400">
        <v>25768.37</v>
      </c>
      <c r="H1400">
        <v>22.5</v>
      </c>
      <c r="I1400">
        <v>24</v>
      </c>
      <c r="J1400">
        <v>616113</v>
      </c>
      <c r="K1400">
        <v>1017698</v>
      </c>
      <c r="L1400" t="s">
        <v>24</v>
      </c>
      <c r="M1400" t="s">
        <v>1439</v>
      </c>
      <c r="N1400" t="s">
        <v>26</v>
      </c>
      <c r="O1400" t="s">
        <v>34</v>
      </c>
      <c r="P1400" t="s">
        <v>22</v>
      </c>
      <c r="Q1400" t="s">
        <v>23</v>
      </c>
      <c r="R1400" t="b">
        <f>OR(Таблица1[[#This Row],[Ежемесячный платеж]]&lt;$AC$5, Таблица1[[#This Row],[Ежемесячный платеж]]&gt;$AC$6)</f>
        <v>0</v>
      </c>
      <c r="S1400" s="9">
        <f>(Таблица1[[#This Row],[Размер кредита]]-21824)/(789096-21824)</f>
        <v>0.55080857896547775</v>
      </c>
      <c r="T1400" s="9">
        <f>(Таблица1[[#This Row],[Кредитный рейтинг]]-586)/(751-586)</f>
        <v>0.7151515151515152</v>
      </c>
      <c r="U1400" s="9">
        <f>Таблица1[[#This Row],[Ежемесячный платеж]]/(Таблица1[[#This Row],[Годовой доход]]/12)</f>
        <v>0.21199927052938725</v>
      </c>
    </row>
    <row r="1401" spans="1:21" x14ac:dyDescent="0.3">
      <c r="A1401">
        <v>1400</v>
      </c>
      <c r="B1401">
        <v>0</v>
      </c>
      <c r="C1401" s="9">
        <v>536976</v>
      </c>
      <c r="D1401">
        <v>668</v>
      </c>
      <c r="E1401" s="1">
        <v>1780775</v>
      </c>
      <c r="F1401">
        <v>39</v>
      </c>
      <c r="G1401">
        <v>27453.48</v>
      </c>
      <c r="H1401">
        <v>38.799999999999997</v>
      </c>
      <c r="I1401">
        <v>11</v>
      </c>
      <c r="J1401">
        <v>732754</v>
      </c>
      <c r="K1401">
        <v>968550</v>
      </c>
      <c r="L1401" t="s">
        <v>24</v>
      </c>
      <c r="M1401" t="s">
        <v>1440</v>
      </c>
      <c r="N1401" t="s">
        <v>26</v>
      </c>
      <c r="O1401" t="s">
        <v>34</v>
      </c>
      <c r="P1401" t="s">
        <v>22</v>
      </c>
      <c r="Q1401" t="s">
        <v>23</v>
      </c>
      <c r="R1401" t="b">
        <f>OR(Таблица1[[#This Row],[Ежемесячный платеж]]&lt;$AC$5, Таблица1[[#This Row],[Ежемесячный платеж]]&gt;$AC$6)</f>
        <v>0</v>
      </c>
      <c r="S1401" s="9">
        <f>(Таблица1[[#This Row],[Размер кредита]]-21824)/(789096-21824)</f>
        <v>0.6714072714760867</v>
      </c>
      <c r="T1401" s="9">
        <f>(Таблица1[[#This Row],[Кредитный рейтинг]]-586)/(751-586)</f>
        <v>0.49696969696969695</v>
      </c>
      <c r="U1401" s="9">
        <f>Таблица1[[#This Row],[Ежемесячный платеж]]/(Таблица1[[#This Row],[Годовой доход]]/12)</f>
        <v>0.18499909309149107</v>
      </c>
    </row>
    <row r="1402" spans="1:21" x14ac:dyDescent="0.3">
      <c r="A1402">
        <v>1401</v>
      </c>
      <c r="B1402">
        <v>0</v>
      </c>
      <c r="C1402" s="9">
        <v>223080</v>
      </c>
      <c r="D1402">
        <v>721</v>
      </c>
      <c r="E1402" s="1">
        <v>2022930</v>
      </c>
      <c r="F1402">
        <v>0</v>
      </c>
      <c r="G1402">
        <v>14379.77</v>
      </c>
      <c r="H1402">
        <v>8.5</v>
      </c>
      <c r="I1402">
        <v>7</v>
      </c>
      <c r="J1402">
        <v>100852</v>
      </c>
      <c r="K1402">
        <v>269698</v>
      </c>
      <c r="L1402" t="s">
        <v>24</v>
      </c>
      <c r="M1402" t="s">
        <v>1441</v>
      </c>
      <c r="N1402" t="s">
        <v>26</v>
      </c>
      <c r="O1402" t="s">
        <v>34</v>
      </c>
      <c r="P1402" t="s">
        <v>22</v>
      </c>
      <c r="Q1402" t="s">
        <v>23</v>
      </c>
      <c r="R1402" t="b">
        <f>OR(Таблица1[[#This Row],[Ежемесячный платеж]]&lt;$AC$5, Таблица1[[#This Row],[Ежемесячный платеж]]&gt;$AC$6)</f>
        <v>0</v>
      </c>
      <c r="S1402" s="9">
        <f>(Таблица1[[#This Row],[Размер кредита]]-21824)/(789096-21824)</f>
        <v>0.26230072255992659</v>
      </c>
      <c r="T1402" s="9">
        <f>(Таблица1[[#This Row],[Кредитный рейтинг]]-586)/(751-586)</f>
        <v>0.81818181818181823</v>
      </c>
      <c r="U1402" s="9">
        <f>Таблица1[[#This Row],[Ежемесячный платеж]]/(Таблица1[[#This Row],[Годовой доход]]/12)</f>
        <v>8.5300648069878846E-2</v>
      </c>
    </row>
    <row r="1403" spans="1:21" x14ac:dyDescent="0.3">
      <c r="A1403">
        <v>1402</v>
      </c>
      <c r="B1403">
        <v>0</v>
      </c>
      <c r="C1403" s="9">
        <v>329780</v>
      </c>
      <c r="D1403">
        <v>679</v>
      </c>
      <c r="E1403" s="1">
        <v>918194</v>
      </c>
      <c r="F1403">
        <v>0</v>
      </c>
      <c r="G1403">
        <v>7957.77</v>
      </c>
      <c r="H1403">
        <v>19.100000000000001</v>
      </c>
      <c r="I1403">
        <v>3</v>
      </c>
      <c r="J1403">
        <v>123120</v>
      </c>
      <c r="K1403">
        <v>145464</v>
      </c>
      <c r="L1403" t="s">
        <v>18</v>
      </c>
      <c r="M1403" t="s">
        <v>1442</v>
      </c>
      <c r="N1403" t="s">
        <v>68</v>
      </c>
      <c r="O1403" t="s">
        <v>21</v>
      </c>
      <c r="P1403" t="s">
        <v>31</v>
      </c>
      <c r="Q1403" t="s">
        <v>23</v>
      </c>
      <c r="R1403" t="b">
        <f>OR(Таблица1[[#This Row],[Ежемесячный платеж]]&lt;$AC$5, Таблица1[[#This Row],[Ежемесячный платеж]]&gt;$AC$6)</f>
        <v>0</v>
      </c>
      <c r="S1403" s="9">
        <f>(Таблица1[[#This Row],[Размер кредита]]-21824)/(789096-21824)</f>
        <v>0.4013648354169056</v>
      </c>
      <c r="T1403" s="9">
        <f>(Таблица1[[#This Row],[Кредитный рейтинг]]-586)/(751-586)</f>
        <v>0.5636363636363636</v>
      </c>
      <c r="U1403" s="9">
        <f>Таблица1[[#This Row],[Ежемесячный платеж]]/(Таблица1[[#This Row],[Годовой доход]]/12)</f>
        <v>0.10400115879650705</v>
      </c>
    </row>
    <row r="1404" spans="1:21" x14ac:dyDescent="0.3">
      <c r="A1404">
        <v>1403</v>
      </c>
      <c r="B1404">
        <v>0</v>
      </c>
      <c r="C1404" s="9">
        <v>451154</v>
      </c>
      <c r="D1404">
        <v>726</v>
      </c>
      <c r="E1404" s="1">
        <v>5306301</v>
      </c>
      <c r="F1404">
        <v>0</v>
      </c>
      <c r="G1404">
        <v>43246.28</v>
      </c>
      <c r="H1404">
        <v>13</v>
      </c>
      <c r="I1404">
        <v>13</v>
      </c>
      <c r="J1404">
        <v>191691</v>
      </c>
      <c r="K1404">
        <v>932624</v>
      </c>
      <c r="L1404" t="s">
        <v>29</v>
      </c>
      <c r="M1404" t="s">
        <v>1443</v>
      </c>
      <c r="N1404" t="s">
        <v>20</v>
      </c>
      <c r="O1404" t="s">
        <v>28</v>
      </c>
      <c r="P1404" t="s">
        <v>31</v>
      </c>
      <c r="Q1404" t="s">
        <v>23</v>
      </c>
      <c r="R1404" t="b">
        <f>OR(Таблица1[[#This Row],[Ежемесячный платеж]]&lt;$AC$5, Таблица1[[#This Row],[Ежемесячный платеж]]&gt;$AC$6)</f>
        <v>0</v>
      </c>
      <c r="S1404" s="9">
        <f>(Таблица1[[#This Row],[Размер кредита]]-21824)/(789096-21824)</f>
        <v>0.55955384791833929</v>
      </c>
      <c r="T1404" s="9">
        <f>(Таблица1[[#This Row],[Кредитный рейтинг]]-586)/(751-586)</f>
        <v>0.84848484848484851</v>
      </c>
      <c r="U1404" s="9">
        <f>Таблица1[[#This Row],[Ежемесячный платеж]]/(Таблица1[[#This Row],[Годовой доход]]/12)</f>
        <v>9.7799834574028119E-2</v>
      </c>
    </row>
    <row r="1405" spans="1:21" x14ac:dyDescent="0.3">
      <c r="A1405">
        <v>1404</v>
      </c>
      <c r="B1405">
        <v>0</v>
      </c>
      <c r="D1405">
        <v>711</v>
      </c>
      <c r="E1405" s="1">
        <v>1708974</v>
      </c>
      <c r="F1405">
        <v>0</v>
      </c>
      <c r="G1405">
        <v>23925.56</v>
      </c>
      <c r="H1405">
        <v>20.2</v>
      </c>
      <c r="I1405">
        <v>9</v>
      </c>
      <c r="J1405">
        <v>284430</v>
      </c>
      <c r="K1405">
        <v>411158</v>
      </c>
      <c r="L1405" t="s">
        <v>50</v>
      </c>
      <c r="M1405" t="s">
        <v>1444</v>
      </c>
      <c r="N1405" t="s">
        <v>26</v>
      </c>
      <c r="O1405" t="s">
        <v>21</v>
      </c>
      <c r="P1405" t="s">
        <v>31</v>
      </c>
      <c r="Q1405" t="s">
        <v>23</v>
      </c>
      <c r="R1405" t="b">
        <f>OR(Таблица1[[#This Row],[Ежемесячный платеж]]&lt;$AC$5, Таблица1[[#This Row],[Ежемесячный платеж]]&gt;$AC$6)</f>
        <v>0</v>
      </c>
      <c r="T1405" s="9">
        <f>(Таблица1[[#This Row],[Кредитный рейтинг]]-586)/(751-586)</f>
        <v>0.75757575757575757</v>
      </c>
      <c r="U1405" s="9">
        <f>Таблица1[[#This Row],[Ежемесячный платеж]]/(Таблица1[[#This Row],[Годовой доход]]/12)</f>
        <v>0.16799946634647456</v>
      </c>
    </row>
    <row r="1406" spans="1:21" x14ac:dyDescent="0.3">
      <c r="A1406">
        <v>1405</v>
      </c>
      <c r="B1406">
        <v>0</v>
      </c>
      <c r="C1406" s="9">
        <v>116930</v>
      </c>
      <c r="D1406">
        <v>724</v>
      </c>
      <c r="E1406" s="1">
        <v>1320557</v>
      </c>
      <c r="F1406">
        <v>0</v>
      </c>
      <c r="G1406">
        <v>10366.4</v>
      </c>
      <c r="H1406">
        <v>16.2</v>
      </c>
      <c r="I1406">
        <v>5</v>
      </c>
      <c r="J1406">
        <v>63764</v>
      </c>
      <c r="K1406">
        <v>101112</v>
      </c>
      <c r="L1406" t="s">
        <v>24</v>
      </c>
      <c r="M1406" t="s">
        <v>1445</v>
      </c>
      <c r="N1406" t="s">
        <v>68</v>
      </c>
      <c r="O1406" t="s">
        <v>21</v>
      </c>
      <c r="P1406" t="s">
        <v>22</v>
      </c>
      <c r="Q1406" t="s">
        <v>23</v>
      </c>
      <c r="R1406" t="b">
        <f>OR(Таблица1[[#This Row],[Ежемесячный платеж]]&lt;$AC$5, Таблица1[[#This Row],[Ежемесячный платеж]]&gt;$AC$6)</f>
        <v>0</v>
      </c>
      <c r="S1406" s="9">
        <f>(Таблица1[[#This Row],[Размер кредита]]-21824)/(789096-21824)</f>
        <v>0.12395343502695264</v>
      </c>
      <c r="T1406" s="9">
        <f>(Таблица1[[#This Row],[Кредитный рейтинг]]-586)/(751-586)</f>
        <v>0.83636363636363631</v>
      </c>
      <c r="U1406" s="9">
        <f>Таблица1[[#This Row],[Ежемесячный платеж]]/(Таблица1[[#This Row],[Годовой доход]]/12)</f>
        <v>9.4200250348905792E-2</v>
      </c>
    </row>
    <row r="1407" spans="1:21" x14ac:dyDescent="0.3">
      <c r="A1407">
        <v>1406</v>
      </c>
      <c r="B1407">
        <v>1</v>
      </c>
      <c r="C1407" s="9">
        <v>167772</v>
      </c>
      <c r="D1407">
        <v>719</v>
      </c>
      <c r="E1407" s="1">
        <v>835943</v>
      </c>
      <c r="F1407">
        <v>0</v>
      </c>
      <c r="G1407">
        <v>11981.78</v>
      </c>
      <c r="H1407">
        <v>26.1</v>
      </c>
      <c r="I1407">
        <v>6</v>
      </c>
      <c r="J1407">
        <v>45239</v>
      </c>
      <c r="K1407">
        <v>131274</v>
      </c>
      <c r="L1407" t="s">
        <v>69</v>
      </c>
      <c r="M1407" t="s">
        <v>1446</v>
      </c>
      <c r="N1407" t="s">
        <v>103</v>
      </c>
      <c r="O1407" t="s">
        <v>28</v>
      </c>
      <c r="P1407" t="s">
        <v>22</v>
      </c>
      <c r="Q1407" t="s">
        <v>23</v>
      </c>
      <c r="R1407" t="b">
        <f>OR(Таблица1[[#This Row],[Ежемесячный платеж]]&lt;$AC$5, Таблица1[[#This Row],[Ежемесячный платеж]]&gt;$AC$6)</f>
        <v>0</v>
      </c>
      <c r="S1407" s="9">
        <f>(Таблица1[[#This Row],[Размер кредита]]-21824)/(789096-21824)</f>
        <v>0.19021676797797912</v>
      </c>
      <c r="T1407" s="9">
        <f>(Таблица1[[#This Row],[Кредитный рейтинг]]-586)/(751-586)</f>
        <v>0.80606060606060603</v>
      </c>
      <c r="U1407" s="9">
        <f>Таблица1[[#This Row],[Ежемесячный платеж]]/(Таблица1[[#This Row],[Годовой доход]]/12)</f>
        <v>0.17199899993181353</v>
      </c>
    </row>
    <row r="1408" spans="1:21" x14ac:dyDescent="0.3">
      <c r="A1408">
        <v>1407</v>
      </c>
      <c r="B1408">
        <v>0</v>
      </c>
      <c r="C1408" s="9">
        <v>392722</v>
      </c>
      <c r="D1408">
        <v>748</v>
      </c>
      <c r="E1408" s="1">
        <v>1168215</v>
      </c>
      <c r="F1408">
        <v>30</v>
      </c>
      <c r="G1408">
        <v>15089.42</v>
      </c>
      <c r="H1408">
        <v>30.9</v>
      </c>
      <c r="I1408">
        <v>18</v>
      </c>
      <c r="J1408">
        <v>120498</v>
      </c>
      <c r="K1408">
        <v>375056</v>
      </c>
      <c r="L1408" t="s">
        <v>37</v>
      </c>
      <c r="M1408" t="s">
        <v>1447</v>
      </c>
      <c r="N1408" t="s">
        <v>26</v>
      </c>
      <c r="O1408" t="s">
        <v>28</v>
      </c>
      <c r="P1408" t="s">
        <v>22</v>
      </c>
      <c r="Q1408" t="s">
        <v>36</v>
      </c>
      <c r="R1408" t="b">
        <f>OR(Таблица1[[#This Row],[Ежемесячный платеж]]&lt;$AC$5, Таблица1[[#This Row],[Ежемесячный платеж]]&gt;$AC$6)</f>
        <v>0</v>
      </c>
      <c r="S1408" s="9">
        <f>(Таблица1[[#This Row],[Размер кредита]]-21824)/(789096-21824)</f>
        <v>0.48339832549604311</v>
      </c>
      <c r="T1408" s="9">
        <f>(Таблица1[[#This Row],[Кредитный рейтинг]]-586)/(751-586)</f>
        <v>0.98181818181818181</v>
      </c>
      <c r="U1408" s="9">
        <f>Таблица1[[#This Row],[Ежемесячный платеж]]/(Таблица1[[#This Row],[Годовой доход]]/12)</f>
        <v>0.15499975603805807</v>
      </c>
    </row>
    <row r="1409" spans="1:21" x14ac:dyDescent="0.3">
      <c r="A1409">
        <v>1408</v>
      </c>
      <c r="B1409">
        <v>0</v>
      </c>
      <c r="C1409" s="9">
        <v>178486</v>
      </c>
      <c r="D1409">
        <f>$Y$13</f>
        <v>723</v>
      </c>
      <c r="E1409">
        <f>$AB$13</f>
        <v>1168044</v>
      </c>
      <c r="F1409">
        <v>0</v>
      </c>
      <c r="G1409">
        <v>6224.59</v>
      </c>
      <c r="H1409">
        <v>15</v>
      </c>
      <c r="I1409">
        <v>7</v>
      </c>
      <c r="J1409">
        <v>161500</v>
      </c>
      <c r="K1409">
        <v>229724</v>
      </c>
      <c r="L1409" t="s">
        <v>32</v>
      </c>
      <c r="M1409" t="s">
        <v>1448</v>
      </c>
      <c r="N1409" t="s">
        <v>26</v>
      </c>
      <c r="O1409" t="s">
        <v>34</v>
      </c>
      <c r="P1409" t="s">
        <v>22</v>
      </c>
      <c r="Q1409" t="s">
        <v>23</v>
      </c>
      <c r="R1409" t="b">
        <f>OR(Таблица1[[#This Row],[Ежемесячный платеж]]&lt;$AC$5, Таблица1[[#This Row],[Ежемесячный платеж]]&gt;$AC$6)</f>
        <v>0</v>
      </c>
      <c r="S1409" s="9">
        <f>(Таблица1[[#This Row],[Размер кредита]]-21824)/(789096-21824)</f>
        <v>0.20418052528959743</v>
      </c>
      <c r="T1409" s="9">
        <f>(Таблица1[[#This Row],[Кредитный рейтинг]]-586)/(751-586)</f>
        <v>0.83030303030303032</v>
      </c>
      <c r="U1409" s="9">
        <f>Таблица1[[#This Row],[Ежемесячный платеж]]/(Таблица1[[#This Row],[Годовой доход]]/12)</f>
        <v>6.3948858090962332E-2</v>
      </c>
    </row>
    <row r="1410" spans="1:21" x14ac:dyDescent="0.3">
      <c r="A1410">
        <v>1409</v>
      </c>
      <c r="B1410">
        <v>0</v>
      </c>
      <c r="C1410" s="9">
        <v>120164</v>
      </c>
      <c r="D1410">
        <v>737</v>
      </c>
      <c r="E1410" s="1">
        <v>741228</v>
      </c>
      <c r="F1410">
        <v>0</v>
      </c>
      <c r="G1410">
        <v>7288.59</v>
      </c>
      <c r="H1410">
        <v>11.9</v>
      </c>
      <c r="I1410">
        <v>19</v>
      </c>
      <c r="J1410">
        <v>196213</v>
      </c>
      <c r="K1410">
        <v>584078</v>
      </c>
      <c r="L1410" t="s">
        <v>63</v>
      </c>
      <c r="M1410" t="s">
        <v>1449</v>
      </c>
      <c r="N1410" t="s">
        <v>26</v>
      </c>
      <c r="O1410" t="s">
        <v>28</v>
      </c>
      <c r="P1410" t="s">
        <v>22</v>
      </c>
      <c r="Q1410" t="s">
        <v>23</v>
      </c>
      <c r="R1410" t="b">
        <f>OR(Таблица1[[#This Row],[Ежемесячный платеж]]&lt;$AC$5, Таблица1[[#This Row],[Ежемесячный платеж]]&gt;$AC$6)</f>
        <v>0</v>
      </c>
      <c r="S1410" s="9">
        <f>(Таблица1[[#This Row],[Размер кредита]]-21824)/(789096-21824)</f>
        <v>0.12816836793210232</v>
      </c>
      <c r="T1410" s="9">
        <f>(Таблица1[[#This Row],[Кредитный рейтинг]]-586)/(751-586)</f>
        <v>0.91515151515151516</v>
      </c>
      <c r="U1410" s="9">
        <f>Таблица1[[#This Row],[Ежемесячный платеж]]/(Таблица1[[#This Row],[Годовой доход]]/12)</f>
        <v>0.11799753921870194</v>
      </c>
    </row>
    <row r="1411" spans="1:21" x14ac:dyDescent="0.3">
      <c r="A1411">
        <v>1410</v>
      </c>
      <c r="B1411">
        <v>0</v>
      </c>
      <c r="C1411" s="9">
        <v>217514</v>
      </c>
      <c r="D1411">
        <v>654</v>
      </c>
      <c r="E1411" s="1">
        <v>525996</v>
      </c>
      <c r="F1411">
        <v>0</v>
      </c>
      <c r="G1411">
        <v>4996.8100000000004</v>
      </c>
      <c r="H1411">
        <v>9.6999999999999993</v>
      </c>
      <c r="I1411">
        <v>7</v>
      </c>
      <c r="J1411">
        <v>122227</v>
      </c>
      <c r="K1411">
        <v>202202</v>
      </c>
      <c r="L1411" t="s">
        <v>24</v>
      </c>
      <c r="M1411" t="s">
        <v>1450</v>
      </c>
      <c r="N1411" t="s">
        <v>26</v>
      </c>
      <c r="O1411" t="s">
        <v>28</v>
      </c>
      <c r="P1411" t="s">
        <v>22</v>
      </c>
      <c r="Q1411" t="s">
        <v>36</v>
      </c>
      <c r="R1411" t="b">
        <f>OR(Таблица1[[#This Row],[Ежемесячный платеж]]&lt;$AC$5, Таблица1[[#This Row],[Ежемесячный платеж]]&gt;$AC$6)</f>
        <v>0</v>
      </c>
      <c r="S1411" s="9">
        <f>(Таблица1[[#This Row],[Размер кредита]]-21824)/(789096-21824)</f>
        <v>0.25504645028099554</v>
      </c>
      <c r="T1411" s="9">
        <f>(Таблица1[[#This Row],[Кредитный рейтинг]]-586)/(751-586)</f>
        <v>0.41212121212121211</v>
      </c>
      <c r="U1411" s="9">
        <f>Таблица1[[#This Row],[Ежемесячный платеж]]/(Таблица1[[#This Row],[Годовой доход]]/12)</f>
        <v>0.11399653229302124</v>
      </c>
    </row>
    <row r="1412" spans="1:21" x14ac:dyDescent="0.3">
      <c r="A1412">
        <v>1411</v>
      </c>
      <c r="B1412">
        <v>1</v>
      </c>
      <c r="C1412" s="9">
        <v>234058</v>
      </c>
      <c r="D1412">
        <v>707</v>
      </c>
      <c r="E1412" s="1">
        <v>2467530</v>
      </c>
      <c r="F1412">
        <v>36</v>
      </c>
      <c r="G1412">
        <v>14126.69</v>
      </c>
      <c r="H1412">
        <v>17.5</v>
      </c>
      <c r="I1412">
        <v>9</v>
      </c>
      <c r="J1412">
        <v>86583</v>
      </c>
      <c r="K1412">
        <v>169356</v>
      </c>
      <c r="L1412" t="s">
        <v>52</v>
      </c>
      <c r="M1412" t="s">
        <v>1451</v>
      </c>
      <c r="N1412" t="s">
        <v>20</v>
      </c>
      <c r="O1412" t="s">
        <v>21</v>
      </c>
      <c r="P1412" t="s">
        <v>22</v>
      </c>
      <c r="Q1412" t="s">
        <v>36</v>
      </c>
      <c r="R1412" t="b">
        <f>OR(Таблица1[[#This Row],[Ежемесячный платеж]]&lt;$AC$5, Таблица1[[#This Row],[Ежемесячный платеж]]&gt;$AC$6)</f>
        <v>0</v>
      </c>
      <c r="S1412" s="9">
        <f>(Таблица1[[#This Row],[Размер кредита]]-21824)/(789096-21824)</f>
        <v>0.2766085560270673</v>
      </c>
      <c r="T1412" s="9">
        <f>(Таблица1[[#This Row],[Кредитный рейтинг]]-586)/(751-586)</f>
        <v>0.73333333333333328</v>
      </c>
      <c r="U1412" s="9">
        <f>Таблица1[[#This Row],[Ежемесячный платеж]]/(Таблица1[[#This Row],[Годовой доход]]/12)</f>
        <v>6.8700392700392701E-2</v>
      </c>
    </row>
    <row r="1413" spans="1:21" x14ac:dyDescent="0.3">
      <c r="A1413">
        <v>1412</v>
      </c>
      <c r="B1413">
        <v>0</v>
      </c>
      <c r="C1413" s="9">
        <v>223234</v>
      </c>
      <c r="D1413">
        <v>724</v>
      </c>
      <c r="E1413" s="1">
        <v>1156758</v>
      </c>
      <c r="F1413">
        <v>0</v>
      </c>
      <c r="G1413">
        <v>5668.08</v>
      </c>
      <c r="H1413">
        <v>13</v>
      </c>
      <c r="I1413">
        <v>7</v>
      </c>
      <c r="J1413">
        <v>156370</v>
      </c>
      <c r="K1413">
        <v>203214</v>
      </c>
      <c r="L1413" t="s">
        <v>41</v>
      </c>
      <c r="M1413" t="s">
        <v>1452</v>
      </c>
      <c r="N1413" t="s">
        <v>26</v>
      </c>
      <c r="O1413" t="s">
        <v>34</v>
      </c>
      <c r="P1413" t="s">
        <v>22</v>
      </c>
      <c r="Q1413" t="s">
        <v>23</v>
      </c>
      <c r="R1413" t="b">
        <f>OR(Таблица1[[#This Row],[Ежемесячный платеж]]&lt;$AC$5, Таблица1[[#This Row],[Ежемесячный платеж]]&gt;$AC$6)</f>
        <v>0</v>
      </c>
      <c r="S1413" s="9">
        <f>(Таблица1[[#This Row],[Размер кредита]]-21824)/(789096-21824)</f>
        <v>0.26250143365064799</v>
      </c>
      <c r="T1413" s="9">
        <f>(Таблица1[[#This Row],[Кредитный рейтинг]]-586)/(751-586)</f>
        <v>0.83636363636363631</v>
      </c>
      <c r="U1413" s="9">
        <f>Таблица1[[#This Row],[Ежемесячный платеж]]/(Таблица1[[#This Row],[Годовой доход]]/12)</f>
        <v>5.8799645215334581E-2</v>
      </c>
    </row>
    <row r="1414" spans="1:21" x14ac:dyDescent="0.3">
      <c r="A1414">
        <v>1413</v>
      </c>
      <c r="B1414">
        <v>0</v>
      </c>
      <c r="C1414" s="9">
        <v>428846</v>
      </c>
      <c r="D1414">
        <v>703</v>
      </c>
      <c r="E1414" s="1">
        <v>823042</v>
      </c>
      <c r="F1414">
        <v>50</v>
      </c>
      <c r="G1414">
        <v>13854.61</v>
      </c>
      <c r="H1414">
        <v>19.2</v>
      </c>
      <c r="I1414">
        <v>13</v>
      </c>
      <c r="J1414">
        <v>487407</v>
      </c>
      <c r="K1414">
        <v>990132</v>
      </c>
      <c r="L1414" t="s">
        <v>24</v>
      </c>
      <c r="M1414" t="s">
        <v>1453</v>
      </c>
      <c r="N1414" t="s">
        <v>26</v>
      </c>
      <c r="O1414" t="s">
        <v>21</v>
      </c>
      <c r="P1414" t="s">
        <v>22</v>
      </c>
      <c r="Q1414" t="s">
        <v>23</v>
      </c>
      <c r="R1414" t="b">
        <f>OR(Таблица1[[#This Row],[Ежемесячный платеж]]&lt;$AC$5, Таблица1[[#This Row],[Ежемесячный платеж]]&gt;$AC$6)</f>
        <v>0</v>
      </c>
      <c r="S1414" s="9">
        <f>(Таблица1[[#This Row],[Размер кредита]]-21824)/(789096-21824)</f>
        <v>0.53047941277669453</v>
      </c>
      <c r="T1414" s="9">
        <f>(Таблица1[[#This Row],[Кредитный рейтинг]]-586)/(751-586)</f>
        <v>0.70909090909090911</v>
      </c>
      <c r="U1414" s="9">
        <f>Таблица1[[#This Row],[Ежемесячный платеж]]/(Таблица1[[#This Row],[Годовой доход]]/12)</f>
        <v>0.20200101574403254</v>
      </c>
    </row>
    <row r="1415" spans="1:21" x14ac:dyDescent="0.3">
      <c r="A1415">
        <v>1414</v>
      </c>
      <c r="B1415">
        <v>0</v>
      </c>
      <c r="C1415" s="9">
        <v>67562</v>
      </c>
      <c r="D1415">
        <f>$Y$13</f>
        <v>723</v>
      </c>
      <c r="E1415">
        <f>$AB$13</f>
        <v>1168044</v>
      </c>
      <c r="F1415">
        <v>13</v>
      </c>
      <c r="G1415">
        <v>5055.33</v>
      </c>
      <c r="H1415">
        <v>23.1</v>
      </c>
      <c r="I1415">
        <v>15</v>
      </c>
      <c r="J1415">
        <v>243333</v>
      </c>
      <c r="K1415">
        <v>759418</v>
      </c>
      <c r="L1415" t="s">
        <v>24</v>
      </c>
      <c r="M1415" t="s">
        <v>1454</v>
      </c>
      <c r="N1415" t="s">
        <v>68</v>
      </c>
      <c r="O1415" t="s">
        <v>28</v>
      </c>
      <c r="P1415" t="s">
        <v>22</v>
      </c>
      <c r="Q1415" t="s">
        <v>36</v>
      </c>
      <c r="R1415" t="b">
        <f>OR(Таблица1[[#This Row],[Ежемесячный платеж]]&lt;$AC$5, Таблица1[[#This Row],[Ежемесячный платеж]]&gt;$AC$6)</f>
        <v>0</v>
      </c>
      <c r="S1415" s="9">
        <f>(Таблица1[[#This Row],[Размер кредита]]-21824)/(789096-21824)</f>
        <v>5.9611193944259663E-2</v>
      </c>
      <c r="T1415" s="9">
        <f>(Таблица1[[#This Row],[Кредитный рейтинг]]-586)/(751-586)</f>
        <v>0.83030303030303032</v>
      </c>
      <c r="U1415" s="9">
        <f>Таблица1[[#This Row],[Ежемесячный платеж]]/(Таблица1[[#This Row],[Годовой доход]]/12)</f>
        <v>5.1936365410892055E-2</v>
      </c>
    </row>
    <row r="1416" spans="1:21" x14ac:dyDescent="0.3">
      <c r="A1416">
        <v>1415</v>
      </c>
      <c r="B1416">
        <v>0</v>
      </c>
      <c r="C1416" s="9">
        <v>583352</v>
      </c>
      <c r="D1416">
        <f>$Y$13</f>
        <v>723</v>
      </c>
      <c r="E1416">
        <f>$AB$13</f>
        <v>1168044</v>
      </c>
      <c r="F1416">
        <v>66</v>
      </c>
      <c r="G1416">
        <v>15582.47</v>
      </c>
      <c r="H1416">
        <v>24.5</v>
      </c>
      <c r="I1416">
        <v>16</v>
      </c>
      <c r="J1416">
        <v>641307</v>
      </c>
      <c r="K1416">
        <v>1847208</v>
      </c>
      <c r="L1416" t="s">
        <v>24</v>
      </c>
      <c r="M1416" t="s">
        <v>1455</v>
      </c>
      <c r="N1416" t="s">
        <v>26</v>
      </c>
      <c r="O1416" t="s">
        <v>21</v>
      </c>
      <c r="P1416" t="s">
        <v>31</v>
      </c>
      <c r="Q1416" t="s">
        <v>23</v>
      </c>
      <c r="R1416" t="b">
        <f>OR(Таблица1[[#This Row],[Ежемесячный платеж]]&lt;$AC$5, Таблица1[[#This Row],[Ежемесячный платеж]]&gt;$AC$6)</f>
        <v>0</v>
      </c>
      <c r="S1416" s="9">
        <f>(Таблица1[[#This Row],[Размер кредита]]-21824)/(789096-21824)</f>
        <v>0.73184998279619218</v>
      </c>
      <c r="T1416" s="9">
        <f>(Таблица1[[#This Row],[Кредитный рейтинг]]-586)/(751-586)</f>
        <v>0.83030303030303032</v>
      </c>
      <c r="U1416" s="9">
        <f>Таблица1[[#This Row],[Ежемесячный платеж]]/(Таблица1[[#This Row],[Годовой доход]]/12)</f>
        <v>0.1600878391567441</v>
      </c>
    </row>
    <row r="1417" spans="1:21" x14ac:dyDescent="0.3">
      <c r="A1417">
        <v>1416</v>
      </c>
      <c r="B1417">
        <v>0</v>
      </c>
      <c r="C1417" s="9">
        <v>348348</v>
      </c>
      <c r="D1417">
        <v>709</v>
      </c>
      <c r="E1417" s="1">
        <v>846108</v>
      </c>
      <c r="F1417">
        <v>0</v>
      </c>
      <c r="G1417">
        <v>6938.04</v>
      </c>
      <c r="H1417">
        <v>14.9</v>
      </c>
      <c r="I1417">
        <v>8</v>
      </c>
      <c r="J1417">
        <v>190817</v>
      </c>
      <c r="K1417">
        <v>265562</v>
      </c>
      <c r="L1417" t="s">
        <v>29</v>
      </c>
      <c r="M1417" t="s">
        <v>1456</v>
      </c>
      <c r="N1417" t="s">
        <v>26</v>
      </c>
      <c r="O1417" t="s">
        <v>28</v>
      </c>
      <c r="P1417" t="s">
        <v>22</v>
      </c>
      <c r="Q1417" t="s">
        <v>23</v>
      </c>
      <c r="R1417" t="b">
        <f>OR(Таблица1[[#This Row],[Ежемесячный платеж]]&lt;$AC$5, Таблица1[[#This Row],[Ежемесячный платеж]]&gt;$AC$6)</f>
        <v>0</v>
      </c>
      <c r="S1417" s="9">
        <f>(Таблица1[[#This Row],[Размер кредита]]-21824)/(789096-21824)</f>
        <v>0.42556485835531599</v>
      </c>
      <c r="T1417" s="9">
        <f>(Таблица1[[#This Row],[Кредитный рейтинг]]-586)/(751-586)</f>
        <v>0.74545454545454548</v>
      </c>
      <c r="U1417" s="9">
        <f>Таблица1[[#This Row],[Ежемесячный платеж]]/(Таблица1[[#This Row],[Годовой доход]]/12)</f>
        <v>9.8399353274050125E-2</v>
      </c>
    </row>
    <row r="1418" spans="1:21" x14ac:dyDescent="0.3">
      <c r="A1418">
        <v>1417</v>
      </c>
      <c r="B1418">
        <v>1</v>
      </c>
      <c r="C1418" s="9">
        <v>43758</v>
      </c>
      <c r="D1418">
        <v>701</v>
      </c>
      <c r="E1418" s="1">
        <v>1228464</v>
      </c>
      <c r="F1418">
        <v>0</v>
      </c>
      <c r="G1418">
        <v>7503.86</v>
      </c>
      <c r="H1418">
        <v>23.8</v>
      </c>
      <c r="I1418">
        <v>8</v>
      </c>
      <c r="J1418">
        <v>57874</v>
      </c>
      <c r="K1418">
        <v>183590</v>
      </c>
      <c r="L1418" t="s">
        <v>24</v>
      </c>
      <c r="M1418" s="2" t="s">
        <v>1457</v>
      </c>
      <c r="N1418" t="s">
        <v>68</v>
      </c>
      <c r="O1418" t="s">
        <v>34</v>
      </c>
      <c r="P1418" t="s">
        <v>22</v>
      </c>
      <c r="Q1418" t="s">
        <v>23</v>
      </c>
      <c r="R1418" t="b">
        <f>OR(Таблица1[[#This Row],[Ежемесячный платеж]]&lt;$AC$5, Таблица1[[#This Row],[Ежемесячный платеж]]&gt;$AC$6)</f>
        <v>0</v>
      </c>
      <c r="S1418" s="9">
        <f>(Таблица1[[#This Row],[Размер кредита]]-21824)/(789096-21824)</f>
        <v>2.8586993921321253E-2</v>
      </c>
      <c r="T1418" s="9">
        <f>(Таблица1[[#This Row],[Кредитный рейтинг]]-586)/(751-586)</f>
        <v>0.69696969696969702</v>
      </c>
      <c r="U1418" s="9">
        <f>Таблица1[[#This Row],[Ежемесячный платеж]]/(Таблица1[[#This Row],[Годовой доход]]/12)</f>
        <v>7.3299925760950263E-2</v>
      </c>
    </row>
    <row r="1419" spans="1:21" x14ac:dyDescent="0.3">
      <c r="A1419">
        <v>1418</v>
      </c>
      <c r="B1419">
        <v>0</v>
      </c>
      <c r="C1419" s="9">
        <v>411730</v>
      </c>
      <c r="D1419">
        <v>725</v>
      </c>
      <c r="E1419" s="1">
        <v>2621164</v>
      </c>
      <c r="F1419">
        <v>0</v>
      </c>
      <c r="G1419">
        <v>18020.55</v>
      </c>
      <c r="H1419">
        <v>16</v>
      </c>
      <c r="I1419">
        <v>3</v>
      </c>
      <c r="J1419">
        <v>117762</v>
      </c>
      <c r="K1419">
        <v>592856</v>
      </c>
      <c r="L1419" t="s">
        <v>29</v>
      </c>
      <c r="M1419" t="s">
        <v>1458</v>
      </c>
      <c r="N1419" t="s">
        <v>26</v>
      </c>
      <c r="O1419" t="s">
        <v>34</v>
      </c>
      <c r="P1419" t="s">
        <v>31</v>
      </c>
      <c r="Q1419" t="s">
        <v>23</v>
      </c>
      <c r="R1419" t="b">
        <f>OR(Таблица1[[#This Row],[Ежемесячный платеж]]&lt;$AC$5, Таблица1[[#This Row],[Ежемесячный платеж]]&gt;$AC$6)</f>
        <v>0</v>
      </c>
      <c r="S1419" s="9">
        <f>(Таблица1[[#This Row],[Размер кредита]]-21824)/(789096-21824)</f>
        <v>0.50817180869365752</v>
      </c>
      <c r="T1419" s="9">
        <f>(Таблица1[[#This Row],[Кредитный рейтинг]]-586)/(751-586)</f>
        <v>0.84242424242424241</v>
      </c>
      <c r="U1419" s="9">
        <f>Таблица1[[#This Row],[Ежемесячный платеж]]/(Таблица1[[#This Row],[Годовой доход]]/12)</f>
        <v>8.250021746063961E-2</v>
      </c>
    </row>
    <row r="1420" spans="1:21" x14ac:dyDescent="0.3">
      <c r="A1420">
        <v>1419</v>
      </c>
      <c r="B1420">
        <v>0</v>
      </c>
      <c r="C1420" s="9">
        <v>776710</v>
      </c>
      <c r="D1420">
        <f>$Y$13</f>
        <v>723</v>
      </c>
      <c r="E1420">
        <f>$AB$13</f>
        <v>1168044</v>
      </c>
      <c r="F1420">
        <v>0</v>
      </c>
      <c r="G1420">
        <v>22921.79</v>
      </c>
      <c r="H1420">
        <v>14.5</v>
      </c>
      <c r="I1420">
        <v>9</v>
      </c>
      <c r="J1420">
        <v>255341</v>
      </c>
      <c r="K1420">
        <v>658482</v>
      </c>
      <c r="L1420" t="s">
        <v>29</v>
      </c>
      <c r="M1420" t="s">
        <v>1459</v>
      </c>
      <c r="N1420" t="s">
        <v>26</v>
      </c>
      <c r="O1420" t="s">
        <v>34</v>
      </c>
      <c r="P1420" t="s">
        <v>31</v>
      </c>
      <c r="Q1420" t="s">
        <v>36</v>
      </c>
      <c r="R1420" t="b">
        <f>OR(Таблица1[[#This Row],[Ежемесячный платеж]]&lt;$AC$5, Таблица1[[#This Row],[Ежемесячный платеж]]&gt;$AC$6)</f>
        <v>0</v>
      </c>
      <c r="S1420" s="9">
        <f>(Таблица1[[#This Row],[Размер кредита]]-21824)/(789096-21824)</f>
        <v>0.98385709370340635</v>
      </c>
      <c r="T1420" s="9">
        <f>(Таблица1[[#This Row],[Кредитный рейтинг]]-586)/(751-586)</f>
        <v>0.83030303030303032</v>
      </c>
      <c r="U1420" s="9">
        <f>Таблица1[[#This Row],[Ежемесячный платеж]]/(Таблица1[[#This Row],[Годовой доход]]/12)</f>
        <v>0.23548897130587548</v>
      </c>
    </row>
    <row r="1421" spans="1:21" x14ac:dyDescent="0.3">
      <c r="A1421">
        <v>1420</v>
      </c>
      <c r="B1421">
        <v>0</v>
      </c>
      <c r="C1421" s="9">
        <v>215578</v>
      </c>
      <c r="D1421">
        <v>665</v>
      </c>
      <c r="E1421" s="1">
        <v>595783</v>
      </c>
      <c r="F1421">
        <v>0</v>
      </c>
      <c r="G1421">
        <v>8291.2199999999993</v>
      </c>
      <c r="H1421">
        <v>11</v>
      </c>
      <c r="I1421">
        <v>11</v>
      </c>
      <c r="J1421">
        <v>220115</v>
      </c>
      <c r="K1421">
        <v>407154</v>
      </c>
      <c r="L1421" t="s">
        <v>47</v>
      </c>
      <c r="M1421" t="s">
        <v>1460</v>
      </c>
      <c r="N1421" t="s">
        <v>26</v>
      </c>
      <c r="O1421" t="s">
        <v>28</v>
      </c>
      <c r="P1421" t="s">
        <v>31</v>
      </c>
      <c r="Q1421" t="s">
        <v>36</v>
      </c>
      <c r="R1421" t="b">
        <f>OR(Таблица1[[#This Row],[Ежемесячный платеж]]&lt;$AC$5, Таблица1[[#This Row],[Ежемесячный платеж]]&gt;$AC$6)</f>
        <v>0</v>
      </c>
      <c r="S1421" s="9">
        <f>(Таблица1[[#This Row],[Размер кредита]]-21824)/(789096-21824)</f>
        <v>0.25252322514049774</v>
      </c>
      <c r="T1421" s="9">
        <f>(Таблица1[[#This Row],[Кредитный рейтинг]]-586)/(751-586)</f>
        <v>0.47878787878787876</v>
      </c>
      <c r="U1421" s="9">
        <f>Таблица1[[#This Row],[Ежемесячный платеж]]/(Таблица1[[#This Row],[Годовой доход]]/12)</f>
        <v>0.16699811844245302</v>
      </c>
    </row>
    <row r="1422" spans="1:21" x14ac:dyDescent="0.3">
      <c r="A1422">
        <v>1421</v>
      </c>
      <c r="B1422">
        <v>0</v>
      </c>
      <c r="C1422" s="9">
        <v>198308</v>
      </c>
      <c r="D1422">
        <v>706</v>
      </c>
      <c r="E1422" s="1">
        <v>846431</v>
      </c>
      <c r="F1422">
        <v>31</v>
      </c>
      <c r="G1422">
        <v>4753.99</v>
      </c>
      <c r="H1422">
        <v>16.399999999999999</v>
      </c>
      <c r="I1422">
        <v>8</v>
      </c>
      <c r="J1422">
        <v>58881</v>
      </c>
      <c r="K1422">
        <v>112310</v>
      </c>
      <c r="L1422" t="s">
        <v>69</v>
      </c>
      <c r="M1422" t="s">
        <v>1461</v>
      </c>
      <c r="N1422" t="s">
        <v>26</v>
      </c>
      <c r="O1422" t="s">
        <v>34</v>
      </c>
      <c r="P1422" t="s">
        <v>22</v>
      </c>
      <c r="Q1422" t="s">
        <v>23</v>
      </c>
      <c r="R1422" t="b">
        <f>OR(Таблица1[[#This Row],[Ежемесячный платеж]]&lt;$AC$5, Таблица1[[#This Row],[Ежемесячный платеж]]&gt;$AC$6)</f>
        <v>0</v>
      </c>
      <c r="S1422" s="9">
        <f>(Таблица1[[#This Row],[Размер кредита]]-21824)/(789096-21824)</f>
        <v>0.23001490996673932</v>
      </c>
      <c r="T1422" s="9">
        <f>(Таблица1[[#This Row],[Кредитный рейтинг]]-586)/(751-586)</f>
        <v>0.72727272727272729</v>
      </c>
      <c r="U1422" s="9">
        <f>Таблица1[[#This Row],[Ежемесячный платеж]]/(Таблица1[[#This Row],[Годовой доход]]/12)</f>
        <v>6.7398145861859965E-2</v>
      </c>
    </row>
    <row r="1423" spans="1:21" x14ac:dyDescent="0.3">
      <c r="A1423">
        <v>1422</v>
      </c>
      <c r="B1423">
        <v>0</v>
      </c>
      <c r="C1423" s="9">
        <v>272866</v>
      </c>
      <c r="D1423">
        <f>$Y$13</f>
        <v>723</v>
      </c>
      <c r="E1423">
        <f>$AB$13</f>
        <v>1168044</v>
      </c>
      <c r="F1423">
        <v>0</v>
      </c>
      <c r="G1423">
        <v>11670.75</v>
      </c>
      <c r="H1423">
        <v>21.5</v>
      </c>
      <c r="I1423">
        <v>9</v>
      </c>
      <c r="J1423">
        <v>211204</v>
      </c>
      <c r="K1423">
        <v>445456</v>
      </c>
      <c r="L1423" t="s">
        <v>29</v>
      </c>
      <c r="M1423" t="s">
        <v>1462</v>
      </c>
      <c r="N1423" t="s">
        <v>26</v>
      </c>
      <c r="O1423" t="s">
        <v>21</v>
      </c>
      <c r="P1423" t="s">
        <v>22</v>
      </c>
      <c r="Q1423" t="s">
        <v>36</v>
      </c>
      <c r="R1423" t="b">
        <f>OR(Таблица1[[#This Row],[Ежемесячный платеж]]&lt;$AC$5, Таблица1[[#This Row],[Ежемесячный платеж]]&gt;$AC$6)</f>
        <v>0</v>
      </c>
      <c r="S1423" s="9">
        <f>(Таблица1[[#This Row],[Размер кредита]]-21824)/(789096-21824)</f>
        <v>0.32718775088886343</v>
      </c>
      <c r="T1423" s="9">
        <f>(Таблица1[[#This Row],[Кредитный рейтинг]]-586)/(751-586)</f>
        <v>0.83030303030303032</v>
      </c>
      <c r="U1423" s="9">
        <f>Таблица1[[#This Row],[Ежемесячный платеж]]/(Таблица1[[#This Row],[Годовой доход]]/12)</f>
        <v>0.11990044895569002</v>
      </c>
    </row>
    <row r="1424" spans="1:21" x14ac:dyDescent="0.3">
      <c r="A1424">
        <v>1423</v>
      </c>
      <c r="B1424">
        <v>0</v>
      </c>
      <c r="C1424" s="9">
        <v>292490</v>
      </c>
      <c r="D1424">
        <v>739</v>
      </c>
      <c r="E1424" s="1">
        <v>1029857</v>
      </c>
      <c r="F1424">
        <v>31</v>
      </c>
      <c r="G1424">
        <v>21713.01</v>
      </c>
      <c r="H1424">
        <v>22.1</v>
      </c>
      <c r="I1424">
        <v>15</v>
      </c>
      <c r="J1424">
        <v>387714</v>
      </c>
      <c r="K1424">
        <v>811800</v>
      </c>
      <c r="L1424" t="s">
        <v>24</v>
      </c>
      <c r="M1424" t="s">
        <v>1463</v>
      </c>
      <c r="N1424" t="s">
        <v>26</v>
      </c>
      <c r="O1424" t="s">
        <v>21</v>
      </c>
      <c r="P1424" t="s">
        <v>22</v>
      </c>
      <c r="Q1424" t="s">
        <v>36</v>
      </c>
      <c r="R1424" t="b">
        <f>OR(Таблица1[[#This Row],[Ежемесячный платеж]]&lt;$AC$5, Таблица1[[#This Row],[Ежемесячный платеж]]&gt;$AC$6)</f>
        <v>0</v>
      </c>
      <c r="S1424" s="9">
        <f>(Таблица1[[#This Row],[Размер кредита]]-21824)/(789096-21824)</f>
        <v>0.35276407844936347</v>
      </c>
      <c r="T1424" s="9">
        <f>(Таблица1[[#This Row],[Кредитный рейтинг]]-586)/(751-586)</f>
        <v>0.92727272727272725</v>
      </c>
      <c r="U1424" s="9">
        <f>Таблица1[[#This Row],[Ежемесячный платеж]]/(Таблица1[[#This Row],[Годовой доход]]/12)</f>
        <v>0.25300223234876296</v>
      </c>
    </row>
    <row r="1425" spans="1:21" x14ac:dyDescent="0.3">
      <c r="A1425">
        <v>1424</v>
      </c>
      <c r="B1425">
        <v>1</v>
      </c>
      <c r="C1425" s="9">
        <v>668712</v>
      </c>
      <c r="D1425">
        <v>684</v>
      </c>
      <c r="E1425" s="1">
        <v>3368890</v>
      </c>
      <c r="F1425">
        <v>28</v>
      </c>
      <c r="G1425">
        <v>53902.239999999998</v>
      </c>
      <c r="H1425">
        <v>29.7</v>
      </c>
      <c r="I1425">
        <v>11</v>
      </c>
      <c r="J1425">
        <v>141037</v>
      </c>
      <c r="K1425">
        <v>265100</v>
      </c>
      <c r="L1425" t="s">
        <v>24</v>
      </c>
      <c r="M1425" t="s">
        <v>1464</v>
      </c>
      <c r="N1425" t="s">
        <v>71</v>
      </c>
      <c r="O1425" t="s">
        <v>21</v>
      </c>
      <c r="P1425" t="s">
        <v>22</v>
      </c>
      <c r="Q1425" t="s">
        <v>23</v>
      </c>
      <c r="R1425" t="b">
        <f>OR(Таблица1[[#This Row],[Ежемесячный платеж]]&lt;$AC$5, Таблица1[[#This Row],[Ежемесячный платеж]]&gt;$AC$6)</f>
        <v>1</v>
      </c>
      <c r="S1425" s="9">
        <f>(Таблица1[[#This Row],[Размер кредита]]-21824)/(789096-21824)</f>
        <v>0.8431012730817754</v>
      </c>
      <c r="T1425" s="9">
        <f>(Таблица1[[#This Row],[Кредитный рейтинг]]-586)/(751-586)</f>
        <v>0.59393939393939399</v>
      </c>
      <c r="U1425" s="9">
        <f>Таблица1[[#This Row],[Ежемесячный платеж]]/(Таблица1[[#This Row],[Годовой доход]]/12)</f>
        <v>0.192</v>
      </c>
    </row>
    <row r="1426" spans="1:21" x14ac:dyDescent="0.3">
      <c r="A1426">
        <v>1425</v>
      </c>
      <c r="B1426">
        <v>1</v>
      </c>
      <c r="C1426" s="9">
        <v>220880</v>
      </c>
      <c r="D1426">
        <v>744</v>
      </c>
      <c r="E1426" s="1">
        <v>1239940</v>
      </c>
      <c r="F1426">
        <v>51</v>
      </c>
      <c r="G1426">
        <v>1797.97</v>
      </c>
      <c r="H1426">
        <v>13</v>
      </c>
      <c r="I1426">
        <v>4</v>
      </c>
      <c r="J1426">
        <v>42370</v>
      </c>
      <c r="K1426">
        <v>225038</v>
      </c>
      <c r="L1426" t="s">
        <v>24</v>
      </c>
      <c r="M1426" t="s">
        <v>1465</v>
      </c>
      <c r="N1426" t="s">
        <v>20</v>
      </c>
      <c r="O1426" t="s">
        <v>28</v>
      </c>
      <c r="P1426" t="s">
        <v>22</v>
      </c>
      <c r="Q1426" t="s">
        <v>23</v>
      </c>
      <c r="R1426" t="b">
        <f>OR(Таблица1[[#This Row],[Ежемесячный платеж]]&lt;$AC$5, Таблица1[[#This Row],[Ежемесячный платеж]]&gt;$AC$6)</f>
        <v>0</v>
      </c>
      <c r="S1426" s="9">
        <f>(Таблица1[[#This Row],[Размер кредита]]-21824)/(789096-21824)</f>
        <v>0.25943342126390639</v>
      </c>
      <c r="T1426" s="9">
        <f>(Таблица1[[#This Row],[Кредитный рейтинг]]-586)/(751-586)</f>
        <v>0.95757575757575752</v>
      </c>
      <c r="U1426" s="9">
        <f>Таблица1[[#This Row],[Ежемесячный платеж]]/(Таблица1[[#This Row],[Годовой доход]]/12)</f>
        <v>1.7400551639595467E-2</v>
      </c>
    </row>
    <row r="1427" spans="1:21" x14ac:dyDescent="0.3">
      <c r="A1427">
        <v>1426</v>
      </c>
      <c r="B1427">
        <v>0</v>
      </c>
      <c r="C1427" s="9">
        <v>110286</v>
      </c>
      <c r="D1427">
        <v>736</v>
      </c>
      <c r="E1427" s="1">
        <v>969513</v>
      </c>
      <c r="F1427">
        <v>0</v>
      </c>
      <c r="G1427">
        <v>12280.46</v>
      </c>
      <c r="H1427">
        <v>9.6</v>
      </c>
      <c r="I1427">
        <v>6</v>
      </c>
      <c r="J1427">
        <v>31160</v>
      </c>
      <c r="K1427">
        <v>70620</v>
      </c>
      <c r="L1427" t="s">
        <v>24</v>
      </c>
      <c r="M1427" t="s">
        <v>1466</v>
      </c>
      <c r="N1427" t="s">
        <v>20</v>
      </c>
      <c r="O1427" t="s">
        <v>21</v>
      </c>
      <c r="P1427" t="s">
        <v>22</v>
      </c>
      <c r="Q1427" t="s">
        <v>23</v>
      </c>
      <c r="R1427" t="b">
        <f>OR(Таблица1[[#This Row],[Ежемесячный платеж]]&lt;$AC$5, Таблица1[[#This Row],[Ежемесячный платеж]]&gt;$AC$6)</f>
        <v>0</v>
      </c>
      <c r="S1427" s="9">
        <f>(Таблица1[[#This Row],[Размер кредита]]-21824)/(789096-21824)</f>
        <v>0.11529418511297167</v>
      </c>
      <c r="T1427" s="9">
        <f>(Таблица1[[#This Row],[Кредитный рейтинг]]-586)/(751-586)</f>
        <v>0.90909090909090906</v>
      </c>
      <c r="U1427" s="9">
        <f>Таблица1[[#This Row],[Ежемесячный платеж]]/(Таблица1[[#This Row],[Годовой доход]]/12)</f>
        <v>0.15199952966076782</v>
      </c>
    </row>
    <row r="1428" spans="1:21" x14ac:dyDescent="0.3">
      <c r="A1428">
        <v>1427</v>
      </c>
      <c r="B1428">
        <v>0</v>
      </c>
      <c r="C1428" s="9">
        <v>249480</v>
      </c>
      <c r="D1428">
        <v>708</v>
      </c>
      <c r="E1428" s="1">
        <v>1124154</v>
      </c>
      <c r="F1428">
        <v>15</v>
      </c>
      <c r="G1428">
        <v>7925.28</v>
      </c>
      <c r="H1428">
        <v>14.9</v>
      </c>
      <c r="I1428">
        <v>5</v>
      </c>
      <c r="J1428">
        <v>160569</v>
      </c>
      <c r="K1428">
        <v>701580</v>
      </c>
      <c r="L1428" t="s">
        <v>29</v>
      </c>
      <c r="M1428" t="s">
        <v>1467</v>
      </c>
      <c r="N1428" t="s">
        <v>26</v>
      </c>
      <c r="O1428" t="s">
        <v>21</v>
      </c>
      <c r="P1428" t="s">
        <v>31</v>
      </c>
      <c r="Q1428" t="s">
        <v>23</v>
      </c>
      <c r="R1428" t="b">
        <f>OR(Таблица1[[#This Row],[Ежемесячный платеж]]&lt;$AC$5, Таблица1[[#This Row],[Ежемесячный платеж]]&gt;$AC$6)</f>
        <v>0</v>
      </c>
      <c r="S1428" s="9">
        <f>(Таблица1[[#This Row],[Размер кредита]]-21824)/(789096-21824)</f>
        <v>0.29670833811216885</v>
      </c>
      <c r="T1428" s="9">
        <f>(Таблица1[[#This Row],[Кредитный рейтинг]]-586)/(751-586)</f>
        <v>0.73939393939393938</v>
      </c>
      <c r="U1428" s="9">
        <f>Таблица1[[#This Row],[Ежемесячный платеж]]/(Таблица1[[#This Row],[Годовой доход]]/12)</f>
        <v>8.4599939154243992E-2</v>
      </c>
    </row>
    <row r="1429" spans="1:21" x14ac:dyDescent="0.3">
      <c r="A1429">
        <v>1428</v>
      </c>
      <c r="B1429">
        <v>1</v>
      </c>
      <c r="C1429" s="9">
        <v>334400</v>
      </c>
      <c r="D1429">
        <v>735</v>
      </c>
      <c r="E1429" s="1">
        <v>1058908</v>
      </c>
      <c r="F1429">
        <v>0</v>
      </c>
      <c r="G1429">
        <v>20295.61</v>
      </c>
      <c r="H1429">
        <v>19.3</v>
      </c>
      <c r="I1429">
        <v>14</v>
      </c>
      <c r="J1429">
        <v>256348</v>
      </c>
      <c r="K1429">
        <v>463804</v>
      </c>
      <c r="L1429" t="s">
        <v>18</v>
      </c>
      <c r="M1429" t="s">
        <v>1468</v>
      </c>
      <c r="N1429" t="s">
        <v>26</v>
      </c>
      <c r="O1429" t="s">
        <v>21</v>
      </c>
      <c r="P1429" t="s">
        <v>22</v>
      </c>
      <c r="Q1429" t="s">
        <v>23</v>
      </c>
      <c r="R1429" t="b">
        <f>OR(Таблица1[[#This Row],[Ежемесячный платеж]]&lt;$AC$5, Таблица1[[#This Row],[Ежемесячный платеж]]&gt;$AC$6)</f>
        <v>0</v>
      </c>
      <c r="S1429" s="9">
        <f>(Таблица1[[#This Row],[Размер кредита]]-21824)/(789096-21824)</f>
        <v>0.407386168138548</v>
      </c>
      <c r="T1429" s="9">
        <f>(Таблица1[[#This Row],[Кредитный рейтинг]]-586)/(751-586)</f>
        <v>0.90303030303030307</v>
      </c>
      <c r="U1429" s="9">
        <f>Таблица1[[#This Row],[Ежемесячный платеж]]/(Таблица1[[#This Row],[Годовой доход]]/12)</f>
        <v>0.22999856455896076</v>
      </c>
    </row>
    <row r="1430" spans="1:21" x14ac:dyDescent="0.3">
      <c r="A1430">
        <v>1429</v>
      </c>
      <c r="B1430">
        <v>0</v>
      </c>
      <c r="C1430" s="9">
        <v>325578</v>
      </c>
      <c r="D1430">
        <v>747</v>
      </c>
      <c r="E1430" s="1">
        <v>749816</v>
      </c>
      <c r="F1430">
        <v>0</v>
      </c>
      <c r="G1430">
        <v>12934.25</v>
      </c>
      <c r="H1430">
        <v>14.5</v>
      </c>
      <c r="I1430">
        <v>7</v>
      </c>
      <c r="J1430">
        <v>207138</v>
      </c>
      <c r="K1430">
        <v>329890</v>
      </c>
      <c r="L1430" t="s">
        <v>50</v>
      </c>
      <c r="M1430" t="s">
        <v>1469</v>
      </c>
      <c r="N1430" t="s">
        <v>76</v>
      </c>
      <c r="O1430" t="s">
        <v>34</v>
      </c>
      <c r="P1430" t="s">
        <v>22</v>
      </c>
      <c r="Q1430" t="s">
        <v>36</v>
      </c>
      <c r="R1430" t="b">
        <f>OR(Таблица1[[#This Row],[Ежемесячный платеж]]&lt;$AC$5, Таблица1[[#This Row],[Ежемесячный платеж]]&gt;$AC$6)</f>
        <v>0</v>
      </c>
      <c r="S1430" s="9">
        <f>(Таблица1[[#This Row],[Размер кредита]]-21824)/(789096-21824)</f>
        <v>0.39588828994150704</v>
      </c>
      <c r="T1430" s="9">
        <f>(Таблица1[[#This Row],[Кредитный рейтинг]]-586)/(751-586)</f>
        <v>0.97575757575757571</v>
      </c>
      <c r="U1430" s="9">
        <f>Таблица1[[#This Row],[Ежемесячный платеж]]/(Таблица1[[#This Row],[Годовой доход]]/12)</f>
        <v>0.20699878370160146</v>
      </c>
    </row>
    <row r="1431" spans="1:21" x14ac:dyDescent="0.3">
      <c r="A1431">
        <v>1430</v>
      </c>
      <c r="B1431">
        <v>1</v>
      </c>
      <c r="C1431" s="9">
        <v>111034</v>
      </c>
      <c r="D1431">
        <v>701</v>
      </c>
      <c r="E1431" s="1">
        <v>1150716</v>
      </c>
      <c r="F1431">
        <v>2</v>
      </c>
      <c r="G1431">
        <v>25891.11</v>
      </c>
      <c r="H1431">
        <v>16.7</v>
      </c>
      <c r="I1431">
        <v>13</v>
      </c>
      <c r="J1431">
        <v>178334</v>
      </c>
      <c r="K1431">
        <v>357258</v>
      </c>
      <c r="L1431" t="s">
        <v>52</v>
      </c>
      <c r="M1431" t="s">
        <v>1470</v>
      </c>
      <c r="N1431" t="s">
        <v>26</v>
      </c>
      <c r="O1431" t="s">
        <v>34</v>
      </c>
      <c r="P1431" t="s">
        <v>22</v>
      </c>
      <c r="Q1431" t="s">
        <v>23</v>
      </c>
      <c r="R1431" t="b">
        <f>OR(Таблица1[[#This Row],[Ежемесячный платеж]]&lt;$AC$5, Таблица1[[#This Row],[Ежемесячный платеж]]&gt;$AC$6)</f>
        <v>0</v>
      </c>
      <c r="S1431" s="9">
        <f>(Таблица1[[#This Row],[Размер кредита]]-21824)/(789096-21824)</f>
        <v>0.11626906755361853</v>
      </c>
      <c r="T1431" s="9">
        <f>(Таблица1[[#This Row],[Кредитный рейтинг]]-586)/(751-586)</f>
        <v>0.69696969696969702</v>
      </c>
      <c r="U1431" s="9">
        <f>Таблица1[[#This Row],[Ежемесячный платеж]]/(Таблица1[[#This Row],[Годовой доход]]/12)</f>
        <v>0.27</v>
      </c>
    </row>
    <row r="1432" spans="1:21" x14ac:dyDescent="0.3">
      <c r="A1432">
        <v>1431</v>
      </c>
      <c r="B1432">
        <v>0</v>
      </c>
      <c r="C1432" s="9">
        <v>420684</v>
      </c>
      <c r="D1432">
        <v>746</v>
      </c>
      <c r="E1432" s="1">
        <v>810616</v>
      </c>
      <c r="F1432">
        <v>7</v>
      </c>
      <c r="G1432">
        <v>15469.04</v>
      </c>
      <c r="H1432">
        <v>17.100000000000001</v>
      </c>
      <c r="I1432">
        <v>10</v>
      </c>
      <c r="J1432">
        <v>235505</v>
      </c>
      <c r="K1432">
        <v>529474</v>
      </c>
      <c r="L1432" t="s">
        <v>24</v>
      </c>
      <c r="M1432" t="s">
        <v>1471</v>
      </c>
      <c r="N1432" t="s">
        <v>26</v>
      </c>
      <c r="O1432" t="s">
        <v>21</v>
      </c>
      <c r="P1432" t="s">
        <v>22</v>
      </c>
      <c r="Q1432" t="s">
        <v>36</v>
      </c>
      <c r="R1432" t="b">
        <f>OR(Таблица1[[#This Row],[Ежемесячный платеж]]&lt;$AC$5, Таблица1[[#This Row],[Ежемесячный платеж]]&gt;$AC$6)</f>
        <v>0</v>
      </c>
      <c r="S1432" s="9">
        <f>(Таблица1[[#This Row],[Размер кредита]]-21824)/(789096-21824)</f>
        <v>0.51984172496845971</v>
      </c>
      <c r="T1432" s="9">
        <f>(Таблица1[[#This Row],[Кредитный рейтинг]]-586)/(751-586)</f>
        <v>0.96969696969696972</v>
      </c>
      <c r="U1432" s="9">
        <f>Таблица1[[#This Row],[Ежемесячный платеж]]/(Таблица1[[#This Row],[Годовой доход]]/12)</f>
        <v>0.22899681230076882</v>
      </c>
    </row>
    <row r="1433" spans="1:21" x14ac:dyDescent="0.3">
      <c r="A1433">
        <v>1432</v>
      </c>
      <c r="B1433">
        <v>1</v>
      </c>
      <c r="C1433" s="9">
        <v>267806</v>
      </c>
      <c r="D1433">
        <v>692</v>
      </c>
      <c r="E1433" s="1">
        <v>1060048</v>
      </c>
      <c r="F1433">
        <v>24</v>
      </c>
      <c r="G1433">
        <v>10688.83</v>
      </c>
      <c r="H1433">
        <v>18.5</v>
      </c>
      <c r="I1433">
        <v>9</v>
      </c>
      <c r="J1433">
        <v>243428</v>
      </c>
      <c r="K1433">
        <v>319220</v>
      </c>
      <c r="L1433" t="s">
        <v>24</v>
      </c>
      <c r="M1433" t="s">
        <v>1472</v>
      </c>
      <c r="N1433" t="s">
        <v>26</v>
      </c>
      <c r="O1433" t="s">
        <v>34</v>
      </c>
      <c r="P1433" t="s">
        <v>22</v>
      </c>
      <c r="Q1433" t="s">
        <v>23</v>
      </c>
      <c r="R1433" t="b">
        <f>OR(Таблица1[[#This Row],[Ежемесячный платеж]]&lt;$AC$5, Таблица1[[#This Row],[Ежемесячный платеж]]&gt;$AC$6)</f>
        <v>0</v>
      </c>
      <c r="S1433" s="9">
        <f>(Таблица1[[#This Row],[Размер кредита]]-21824)/(789096-21824)</f>
        <v>0.32059295790801695</v>
      </c>
      <c r="T1433" s="9">
        <f>(Таблица1[[#This Row],[Кредитный рейтинг]]-586)/(751-586)</f>
        <v>0.64242424242424245</v>
      </c>
      <c r="U1433" s="9">
        <f>Таблица1[[#This Row],[Ежемесячный платеж]]/(Таблица1[[#This Row],[Годовой доход]]/12)</f>
        <v>0.12100014338973331</v>
      </c>
    </row>
    <row r="1434" spans="1:21" x14ac:dyDescent="0.3">
      <c r="A1434">
        <v>1433</v>
      </c>
      <c r="B1434">
        <v>0</v>
      </c>
      <c r="C1434" s="9">
        <v>346544</v>
      </c>
      <c r="D1434">
        <v>722</v>
      </c>
      <c r="E1434" s="1">
        <v>972686</v>
      </c>
      <c r="F1434">
        <v>0</v>
      </c>
      <c r="G1434">
        <v>24073.95</v>
      </c>
      <c r="H1434">
        <v>22.5</v>
      </c>
      <c r="I1434">
        <v>14</v>
      </c>
      <c r="J1434">
        <v>434606</v>
      </c>
      <c r="K1434">
        <v>944130</v>
      </c>
      <c r="L1434" t="s">
        <v>63</v>
      </c>
      <c r="M1434" t="s">
        <v>1473</v>
      </c>
      <c r="N1434" t="s">
        <v>26</v>
      </c>
      <c r="O1434" t="s">
        <v>21</v>
      </c>
      <c r="P1434" t="s">
        <v>31</v>
      </c>
      <c r="Q1434" t="s">
        <v>23</v>
      </c>
      <c r="R1434" t="b">
        <f>OR(Таблица1[[#This Row],[Ежемесячный платеж]]&lt;$AC$5, Таблица1[[#This Row],[Ежемесячный платеж]]&gt;$AC$6)</f>
        <v>0</v>
      </c>
      <c r="S1434" s="9">
        <f>(Таблица1[[#This Row],[Размер кредита]]-21824)/(789096-21824)</f>
        <v>0.42321367129257942</v>
      </c>
      <c r="T1434" s="9">
        <f>(Таблица1[[#This Row],[Кредитный рейтинг]]-586)/(751-586)</f>
        <v>0.82424242424242422</v>
      </c>
      <c r="U1434" s="9">
        <f>Таблица1[[#This Row],[Ежемесячный платеж]]/(Таблица1[[#This Row],[Годовой доход]]/12)</f>
        <v>0.29699964839629645</v>
      </c>
    </row>
    <row r="1435" spans="1:21" x14ac:dyDescent="0.3">
      <c r="A1435">
        <v>1434</v>
      </c>
      <c r="B1435">
        <v>0</v>
      </c>
      <c r="C1435" s="9">
        <v>24684</v>
      </c>
      <c r="D1435">
        <v>724</v>
      </c>
      <c r="E1435" s="1">
        <v>697547</v>
      </c>
      <c r="F1435">
        <v>0</v>
      </c>
      <c r="G1435">
        <v>18310.490000000002</v>
      </c>
      <c r="H1435">
        <v>13.3</v>
      </c>
      <c r="I1435">
        <v>6</v>
      </c>
      <c r="J1435">
        <v>31445</v>
      </c>
      <c r="K1435">
        <v>246026</v>
      </c>
      <c r="L1435" t="s">
        <v>24</v>
      </c>
      <c r="M1435" t="s">
        <v>1474</v>
      </c>
      <c r="N1435" t="s">
        <v>26</v>
      </c>
      <c r="O1435" t="s">
        <v>21</v>
      </c>
      <c r="P1435" t="s">
        <v>22</v>
      </c>
      <c r="Q1435" t="s">
        <v>23</v>
      </c>
      <c r="R1435" t="b">
        <f>OR(Таблица1[[#This Row],[Ежемесячный платеж]]&lt;$AC$5, Таблица1[[#This Row],[Ежемесячный платеж]]&gt;$AC$6)</f>
        <v>0</v>
      </c>
      <c r="S1435" s="9">
        <f>(Таблица1[[#This Row],[Размер кредита]]-21824)/(789096-21824)</f>
        <v>3.7274916848262416E-3</v>
      </c>
      <c r="T1435" s="9">
        <f>(Таблица1[[#This Row],[Кредитный рейтинг]]-586)/(751-586)</f>
        <v>0.83636363636363631</v>
      </c>
      <c r="U1435" s="9">
        <f>Таблица1[[#This Row],[Ежемесячный платеж]]/(Таблица1[[#This Row],[Годовой доход]]/12)</f>
        <v>0.31499795712690332</v>
      </c>
    </row>
    <row r="1436" spans="1:21" x14ac:dyDescent="0.3">
      <c r="A1436">
        <v>1435</v>
      </c>
      <c r="B1436">
        <v>0</v>
      </c>
      <c r="C1436" s="9">
        <v>207680</v>
      </c>
      <c r="D1436">
        <v>733</v>
      </c>
      <c r="E1436" s="1">
        <v>529511</v>
      </c>
      <c r="F1436">
        <v>0</v>
      </c>
      <c r="G1436">
        <v>7589.74</v>
      </c>
      <c r="H1436">
        <v>14.5</v>
      </c>
      <c r="I1436">
        <v>9</v>
      </c>
      <c r="J1436">
        <v>113316</v>
      </c>
      <c r="K1436">
        <v>390522</v>
      </c>
      <c r="L1436" t="s">
        <v>24</v>
      </c>
      <c r="M1436" s="2" t="s">
        <v>1475</v>
      </c>
      <c r="N1436" t="s">
        <v>26</v>
      </c>
      <c r="O1436" t="s">
        <v>21</v>
      </c>
      <c r="P1436" t="s">
        <v>22</v>
      </c>
      <c r="Q1436" t="s">
        <v>36</v>
      </c>
      <c r="R1436" t="b">
        <f>OR(Таблица1[[#This Row],[Ежемесячный платеж]]&lt;$AC$5, Таблица1[[#This Row],[Ежемесячный платеж]]&gt;$AC$6)</f>
        <v>0</v>
      </c>
      <c r="S1436" s="9">
        <f>(Таблица1[[#This Row],[Размер кредита]]-21824)/(789096-21824)</f>
        <v>0.24222961348778529</v>
      </c>
      <c r="T1436" s="9">
        <f>(Таблица1[[#This Row],[Кредитный рейтинг]]-586)/(751-586)</f>
        <v>0.89090909090909087</v>
      </c>
      <c r="U1436" s="9">
        <f>Таблица1[[#This Row],[Ежемесячный платеж]]/(Таблица1[[#This Row],[Годовой доход]]/12)</f>
        <v>0.17200186587247479</v>
      </c>
    </row>
    <row r="1437" spans="1:21" x14ac:dyDescent="0.3">
      <c r="A1437">
        <v>1436</v>
      </c>
      <c r="B1437">
        <v>0</v>
      </c>
      <c r="C1437" s="9">
        <v>110836</v>
      </c>
      <c r="D1437">
        <v>742</v>
      </c>
      <c r="E1437" s="1">
        <v>765700</v>
      </c>
      <c r="F1437">
        <v>0</v>
      </c>
      <c r="G1437">
        <v>3407.46</v>
      </c>
      <c r="H1437">
        <v>13.9</v>
      </c>
      <c r="I1437">
        <v>5</v>
      </c>
      <c r="J1437">
        <v>107293</v>
      </c>
      <c r="K1437">
        <v>255090</v>
      </c>
      <c r="L1437" t="s">
        <v>24</v>
      </c>
      <c r="M1437" t="s">
        <v>1476</v>
      </c>
      <c r="N1437" t="s">
        <v>26</v>
      </c>
      <c r="O1437" t="s">
        <v>34</v>
      </c>
      <c r="P1437" t="s">
        <v>22</v>
      </c>
      <c r="Q1437" t="s">
        <v>23</v>
      </c>
      <c r="R1437" t="b">
        <f>OR(Таблица1[[#This Row],[Ежемесячный платеж]]&lt;$AC$5, Таблица1[[#This Row],[Ежемесячный платеж]]&gt;$AC$6)</f>
        <v>0</v>
      </c>
      <c r="S1437" s="9">
        <f>(Таблица1[[#This Row],[Размер кредита]]-21824)/(789096-21824)</f>
        <v>0.11601101043697672</v>
      </c>
      <c r="T1437" s="9">
        <f>(Таблица1[[#This Row],[Кредитный рейтинг]]-586)/(751-586)</f>
        <v>0.94545454545454544</v>
      </c>
      <c r="U1437" s="9">
        <f>Таблица1[[#This Row],[Ежемесячный платеж]]/(Таблица1[[#This Row],[Годовой доход]]/12)</f>
        <v>5.3401488833746895E-2</v>
      </c>
    </row>
    <row r="1438" spans="1:21" x14ac:dyDescent="0.3">
      <c r="A1438">
        <v>1437</v>
      </c>
      <c r="B1438">
        <v>0</v>
      </c>
      <c r="C1438" s="9">
        <v>676170</v>
      </c>
      <c r="D1438">
        <v>744</v>
      </c>
      <c r="E1438" s="1">
        <v>1557240</v>
      </c>
      <c r="F1438">
        <v>0</v>
      </c>
      <c r="G1438">
        <v>18297.57</v>
      </c>
      <c r="H1438">
        <v>24.7</v>
      </c>
      <c r="I1438">
        <v>5</v>
      </c>
      <c r="J1438">
        <v>712994</v>
      </c>
      <c r="K1438">
        <v>1120196</v>
      </c>
      <c r="L1438" t="s">
        <v>24</v>
      </c>
      <c r="M1438" t="s">
        <v>1477</v>
      </c>
      <c r="N1438" t="s">
        <v>26</v>
      </c>
      <c r="O1438" t="s">
        <v>34</v>
      </c>
      <c r="P1438" t="s">
        <v>22</v>
      </c>
      <c r="Q1438" t="s">
        <v>23</v>
      </c>
      <c r="R1438" t="b">
        <f>OR(Таблица1[[#This Row],[Ежемесячный платеж]]&lt;$AC$5, Таблица1[[#This Row],[Ежемесячный платеж]]&gt;$AC$6)</f>
        <v>0</v>
      </c>
      <c r="S1438" s="9">
        <f>(Таблица1[[#This Row],[Размер кредита]]-21824)/(789096-21824)</f>
        <v>0.85282142447528386</v>
      </c>
      <c r="T1438" s="9">
        <f>(Таблица1[[#This Row],[Кредитный рейтинг]]-586)/(751-586)</f>
        <v>0.95757575757575752</v>
      </c>
      <c r="U1438" s="9">
        <f>Таблица1[[#This Row],[Ежемесячный платеж]]/(Таблица1[[#This Row],[Годовой доход]]/12)</f>
        <v>0.14099999999999999</v>
      </c>
    </row>
    <row r="1439" spans="1:21" x14ac:dyDescent="0.3">
      <c r="A1439">
        <v>1438</v>
      </c>
      <c r="B1439">
        <v>0</v>
      </c>
      <c r="C1439" s="9">
        <v>548790</v>
      </c>
      <c r="D1439">
        <v>686</v>
      </c>
      <c r="E1439" s="1">
        <v>2972189</v>
      </c>
      <c r="F1439">
        <v>41</v>
      </c>
      <c r="G1439">
        <v>6885.6</v>
      </c>
      <c r="H1439">
        <v>30</v>
      </c>
      <c r="I1439">
        <v>12</v>
      </c>
      <c r="J1439">
        <v>21565</v>
      </c>
      <c r="K1439">
        <v>402930</v>
      </c>
      <c r="L1439" t="s">
        <v>24</v>
      </c>
      <c r="M1439" t="s">
        <v>1478</v>
      </c>
      <c r="N1439" t="s">
        <v>2040</v>
      </c>
      <c r="O1439" t="s">
        <v>21</v>
      </c>
      <c r="P1439" t="s">
        <v>31</v>
      </c>
      <c r="Q1439" t="s">
        <v>23</v>
      </c>
      <c r="R1439" t="b">
        <f>OR(Таблица1[[#This Row],[Ежемесячный платеж]]&lt;$AC$5, Таблица1[[#This Row],[Ежемесячный платеж]]&gt;$AC$6)</f>
        <v>0</v>
      </c>
      <c r="S1439" s="9">
        <f>(Таблица1[[#This Row],[Размер кредита]]-21824)/(789096-21824)</f>
        <v>0.6868046794357151</v>
      </c>
      <c r="T1439" s="9">
        <f>(Таблица1[[#This Row],[Кредитный рейтинг]]-586)/(751-586)</f>
        <v>0.60606060606060608</v>
      </c>
      <c r="U1439" s="9">
        <f>Таблица1[[#This Row],[Ежемесячный платеж]]/(Таблица1[[#This Row],[Годовой доход]]/12)</f>
        <v>2.7800116345225691E-2</v>
      </c>
    </row>
    <row r="1440" spans="1:21" x14ac:dyDescent="0.3">
      <c r="A1440">
        <v>1439</v>
      </c>
      <c r="B1440">
        <v>0</v>
      </c>
      <c r="C1440" s="9">
        <v>185306</v>
      </c>
      <c r="D1440">
        <v>716</v>
      </c>
      <c r="E1440" s="1">
        <v>1223771</v>
      </c>
      <c r="F1440">
        <v>32</v>
      </c>
      <c r="G1440">
        <v>17948.349999999999</v>
      </c>
      <c r="H1440">
        <v>16.100000000000001</v>
      </c>
      <c r="I1440">
        <v>19</v>
      </c>
      <c r="J1440">
        <v>109896</v>
      </c>
      <c r="K1440">
        <v>130768</v>
      </c>
      <c r="L1440" t="s">
        <v>24</v>
      </c>
      <c r="M1440" t="s">
        <v>1479</v>
      </c>
      <c r="N1440" t="s">
        <v>26</v>
      </c>
      <c r="O1440" t="s">
        <v>34</v>
      </c>
      <c r="P1440" t="s">
        <v>22</v>
      </c>
      <c r="Q1440" t="s">
        <v>36</v>
      </c>
      <c r="R1440" t="b">
        <f>OR(Таблица1[[#This Row],[Ежемесячный платеж]]&lt;$AC$5, Таблица1[[#This Row],[Ежемесячный платеж]]&gt;$AC$6)</f>
        <v>0</v>
      </c>
      <c r="S1440" s="9">
        <f>(Таблица1[[#This Row],[Размер кредита]]-21824)/(789096-21824)</f>
        <v>0.21306915930726</v>
      </c>
      <c r="T1440" s="9">
        <f>(Таблица1[[#This Row],[Кредитный рейтинг]]-586)/(751-586)</f>
        <v>0.78787878787878785</v>
      </c>
      <c r="U1440" s="9">
        <f>Таблица1[[#This Row],[Ежемесячный платеж]]/(Таблица1[[#This Row],[Годовой доход]]/12)</f>
        <v>0.17599714325637719</v>
      </c>
    </row>
    <row r="1441" spans="1:21" x14ac:dyDescent="0.3">
      <c r="A1441">
        <v>1440</v>
      </c>
      <c r="B1441">
        <v>0</v>
      </c>
      <c r="D1441">
        <v>743</v>
      </c>
      <c r="E1441" s="1">
        <v>1265134</v>
      </c>
      <c r="F1441">
        <v>0</v>
      </c>
      <c r="G1441">
        <v>33315.17</v>
      </c>
      <c r="H1441">
        <v>14.5</v>
      </c>
      <c r="I1441">
        <v>13</v>
      </c>
      <c r="J1441">
        <v>190152</v>
      </c>
      <c r="K1441">
        <v>410036</v>
      </c>
      <c r="L1441" t="s">
        <v>52</v>
      </c>
      <c r="M1441" t="s">
        <v>1480</v>
      </c>
      <c r="N1441" t="s">
        <v>26</v>
      </c>
      <c r="O1441" t="s">
        <v>34</v>
      </c>
      <c r="P1441" t="s">
        <v>22</v>
      </c>
      <c r="Q1441" t="s">
        <v>23</v>
      </c>
      <c r="R1441" t="b">
        <f>OR(Таблица1[[#This Row],[Ежемесячный платеж]]&lt;$AC$5, Таблица1[[#This Row],[Ежемесячный платеж]]&gt;$AC$6)</f>
        <v>0</v>
      </c>
      <c r="T1441" s="9">
        <f>(Таблица1[[#This Row],[Кредитный рейтинг]]-586)/(751-586)</f>
        <v>0.95151515151515154</v>
      </c>
      <c r="U1441" s="9">
        <f>Таблица1[[#This Row],[Ежемесячный платеж]]/(Таблица1[[#This Row],[Годовой доход]]/12)</f>
        <v>0.31599975970924821</v>
      </c>
    </row>
    <row r="1442" spans="1:21" x14ac:dyDescent="0.3">
      <c r="A1442">
        <v>1441</v>
      </c>
      <c r="B1442">
        <v>0</v>
      </c>
      <c r="C1442" s="9">
        <v>173624</v>
      </c>
      <c r="D1442">
        <f>$Y$13</f>
        <v>723</v>
      </c>
      <c r="E1442">
        <f>$AB$13</f>
        <v>1168044</v>
      </c>
      <c r="F1442">
        <v>71</v>
      </c>
      <c r="G1442">
        <v>24835.09</v>
      </c>
      <c r="H1442">
        <v>11.3</v>
      </c>
      <c r="I1442">
        <v>11</v>
      </c>
      <c r="J1442">
        <v>234745</v>
      </c>
      <c r="K1442">
        <v>313874</v>
      </c>
      <c r="L1442" t="s">
        <v>32</v>
      </c>
      <c r="M1442" t="s">
        <v>1481</v>
      </c>
      <c r="N1442" t="s">
        <v>26</v>
      </c>
      <c r="O1442" t="s">
        <v>34</v>
      </c>
      <c r="P1442" t="s">
        <v>22</v>
      </c>
      <c r="Q1442" t="s">
        <v>23</v>
      </c>
      <c r="R1442" t="b">
        <f>OR(Таблица1[[#This Row],[Ежемесячный платеж]]&lt;$AC$5, Таблица1[[#This Row],[Ежемесячный платеж]]&gt;$AC$6)</f>
        <v>0</v>
      </c>
      <c r="S1442" s="9">
        <f>(Таблица1[[#This Row],[Размер кредита]]-21824)/(789096-21824)</f>
        <v>0.19784378942539282</v>
      </c>
      <c r="T1442" s="9">
        <f>(Таблица1[[#This Row],[Кредитный рейтинг]]-586)/(751-586)</f>
        <v>0.83030303030303032</v>
      </c>
      <c r="U1442" s="9">
        <f>Таблица1[[#This Row],[Ежемесячный платеж]]/(Таблица1[[#This Row],[Годовой доход]]/12)</f>
        <v>0.25514542260394302</v>
      </c>
    </row>
    <row r="1443" spans="1:21" x14ac:dyDescent="0.3">
      <c r="A1443">
        <v>1442</v>
      </c>
      <c r="B1443">
        <v>0</v>
      </c>
      <c r="C1443" s="9">
        <v>534556</v>
      </c>
      <c r="D1443">
        <f>$Y$13</f>
        <v>723</v>
      </c>
      <c r="E1443">
        <f>$AB$13</f>
        <v>1168044</v>
      </c>
      <c r="F1443">
        <v>0</v>
      </c>
      <c r="G1443">
        <v>11249.52</v>
      </c>
      <c r="H1443">
        <v>17.899999999999999</v>
      </c>
      <c r="I1443">
        <v>19</v>
      </c>
      <c r="J1443">
        <v>451136</v>
      </c>
      <c r="K1443">
        <v>1949112</v>
      </c>
      <c r="L1443" t="s">
        <v>63</v>
      </c>
      <c r="M1443" t="s">
        <v>1482</v>
      </c>
      <c r="N1443" t="s">
        <v>26</v>
      </c>
      <c r="O1443" t="s">
        <v>28</v>
      </c>
      <c r="P1443" t="s">
        <v>22</v>
      </c>
      <c r="Q1443" t="s">
        <v>36</v>
      </c>
      <c r="R1443" t="b">
        <f>OR(Таблица1[[#This Row],[Ежемесячный платеж]]&lt;$AC$5, Таблица1[[#This Row],[Ежемесячный платеж]]&gt;$AC$6)</f>
        <v>0</v>
      </c>
      <c r="S1443" s="9">
        <f>(Таблица1[[#This Row],[Размер кредита]]-21824)/(789096-21824)</f>
        <v>0.66825324005046449</v>
      </c>
      <c r="T1443" s="9">
        <f>(Таблица1[[#This Row],[Кредитный рейтинг]]-586)/(751-586)</f>
        <v>0.83030303030303032</v>
      </c>
      <c r="U1443" s="9">
        <f>Таблица1[[#This Row],[Ежемесячный платеж]]/(Таблица1[[#This Row],[Годовой доход]]/12)</f>
        <v>0.11557290650009761</v>
      </c>
    </row>
    <row r="1444" spans="1:21" x14ac:dyDescent="0.3">
      <c r="A1444">
        <v>1443</v>
      </c>
      <c r="B1444">
        <v>0</v>
      </c>
      <c r="C1444" s="9">
        <v>729542</v>
      </c>
      <c r="D1444">
        <v>734</v>
      </c>
      <c r="E1444" s="1">
        <v>2044438</v>
      </c>
      <c r="F1444">
        <v>0</v>
      </c>
      <c r="G1444">
        <v>57414.77</v>
      </c>
      <c r="H1444">
        <v>10</v>
      </c>
      <c r="I1444">
        <v>12</v>
      </c>
      <c r="J1444">
        <v>811243</v>
      </c>
      <c r="K1444">
        <v>1369302</v>
      </c>
      <c r="L1444" t="s">
        <v>37</v>
      </c>
      <c r="M1444" t="s">
        <v>1483</v>
      </c>
      <c r="N1444" t="s">
        <v>26</v>
      </c>
      <c r="O1444" t="s">
        <v>28</v>
      </c>
      <c r="P1444" t="s">
        <v>22</v>
      </c>
      <c r="Q1444" t="s">
        <v>23</v>
      </c>
      <c r="R1444" t="b">
        <f>OR(Таблица1[[#This Row],[Ежемесячный платеж]]&lt;$AC$5, Таблица1[[#This Row],[Ежемесячный платеж]]&gt;$AC$6)</f>
        <v>1</v>
      </c>
      <c r="S1444" s="9">
        <f>(Таблица1[[#This Row],[Размер кредита]]-21824)/(789096-21824)</f>
        <v>0.92238215391673362</v>
      </c>
      <c r="T1444" s="9">
        <f>(Таблица1[[#This Row],[Кредитный рейтинг]]-586)/(751-586)</f>
        <v>0.89696969696969697</v>
      </c>
      <c r="U1444" s="9">
        <f>Таблица1[[#This Row],[Ежемесячный платеж]]/(Таблица1[[#This Row],[Годовой доход]]/12)</f>
        <v>0.33700079924164972</v>
      </c>
    </row>
    <row r="1445" spans="1:21" x14ac:dyDescent="0.3">
      <c r="A1445">
        <v>1444</v>
      </c>
      <c r="B1445">
        <v>0</v>
      </c>
      <c r="C1445" s="9">
        <v>287034</v>
      </c>
      <c r="D1445">
        <f>$Y$13</f>
        <v>723</v>
      </c>
      <c r="E1445">
        <f>$AB$13</f>
        <v>1168044</v>
      </c>
      <c r="F1445">
        <v>0</v>
      </c>
      <c r="G1445">
        <v>16331.83</v>
      </c>
      <c r="H1445">
        <v>6.9</v>
      </c>
      <c r="I1445">
        <v>5</v>
      </c>
      <c r="J1445">
        <v>272403</v>
      </c>
      <c r="K1445">
        <v>830060</v>
      </c>
      <c r="L1445" t="s">
        <v>63</v>
      </c>
      <c r="M1445" t="s">
        <v>1484</v>
      </c>
      <c r="N1445" t="s">
        <v>26</v>
      </c>
      <c r="O1445" t="s">
        <v>34</v>
      </c>
      <c r="P1445" t="s">
        <v>22</v>
      </c>
      <c r="Q1445" t="s">
        <v>23</v>
      </c>
      <c r="R1445" t="b">
        <f>OR(Таблица1[[#This Row],[Ежемесячный платеж]]&lt;$AC$5, Таблица1[[#This Row],[Ежемесячный платеж]]&gt;$AC$6)</f>
        <v>0</v>
      </c>
      <c r="S1445" s="9">
        <f>(Таблица1[[#This Row],[Размер кредита]]-21824)/(789096-21824)</f>
        <v>0.34565317123523343</v>
      </c>
      <c r="T1445" s="9">
        <f>(Таблица1[[#This Row],[Кредитный рейтинг]]-586)/(751-586)</f>
        <v>0.83030303030303032</v>
      </c>
      <c r="U1445" s="9">
        <f>Таблица1[[#This Row],[Ежемесячный платеж]]/(Таблица1[[#This Row],[Годовой доход]]/12)</f>
        <v>0.16778645325004879</v>
      </c>
    </row>
    <row r="1446" spans="1:21" x14ac:dyDescent="0.3">
      <c r="A1446">
        <v>1445</v>
      </c>
      <c r="B1446">
        <v>0</v>
      </c>
      <c r="C1446" s="9">
        <v>560956</v>
      </c>
      <c r="D1446">
        <v>668</v>
      </c>
      <c r="E1446" s="1">
        <v>3391253</v>
      </c>
      <c r="F1446">
        <v>22</v>
      </c>
      <c r="G1446">
        <v>35325.56</v>
      </c>
      <c r="H1446">
        <v>30.3</v>
      </c>
      <c r="I1446">
        <v>29</v>
      </c>
      <c r="J1446">
        <v>570912</v>
      </c>
      <c r="K1446">
        <v>2592348</v>
      </c>
      <c r="L1446" t="s">
        <v>41</v>
      </c>
      <c r="M1446" t="s">
        <v>1485</v>
      </c>
      <c r="N1446" t="s">
        <v>68</v>
      </c>
      <c r="O1446" t="s">
        <v>21</v>
      </c>
      <c r="P1446" t="s">
        <v>31</v>
      </c>
      <c r="Q1446" t="s">
        <v>36</v>
      </c>
      <c r="R1446" t="b">
        <f>OR(Таблица1[[#This Row],[Ежемесячный платеж]]&lt;$AC$5, Таблица1[[#This Row],[Ежемесячный платеж]]&gt;$AC$6)</f>
        <v>0</v>
      </c>
      <c r="S1446" s="9">
        <f>(Таблица1[[#This Row],[Размер кредита]]-21824)/(789096-21824)</f>
        <v>0.70266085560270675</v>
      </c>
      <c r="T1446" s="9">
        <f>(Таблица1[[#This Row],[Кредитный рейтинг]]-586)/(751-586)</f>
        <v>0.49696969696969695</v>
      </c>
      <c r="U1446" s="9">
        <f>Таблица1[[#This Row],[Ежемесячный платеж]]/(Таблица1[[#This Row],[Годовой доход]]/12)</f>
        <v>0.12500002801324464</v>
      </c>
    </row>
    <row r="1447" spans="1:21" x14ac:dyDescent="0.3">
      <c r="A1447">
        <v>1446</v>
      </c>
      <c r="B1447">
        <v>0</v>
      </c>
      <c r="C1447" s="9">
        <v>782936</v>
      </c>
      <c r="D1447">
        <v>715</v>
      </c>
      <c r="E1447" s="1">
        <v>1719405</v>
      </c>
      <c r="F1447">
        <v>0</v>
      </c>
      <c r="G1447">
        <v>29373.24</v>
      </c>
      <c r="H1447">
        <v>10.7</v>
      </c>
      <c r="I1447">
        <v>12</v>
      </c>
      <c r="J1447">
        <v>561830</v>
      </c>
      <c r="K1447">
        <v>1115840</v>
      </c>
      <c r="L1447" t="s">
        <v>24</v>
      </c>
      <c r="M1447" t="s">
        <v>1486</v>
      </c>
      <c r="N1447" t="s">
        <v>26</v>
      </c>
      <c r="O1447" t="s">
        <v>28</v>
      </c>
      <c r="P1447" t="s">
        <v>22</v>
      </c>
      <c r="Q1447" t="s">
        <v>23</v>
      </c>
      <c r="R1447" t="b">
        <f>OR(Таблица1[[#This Row],[Ежемесячный платеж]]&lt;$AC$5, Таблица1[[#This Row],[Ежемесячный платеж]]&gt;$AC$6)</f>
        <v>0</v>
      </c>
      <c r="S1447" s="9">
        <f>(Таблица1[[#This Row],[Размер кредита]]-21824)/(789096-21824)</f>
        <v>0.99197155637114343</v>
      </c>
      <c r="T1447" s="9">
        <f>(Таблица1[[#This Row],[Кредитный рейтинг]]-586)/(751-586)</f>
        <v>0.78181818181818186</v>
      </c>
      <c r="U1447" s="9">
        <f>Таблица1[[#This Row],[Ежемесячный платеж]]/(Таблица1[[#This Row],[Годовой доход]]/12)</f>
        <v>0.20500049726504227</v>
      </c>
    </row>
    <row r="1448" spans="1:21" x14ac:dyDescent="0.3">
      <c r="A1448">
        <v>1447</v>
      </c>
      <c r="B1448">
        <v>0</v>
      </c>
      <c r="D1448">
        <v>730</v>
      </c>
      <c r="E1448" s="1">
        <v>857489</v>
      </c>
      <c r="F1448">
        <v>22</v>
      </c>
      <c r="G1448">
        <v>3265.53</v>
      </c>
      <c r="H1448">
        <v>20.100000000000001</v>
      </c>
      <c r="I1448">
        <v>15</v>
      </c>
      <c r="J1448">
        <v>112575</v>
      </c>
      <c r="K1448">
        <v>413798</v>
      </c>
      <c r="L1448" t="s">
        <v>24</v>
      </c>
      <c r="M1448" t="s">
        <v>1487</v>
      </c>
      <c r="N1448" t="s">
        <v>26</v>
      </c>
      <c r="O1448" t="s">
        <v>34</v>
      </c>
      <c r="P1448" t="s">
        <v>22</v>
      </c>
      <c r="Q1448" t="s">
        <v>23</v>
      </c>
      <c r="R1448" t="b">
        <f>OR(Таблица1[[#This Row],[Ежемесячный платеж]]&lt;$AC$5, Таблица1[[#This Row],[Ежемесячный платеж]]&gt;$AC$6)</f>
        <v>0</v>
      </c>
      <c r="T1448" s="9">
        <f>(Таблица1[[#This Row],[Кредитный рейтинг]]-586)/(751-586)</f>
        <v>0.87272727272727268</v>
      </c>
      <c r="U1448" s="9">
        <f>Таблица1[[#This Row],[Ежемесячный платеж]]/(Таблица1[[#This Row],[Годовой доход]]/12)</f>
        <v>4.5698965234539451E-2</v>
      </c>
    </row>
    <row r="1449" spans="1:21" x14ac:dyDescent="0.3">
      <c r="A1449">
        <v>1448</v>
      </c>
      <c r="B1449">
        <v>0</v>
      </c>
      <c r="C1449" s="9">
        <v>215798</v>
      </c>
      <c r="D1449">
        <v>725</v>
      </c>
      <c r="E1449" s="1">
        <v>1358994</v>
      </c>
      <c r="F1449">
        <v>0</v>
      </c>
      <c r="G1449">
        <v>2502.87</v>
      </c>
      <c r="H1449">
        <v>15.5</v>
      </c>
      <c r="I1449">
        <v>7</v>
      </c>
      <c r="J1449">
        <v>114133</v>
      </c>
      <c r="K1449">
        <v>211442</v>
      </c>
      <c r="L1449" t="s">
        <v>52</v>
      </c>
      <c r="M1449" t="s">
        <v>1488</v>
      </c>
      <c r="N1449" t="s">
        <v>26</v>
      </c>
      <c r="O1449" t="s">
        <v>34</v>
      </c>
      <c r="P1449" t="s">
        <v>22</v>
      </c>
      <c r="Q1449" t="s">
        <v>23</v>
      </c>
      <c r="R1449" t="b">
        <f>OR(Таблица1[[#This Row],[Ежемесячный платеж]]&lt;$AC$5, Таблица1[[#This Row],[Ежемесячный платеж]]&gt;$AC$6)</f>
        <v>0</v>
      </c>
      <c r="S1449" s="9">
        <f>(Таблица1[[#This Row],[Размер кредита]]-21824)/(789096-21824)</f>
        <v>0.25280995527009981</v>
      </c>
      <c r="T1449" s="9">
        <f>(Таблица1[[#This Row],[Кредитный рейтинг]]-586)/(751-586)</f>
        <v>0.84242424242424241</v>
      </c>
      <c r="U1449" s="9">
        <f>Таблица1[[#This Row],[Ежемесячный платеж]]/(Таблица1[[#This Row],[Годовой доход]]/12)</f>
        <v>2.2100494924922404E-2</v>
      </c>
    </row>
    <row r="1450" spans="1:21" x14ac:dyDescent="0.3">
      <c r="A1450">
        <v>1449</v>
      </c>
      <c r="B1450">
        <v>0</v>
      </c>
      <c r="C1450" s="9">
        <v>150788</v>
      </c>
      <c r="D1450">
        <f>$Y$13</f>
        <v>723</v>
      </c>
      <c r="E1450">
        <f>$AB$13</f>
        <v>1168044</v>
      </c>
      <c r="F1450">
        <v>0</v>
      </c>
      <c r="G1450">
        <v>14511.82</v>
      </c>
      <c r="H1450">
        <v>31</v>
      </c>
      <c r="I1450">
        <v>10</v>
      </c>
      <c r="J1450">
        <v>262789</v>
      </c>
      <c r="K1450">
        <v>652982</v>
      </c>
      <c r="L1450" t="s">
        <v>32</v>
      </c>
      <c r="M1450" t="s">
        <v>1489</v>
      </c>
      <c r="N1450" t="s">
        <v>26</v>
      </c>
      <c r="O1450" t="s">
        <v>28</v>
      </c>
      <c r="P1450" t="s">
        <v>22</v>
      </c>
      <c r="Q1450" t="s">
        <v>23</v>
      </c>
      <c r="R1450" t="b">
        <f>OR(Таблица1[[#This Row],[Ежемесячный платеж]]&lt;$AC$5, Таблица1[[#This Row],[Ежемесячный платеж]]&gt;$AC$6)</f>
        <v>0</v>
      </c>
      <c r="S1450" s="9">
        <f>(Таблица1[[#This Row],[Размер кредита]]-21824)/(789096-21824)</f>
        <v>0.16808120197270329</v>
      </c>
      <c r="T1450" s="9">
        <f>(Таблица1[[#This Row],[Кредитный рейтинг]]-586)/(751-586)</f>
        <v>0.83030303030303032</v>
      </c>
      <c r="U1450" s="9">
        <f>Таблица1[[#This Row],[Ежемесячный платеж]]/(Таблица1[[#This Row],[Годовой доход]]/12)</f>
        <v>0.14908842475112238</v>
      </c>
    </row>
    <row r="1451" spans="1:21" x14ac:dyDescent="0.3">
      <c r="A1451">
        <v>1450</v>
      </c>
      <c r="B1451">
        <v>0</v>
      </c>
      <c r="D1451">
        <v>738</v>
      </c>
      <c r="E1451" s="1">
        <v>1341704</v>
      </c>
      <c r="F1451">
        <v>0</v>
      </c>
      <c r="G1451">
        <v>5646.23</v>
      </c>
      <c r="H1451">
        <v>18.899999999999999</v>
      </c>
      <c r="I1451">
        <v>10</v>
      </c>
      <c r="J1451">
        <v>182058</v>
      </c>
      <c r="K1451">
        <v>932734</v>
      </c>
      <c r="L1451" t="s">
        <v>69</v>
      </c>
      <c r="M1451" t="s">
        <v>1490</v>
      </c>
      <c r="N1451" t="s">
        <v>26</v>
      </c>
      <c r="O1451" t="s">
        <v>34</v>
      </c>
      <c r="P1451" t="s">
        <v>31</v>
      </c>
      <c r="Q1451" t="s">
        <v>23</v>
      </c>
      <c r="R1451" t="b">
        <f>OR(Таблица1[[#This Row],[Ежемесячный платеж]]&lt;$AC$5, Таблица1[[#This Row],[Ежемесячный платеж]]&gt;$AC$6)</f>
        <v>0</v>
      </c>
      <c r="T1451" s="9">
        <f>(Таблица1[[#This Row],[Кредитный рейтинг]]-586)/(751-586)</f>
        <v>0.92121212121212126</v>
      </c>
      <c r="U1451" s="9">
        <f>Таблица1[[#This Row],[Ежемесячный платеж]]/(Таблица1[[#This Row],[Годовой доход]]/12)</f>
        <v>5.0499037045428789E-2</v>
      </c>
    </row>
    <row r="1452" spans="1:21" x14ac:dyDescent="0.3">
      <c r="A1452">
        <v>1451</v>
      </c>
      <c r="B1452">
        <v>0</v>
      </c>
      <c r="C1452" s="9">
        <v>270116</v>
      </c>
      <c r="D1452">
        <v>746</v>
      </c>
      <c r="E1452" s="1">
        <v>1652468</v>
      </c>
      <c r="F1452">
        <v>0</v>
      </c>
      <c r="G1452">
        <v>16937.740000000002</v>
      </c>
      <c r="H1452">
        <v>14.7</v>
      </c>
      <c r="I1452">
        <v>7</v>
      </c>
      <c r="J1452">
        <v>261402</v>
      </c>
      <c r="K1452">
        <v>441232</v>
      </c>
      <c r="L1452" t="s">
        <v>24</v>
      </c>
      <c r="M1452" t="s">
        <v>1491</v>
      </c>
      <c r="N1452" t="s">
        <v>26</v>
      </c>
      <c r="O1452" t="s">
        <v>21</v>
      </c>
      <c r="P1452" t="s">
        <v>22</v>
      </c>
      <c r="Q1452" t="s">
        <v>23</v>
      </c>
      <c r="R1452" t="b">
        <f>OR(Таблица1[[#This Row],[Ежемесячный платеж]]&lt;$AC$5, Таблица1[[#This Row],[Ежемесячный платеж]]&gt;$AC$6)</f>
        <v>0</v>
      </c>
      <c r="S1452" s="9">
        <f>(Таблица1[[#This Row],[Размер кредита]]-21824)/(789096-21824)</f>
        <v>0.32360362426883815</v>
      </c>
      <c r="T1452" s="9">
        <f>(Таблица1[[#This Row],[Кредитный рейтинг]]-586)/(751-586)</f>
        <v>0.96969696969696972</v>
      </c>
      <c r="U1452" s="9">
        <f>Таблица1[[#This Row],[Ежемесячный платеж]]/(Таблица1[[#This Row],[Годовой доход]]/12)</f>
        <v>0.1229995860736789</v>
      </c>
    </row>
    <row r="1453" spans="1:21" x14ac:dyDescent="0.3">
      <c r="A1453">
        <v>1452</v>
      </c>
      <c r="B1453">
        <v>0</v>
      </c>
      <c r="D1453">
        <v>749</v>
      </c>
      <c r="E1453" s="1">
        <v>1068598</v>
      </c>
      <c r="F1453">
        <v>0</v>
      </c>
      <c r="G1453">
        <v>18255.2</v>
      </c>
      <c r="H1453">
        <v>20.6</v>
      </c>
      <c r="I1453">
        <v>10</v>
      </c>
      <c r="J1453">
        <v>409051</v>
      </c>
      <c r="K1453">
        <v>923252</v>
      </c>
      <c r="L1453" t="s">
        <v>47</v>
      </c>
      <c r="M1453" t="s">
        <v>1492</v>
      </c>
      <c r="N1453" t="s">
        <v>26</v>
      </c>
      <c r="O1453" t="s">
        <v>21</v>
      </c>
      <c r="P1453" t="s">
        <v>22</v>
      </c>
      <c r="Q1453" t="s">
        <v>23</v>
      </c>
      <c r="R1453" t="b">
        <f>OR(Таблица1[[#This Row],[Ежемесячный платеж]]&lt;$AC$5, Таблица1[[#This Row],[Ежемесячный платеж]]&gt;$AC$6)</f>
        <v>0</v>
      </c>
      <c r="T1453" s="9">
        <f>(Таблица1[[#This Row],[Кредитный рейтинг]]-586)/(751-586)</f>
        <v>0.98787878787878791</v>
      </c>
      <c r="U1453" s="9">
        <f>Таблица1[[#This Row],[Ежемесячный платеж]]/(Таблица1[[#This Row],[Годовой доход]]/12)</f>
        <v>0.20499982219693469</v>
      </c>
    </row>
    <row r="1454" spans="1:21" x14ac:dyDescent="0.3">
      <c r="A1454">
        <v>1453</v>
      </c>
      <c r="B1454">
        <v>0</v>
      </c>
      <c r="C1454" s="9">
        <v>177144</v>
      </c>
      <c r="D1454">
        <f>$Y$13</f>
        <v>723</v>
      </c>
      <c r="E1454">
        <f>$AB$13</f>
        <v>1168044</v>
      </c>
      <c r="F1454">
        <v>0</v>
      </c>
      <c r="G1454">
        <v>9437.49</v>
      </c>
      <c r="H1454">
        <v>6.7</v>
      </c>
      <c r="I1454">
        <v>6</v>
      </c>
      <c r="J1454">
        <v>155268</v>
      </c>
      <c r="K1454">
        <v>256828</v>
      </c>
      <c r="L1454" t="s">
        <v>32</v>
      </c>
      <c r="M1454" t="s">
        <v>1493</v>
      </c>
      <c r="N1454" t="s">
        <v>26</v>
      </c>
      <c r="O1454" t="s">
        <v>28</v>
      </c>
      <c r="P1454" t="s">
        <v>22</v>
      </c>
      <c r="Q1454" t="s">
        <v>36</v>
      </c>
      <c r="R1454" t="b">
        <f>OR(Таблица1[[#This Row],[Ежемесячный платеж]]&lt;$AC$5, Таблица1[[#This Row],[Ежемесячный платеж]]&gt;$AC$6)</f>
        <v>0</v>
      </c>
      <c r="S1454" s="9">
        <f>(Таблица1[[#This Row],[Размер кредита]]-21824)/(789096-21824)</f>
        <v>0.20243147149902513</v>
      </c>
      <c r="T1454" s="9">
        <f>(Таблица1[[#This Row],[Кредитный рейтинг]]-586)/(751-586)</f>
        <v>0.83030303030303032</v>
      </c>
      <c r="U1454" s="9">
        <f>Таблица1[[#This Row],[Ежемесячный платеж]]/(Таблица1[[#This Row],[Годовой доход]]/12)</f>
        <v>9.6956861214132342E-2</v>
      </c>
    </row>
    <row r="1455" spans="1:21" x14ac:dyDescent="0.3">
      <c r="A1455">
        <v>1454</v>
      </c>
      <c r="B1455">
        <v>0</v>
      </c>
      <c r="C1455" s="9">
        <v>585266</v>
      </c>
      <c r="D1455">
        <v>706</v>
      </c>
      <c r="E1455" s="1">
        <v>1273000</v>
      </c>
      <c r="F1455">
        <v>0</v>
      </c>
      <c r="G1455">
        <v>20686.439999999999</v>
      </c>
      <c r="H1455">
        <v>16.399999999999999</v>
      </c>
      <c r="I1455">
        <v>12</v>
      </c>
      <c r="J1455">
        <v>505343</v>
      </c>
      <c r="K1455">
        <v>645854</v>
      </c>
      <c r="L1455" t="s">
        <v>24</v>
      </c>
      <c r="M1455" t="s">
        <v>1494</v>
      </c>
      <c r="N1455" t="s">
        <v>26</v>
      </c>
      <c r="O1455" t="s">
        <v>34</v>
      </c>
      <c r="P1455" t="s">
        <v>22</v>
      </c>
      <c r="Q1455" t="s">
        <v>23</v>
      </c>
      <c r="R1455" t="b">
        <f>OR(Таблица1[[#This Row],[Ежемесячный платеж]]&lt;$AC$5, Таблица1[[#This Row],[Ежемесячный платеж]]&gt;$AC$6)</f>
        <v>0</v>
      </c>
      <c r="S1455" s="9">
        <f>(Таблица1[[#This Row],[Размер кредита]]-21824)/(789096-21824)</f>
        <v>0.73434453492372975</v>
      </c>
      <c r="T1455" s="9">
        <f>(Таблица1[[#This Row],[Кредитный рейтинг]]-586)/(751-586)</f>
        <v>0.72727272727272729</v>
      </c>
      <c r="U1455" s="9">
        <f>Таблица1[[#This Row],[Ежемесячный платеж]]/(Таблица1[[#This Row],[Годовой доход]]/12)</f>
        <v>0.19500179104477611</v>
      </c>
    </row>
    <row r="1456" spans="1:21" x14ac:dyDescent="0.3">
      <c r="A1456">
        <v>1455</v>
      </c>
      <c r="B1456">
        <v>0</v>
      </c>
      <c r="C1456" s="9">
        <v>265320</v>
      </c>
      <c r="D1456">
        <v>744</v>
      </c>
      <c r="E1456" s="1">
        <v>916560</v>
      </c>
      <c r="F1456">
        <v>0</v>
      </c>
      <c r="G1456">
        <v>13137.36</v>
      </c>
      <c r="H1456">
        <v>9.5</v>
      </c>
      <c r="I1456">
        <v>8</v>
      </c>
      <c r="J1456">
        <v>183198</v>
      </c>
      <c r="K1456">
        <v>564168</v>
      </c>
      <c r="L1456" t="s">
        <v>29</v>
      </c>
      <c r="M1456" t="s">
        <v>1495</v>
      </c>
      <c r="N1456" t="s">
        <v>26</v>
      </c>
      <c r="O1456" t="s">
        <v>34</v>
      </c>
      <c r="P1456" t="s">
        <v>22</v>
      </c>
      <c r="Q1456" t="s">
        <v>23</v>
      </c>
      <c r="R1456" t="b">
        <f>OR(Таблица1[[#This Row],[Ежемесячный платеж]]&lt;$AC$5, Таблица1[[#This Row],[Ежемесячный платеж]]&gt;$AC$6)</f>
        <v>0</v>
      </c>
      <c r="S1456" s="9">
        <f>(Таблица1[[#This Row],[Размер кредита]]-21824)/(789096-21824)</f>
        <v>0.31735290744351419</v>
      </c>
      <c r="T1456" s="9">
        <f>(Таблица1[[#This Row],[Кредитный рейтинг]]-586)/(751-586)</f>
        <v>0.95757575757575752</v>
      </c>
      <c r="U1456" s="9">
        <f>Таблица1[[#This Row],[Ежемесячный платеж]]/(Таблица1[[#This Row],[Годовой доход]]/12)</f>
        <v>0.17200000000000001</v>
      </c>
    </row>
    <row r="1457" spans="1:21" x14ac:dyDescent="0.3">
      <c r="A1457">
        <v>1456</v>
      </c>
      <c r="B1457">
        <v>0</v>
      </c>
      <c r="C1457" s="9">
        <v>75394</v>
      </c>
      <c r="D1457">
        <f>$Y$13</f>
        <v>723</v>
      </c>
      <c r="E1457">
        <f>$AB$13</f>
        <v>1168044</v>
      </c>
      <c r="F1457">
        <v>27</v>
      </c>
      <c r="G1457">
        <v>17317.55</v>
      </c>
      <c r="H1457">
        <v>25.6</v>
      </c>
      <c r="I1457">
        <v>9</v>
      </c>
      <c r="J1457">
        <v>205409</v>
      </c>
      <c r="K1457">
        <v>417274</v>
      </c>
      <c r="L1457" t="s">
        <v>69</v>
      </c>
      <c r="M1457" t="s">
        <v>1496</v>
      </c>
      <c r="N1457" t="s">
        <v>20</v>
      </c>
      <c r="O1457" t="s">
        <v>21</v>
      </c>
      <c r="P1457" t="s">
        <v>22</v>
      </c>
      <c r="Q1457" t="s">
        <v>23</v>
      </c>
      <c r="R1457" t="b">
        <f>OR(Таблица1[[#This Row],[Ежемесячный платеж]]&lt;$AC$5, Таблица1[[#This Row],[Ежемесячный платеж]]&gt;$AC$6)</f>
        <v>0</v>
      </c>
      <c r="S1457" s="9">
        <f>(Таблица1[[#This Row],[Размер кредита]]-21824)/(789096-21824)</f>
        <v>6.9818786558091525E-2</v>
      </c>
      <c r="T1457" s="9">
        <f>(Таблица1[[#This Row],[Кредитный рейтинг]]-586)/(751-586)</f>
        <v>0.83030303030303032</v>
      </c>
      <c r="U1457" s="9">
        <f>Таблица1[[#This Row],[Ежемесячный платеж]]/(Таблица1[[#This Row],[Годовой доход]]/12)</f>
        <v>0.17791333203201248</v>
      </c>
    </row>
    <row r="1458" spans="1:21" x14ac:dyDescent="0.3">
      <c r="A1458">
        <v>1457</v>
      </c>
      <c r="B1458">
        <v>0</v>
      </c>
      <c r="C1458" s="9">
        <v>432168</v>
      </c>
      <c r="D1458">
        <v>714</v>
      </c>
      <c r="E1458" s="1">
        <v>2090114</v>
      </c>
      <c r="F1458">
        <v>18</v>
      </c>
      <c r="G1458">
        <v>18114.41</v>
      </c>
      <c r="H1458">
        <v>18.7</v>
      </c>
      <c r="I1458">
        <v>10</v>
      </c>
      <c r="J1458">
        <v>154508</v>
      </c>
      <c r="K1458">
        <v>378202</v>
      </c>
      <c r="L1458" t="s">
        <v>41</v>
      </c>
      <c r="M1458" t="s">
        <v>1497</v>
      </c>
      <c r="N1458" t="s">
        <v>26</v>
      </c>
      <c r="O1458" t="s">
        <v>21</v>
      </c>
      <c r="P1458" t="s">
        <v>31</v>
      </c>
      <c r="Q1458" t="s">
        <v>23</v>
      </c>
      <c r="R1458" t="b">
        <f>OR(Таблица1[[#This Row],[Ежемесячный платеж]]&lt;$AC$5, Таблица1[[#This Row],[Ежемесячный платеж]]&gt;$AC$6)</f>
        <v>0</v>
      </c>
      <c r="S1458" s="9">
        <f>(Таблица1[[#This Row],[Размер кредита]]-21824)/(789096-21824)</f>
        <v>0.53480903773368504</v>
      </c>
      <c r="T1458" s="9">
        <f>(Таблица1[[#This Row],[Кредитный рейтинг]]-586)/(751-586)</f>
        <v>0.77575757575757576</v>
      </c>
      <c r="U1458" s="9">
        <f>Таблица1[[#This Row],[Ежемесячный платеж]]/(Таблица1[[#This Row],[Годовой доход]]/12)</f>
        <v>0.10400050906314201</v>
      </c>
    </row>
    <row r="1459" spans="1:21" x14ac:dyDescent="0.3">
      <c r="A1459">
        <v>1458</v>
      </c>
      <c r="B1459">
        <v>1</v>
      </c>
      <c r="C1459" s="9">
        <v>324258</v>
      </c>
      <c r="D1459">
        <v>695</v>
      </c>
      <c r="E1459" s="1">
        <v>896135</v>
      </c>
      <c r="F1459">
        <v>0</v>
      </c>
      <c r="G1459">
        <v>21133.7</v>
      </c>
      <c r="H1459">
        <v>28.2</v>
      </c>
      <c r="I1459">
        <v>15</v>
      </c>
      <c r="J1459">
        <v>109459</v>
      </c>
      <c r="K1459">
        <v>551034</v>
      </c>
      <c r="L1459" t="s">
        <v>24</v>
      </c>
      <c r="M1459" t="s">
        <v>1498</v>
      </c>
      <c r="N1459" t="s">
        <v>20</v>
      </c>
      <c r="O1459" t="s">
        <v>21</v>
      </c>
      <c r="P1459" t="s">
        <v>31</v>
      </c>
      <c r="Q1459" t="s">
        <v>36</v>
      </c>
      <c r="R1459" t="b">
        <f>OR(Таблица1[[#This Row],[Ежемесячный платеж]]&lt;$AC$5, Таблица1[[#This Row],[Ежемесячный платеж]]&gt;$AC$6)</f>
        <v>0</v>
      </c>
      <c r="S1459" s="9">
        <f>(Таблица1[[#This Row],[Размер кредита]]-21824)/(789096-21824)</f>
        <v>0.39416790916389494</v>
      </c>
      <c r="T1459" s="9">
        <f>(Таблица1[[#This Row],[Кредитный рейтинг]]-586)/(751-586)</f>
        <v>0.66060606060606064</v>
      </c>
      <c r="U1459" s="9">
        <f>Таблица1[[#This Row],[Ежемесячный платеж]]/(Таблица1[[#This Row],[Годовой доход]]/12)</f>
        <v>0.28299798579455104</v>
      </c>
    </row>
    <row r="1460" spans="1:21" x14ac:dyDescent="0.3">
      <c r="A1460">
        <v>1459</v>
      </c>
      <c r="B1460">
        <v>0</v>
      </c>
      <c r="C1460" s="9">
        <v>434236</v>
      </c>
      <c r="D1460">
        <v>728</v>
      </c>
      <c r="E1460" s="1">
        <v>1828237</v>
      </c>
      <c r="F1460">
        <v>0</v>
      </c>
      <c r="G1460">
        <v>19166.060000000001</v>
      </c>
      <c r="H1460">
        <v>12.7</v>
      </c>
      <c r="I1460">
        <v>8</v>
      </c>
      <c r="J1460">
        <v>356307</v>
      </c>
      <c r="K1460">
        <v>574596</v>
      </c>
      <c r="L1460" t="s">
        <v>63</v>
      </c>
      <c r="M1460" t="s">
        <v>1499</v>
      </c>
      <c r="N1460" t="s">
        <v>26</v>
      </c>
      <c r="O1460" t="s">
        <v>21</v>
      </c>
      <c r="P1460" t="s">
        <v>31</v>
      </c>
      <c r="Q1460" t="s">
        <v>23</v>
      </c>
      <c r="R1460" t="b">
        <f>OR(Таблица1[[#This Row],[Ежемесячный платеж]]&lt;$AC$5, Таблица1[[#This Row],[Ежемесячный платеж]]&gt;$AC$6)</f>
        <v>0</v>
      </c>
      <c r="S1460" s="9">
        <f>(Таблица1[[#This Row],[Размер кредита]]-21824)/(789096-21824)</f>
        <v>0.53750430095194401</v>
      </c>
      <c r="T1460" s="9">
        <f>(Таблица1[[#This Row],[Кредитный рейтинг]]-586)/(751-586)</f>
        <v>0.8606060606060606</v>
      </c>
      <c r="U1460" s="9">
        <f>Таблица1[[#This Row],[Ежемесячный платеж]]/(Таблица1[[#This Row],[Годовой доход]]/12)</f>
        <v>0.1258002764411835</v>
      </c>
    </row>
    <row r="1461" spans="1:21" x14ac:dyDescent="0.3">
      <c r="A1461">
        <v>1460</v>
      </c>
      <c r="B1461">
        <v>0</v>
      </c>
      <c r="C1461" s="9">
        <v>457402</v>
      </c>
      <c r="D1461">
        <v>670</v>
      </c>
      <c r="E1461" s="1">
        <v>903526</v>
      </c>
      <c r="F1461">
        <v>24</v>
      </c>
      <c r="G1461">
        <v>22362.240000000002</v>
      </c>
      <c r="H1461">
        <v>27.5</v>
      </c>
      <c r="I1461">
        <v>15</v>
      </c>
      <c r="J1461">
        <v>306736</v>
      </c>
      <c r="K1461">
        <v>369578</v>
      </c>
      <c r="L1461" t="s">
        <v>24</v>
      </c>
      <c r="M1461" s="2" t="s">
        <v>1500</v>
      </c>
      <c r="N1461" t="s">
        <v>26</v>
      </c>
      <c r="O1461" t="s">
        <v>21</v>
      </c>
      <c r="P1461" t="s">
        <v>31</v>
      </c>
      <c r="Q1461" t="s">
        <v>23</v>
      </c>
      <c r="R1461" t="b">
        <f>OR(Таблица1[[#This Row],[Ежемесячный платеж]]&lt;$AC$5, Таблица1[[#This Row],[Ежемесячный платеж]]&gt;$AC$6)</f>
        <v>0</v>
      </c>
      <c r="S1461" s="9">
        <f>(Таблица1[[#This Row],[Размер кредита]]-21824)/(789096-21824)</f>
        <v>0.56769698359903664</v>
      </c>
      <c r="T1461" s="9">
        <f>(Таблица1[[#This Row],[Кредитный рейтинг]]-586)/(751-586)</f>
        <v>0.50909090909090904</v>
      </c>
      <c r="U1461" s="9">
        <f>Таблица1[[#This Row],[Ежемесячный платеж]]/(Таблица1[[#This Row],[Годовой доход]]/12)</f>
        <v>0.29699962148294573</v>
      </c>
    </row>
    <row r="1462" spans="1:21" x14ac:dyDescent="0.3">
      <c r="A1462">
        <v>1461</v>
      </c>
      <c r="B1462">
        <v>0</v>
      </c>
      <c r="C1462" s="9">
        <v>118030</v>
      </c>
      <c r="D1462">
        <f>$Y$13</f>
        <v>723</v>
      </c>
      <c r="E1462">
        <f>$AB$13</f>
        <v>1168044</v>
      </c>
      <c r="F1462">
        <v>0</v>
      </c>
      <c r="G1462">
        <v>4366.01</v>
      </c>
      <c r="H1462">
        <v>17.7</v>
      </c>
      <c r="I1462">
        <v>10</v>
      </c>
      <c r="J1462">
        <v>229007</v>
      </c>
      <c r="K1462">
        <v>1012132</v>
      </c>
      <c r="L1462" t="s">
        <v>24</v>
      </c>
      <c r="M1462" t="s">
        <v>1501</v>
      </c>
      <c r="N1462" t="s">
        <v>68</v>
      </c>
      <c r="O1462" t="s">
        <v>21</v>
      </c>
      <c r="P1462" t="s">
        <v>22</v>
      </c>
      <c r="Q1462" t="s">
        <v>23</v>
      </c>
      <c r="R1462" t="b">
        <f>OR(Таблица1[[#This Row],[Ежемесячный платеж]]&lt;$AC$5, Таблица1[[#This Row],[Ежемесячный платеж]]&gt;$AC$6)</f>
        <v>0</v>
      </c>
      <c r="S1462" s="9">
        <f>(Таблица1[[#This Row],[Размер кредита]]-21824)/(789096-21824)</f>
        <v>0.12538708567496273</v>
      </c>
      <c r="T1462" s="9">
        <f>(Таблица1[[#This Row],[Кредитный рейтинг]]-586)/(751-586)</f>
        <v>0.83030303030303032</v>
      </c>
      <c r="U1462" s="9">
        <f>Таблица1[[#This Row],[Ежемесячный платеж]]/(Таблица1[[#This Row],[Годовой доход]]/12)</f>
        <v>4.4854577396056999E-2</v>
      </c>
    </row>
    <row r="1463" spans="1:21" x14ac:dyDescent="0.3">
      <c r="A1463">
        <v>1462</v>
      </c>
      <c r="B1463">
        <v>0</v>
      </c>
      <c r="C1463" s="9">
        <v>335258</v>
      </c>
      <c r="D1463">
        <v>737</v>
      </c>
      <c r="E1463" s="1">
        <v>1534516</v>
      </c>
      <c r="F1463">
        <v>0</v>
      </c>
      <c r="G1463">
        <v>25319.59</v>
      </c>
      <c r="H1463">
        <v>13.5</v>
      </c>
      <c r="I1463">
        <v>6</v>
      </c>
      <c r="J1463">
        <v>269211</v>
      </c>
      <c r="K1463">
        <v>551694</v>
      </c>
      <c r="L1463" t="s">
        <v>29</v>
      </c>
      <c r="M1463" t="s">
        <v>1502</v>
      </c>
      <c r="N1463" t="s">
        <v>71</v>
      </c>
      <c r="O1463" t="s">
        <v>34</v>
      </c>
      <c r="P1463" t="s">
        <v>22</v>
      </c>
      <c r="Q1463" t="s">
        <v>36</v>
      </c>
      <c r="R1463" t="b">
        <f>OR(Таблица1[[#This Row],[Ежемесячный платеж]]&lt;$AC$5, Таблица1[[#This Row],[Ежемесячный платеж]]&gt;$AC$6)</f>
        <v>0</v>
      </c>
      <c r="S1463" s="9">
        <f>(Таблица1[[#This Row],[Размер кредита]]-21824)/(789096-21824)</f>
        <v>0.40850441564399587</v>
      </c>
      <c r="T1463" s="9">
        <f>(Таблица1[[#This Row],[Кредитный рейтинг]]-586)/(751-586)</f>
        <v>0.91515151515151516</v>
      </c>
      <c r="U1463" s="9">
        <f>Таблица1[[#This Row],[Ежемесячный платеж]]/(Таблица1[[#This Row],[Годовой доход]]/12)</f>
        <v>0.19800059432420386</v>
      </c>
    </row>
    <row r="1464" spans="1:21" x14ac:dyDescent="0.3">
      <c r="A1464">
        <v>1463</v>
      </c>
      <c r="B1464">
        <v>1</v>
      </c>
      <c r="C1464" s="9">
        <v>128678</v>
      </c>
      <c r="D1464">
        <f>$Y$13</f>
        <v>723</v>
      </c>
      <c r="E1464">
        <f>$AB$13</f>
        <v>1168044</v>
      </c>
      <c r="F1464">
        <v>9</v>
      </c>
      <c r="G1464">
        <v>23172.02</v>
      </c>
      <c r="H1464">
        <v>17.8</v>
      </c>
      <c r="I1464">
        <v>19</v>
      </c>
      <c r="J1464">
        <v>19076</v>
      </c>
      <c r="K1464">
        <v>133122</v>
      </c>
      <c r="L1464" t="s">
        <v>41</v>
      </c>
      <c r="M1464" t="s">
        <v>1503</v>
      </c>
      <c r="N1464" t="s">
        <v>26</v>
      </c>
      <c r="O1464" t="s">
        <v>34</v>
      </c>
      <c r="P1464" t="s">
        <v>22</v>
      </c>
      <c r="Q1464" t="s">
        <v>36</v>
      </c>
      <c r="R1464" t="b">
        <f>OR(Таблица1[[#This Row],[Ежемесячный платеж]]&lt;$AC$5, Таблица1[[#This Row],[Ежемесячный платеж]]&gt;$AC$6)</f>
        <v>0</v>
      </c>
      <c r="S1464" s="9">
        <f>(Таблица1[[#This Row],[Размер кредита]]-21824)/(789096-21824)</f>
        <v>0.13926482394770043</v>
      </c>
      <c r="T1464" s="9">
        <f>(Таблица1[[#This Row],[Кредитный рейтинг]]-586)/(751-586)</f>
        <v>0.83030303030303032</v>
      </c>
      <c r="U1464" s="9">
        <f>Таблица1[[#This Row],[Ежемесячный платеж]]/(Таблица1[[#This Row],[Годовой доход]]/12)</f>
        <v>0.238059730626586</v>
      </c>
    </row>
    <row r="1465" spans="1:21" x14ac:dyDescent="0.3">
      <c r="A1465">
        <v>1464</v>
      </c>
      <c r="B1465">
        <v>0</v>
      </c>
      <c r="C1465" s="9">
        <v>167002</v>
      </c>
      <c r="D1465">
        <f>$Y$13</f>
        <v>723</v>
      </c>
      <c r="E1465">
        <f>$AB$13</f>
        <v>1168044</v>
      </c>
      <c r="F1465">
        <v>11</v>
      </c>
      <c r="G1465">
        <v>18040.5</v>
      </c>
      <c r="H1465">
        <v>13.2</v>
      </c>
      <c r="I1465">
        <v>6</v>
      </c>
      <c r="J1465">
        <v>79097</v>
      </c>
      <c r="K1465">
        <v>178178</v>
      </c>
      <c r="L1465" t="s">
        <v>24</v>
      </c>
      <c r="M1465" t="s">
        <v>1504</v>
      </c>
      <c r="N1465" t="s">
        <v>26</v>
      </c>
      <c r="O1465" t="s">
        <v>21</v>
      </c>
      <c r="P1465" t="s">
        <v>22</v>
      </c>
      <c r="Q1465" t="s">
        <v>23</v>
      </c>
      <c r="R1465" t="b">
        <f>OR(Таблица1[[#This Row],[Ежемесячный платеж]]&lt;$AC$5, Таблица1[[#This Row],[Ежемесячный платеж]]&gt;$AC$6)</f>
        <v>0</v>
      </c>
      <c r="S1465" s="9">
        <f>(Таблица1[[#This Row],[Размер кредита]]-21824)/(789096-21824)</f>
        <v>0.18921321252437207</v>
      </c>
      <c r="T1465" s="9">
        <f>(Таблица1[[#This Row],[Кредитный рейтинг]]-586)/(751-586)</f>
        <v>0.83030303030303032</v>
      </c>
      <c r="U1465" s="9">
        <f>Таблица1[[#This Row],[Ежемесячный платеж]]/(Таблица1[[#This Row],[Годовой доход]]/12)</f>
        <v>0.18534062073004098</v>
      </c>
    </row>
    <row r="1466" spans="1:21" x14ac:dyDescent="0.3">
      <c r="A1466">
        <v>1465</v>
      </c>
      <c r="B1466">
        <v>0</v>
      </c>
      <c r="C1466" s="9">
        <v>786104</v>
      </c>
      <c r="D1466">
        <v>701</v>
      </c>
      <c r="E1466" s="1">
        <v>2715594</v>
      </c>
      <c r="F1466">
        <v>0</v>
      </c>
      <c r="G1466">
        <v>52501.56</v>
      </c>
      <c r="H1466">
        <v>38</v>
      </c>
      <c r="I1466">
        <v>23</v>
      </c>
      <c r="J1466">
        <v>1762725</v>
      </c>
      <c r="K1466">
        <v>3836580</v>
      </c>
      <c r="L1466" t="s">
        <v>29</v>
      </c>
      <c r="M1466" t="s">
        <v>1505</v>
      </c>
      <c r="N1466" t="s">
        <v>26</v>
      </c>
      <c r="O1466" t="s">
        <v>21</v>
      </c>
      <c r="P1466" t="s">
        <v>31</v>
      </c>
      <c r="Q1466" t="s">
        <v>23</v>
      </c>
      <c r="R1466" t="b">
        <f>OR(Таблица1[[#This Row],[Ежемесячный платеж]]&lt;$AC$5, Таблица1[[#This Row],[Ежемесячный платеж]]&gt;$AC$6)</f>
        <v>1</v>
      </c>
      <c r="S1466" s="9">
        <f>(Таблица1[[#This Row],[Размер кредита]]-21824)/(789096-21824)</f>
        <v>0.99610047023741255</v>
      </c>
      <c r="T1466" s="9">
        <f>(Таблица1[[#This Row],[Кредитный рейтинг]]-586)/(751-586)</f>
        <v>0.69696969696969702</v>
      </c>
      <c r="U1466" s="9">
        <f>Таблица1[[#This Row],[Ежемесячный платеж]]/(Таблица1[[#This Row],[Годовой доход]]/12)</f>
        <v>0.23200033583812602</v>
      </c>
    </row>
    <row r="1467" spans="1:21" x14ac:dyDescent="0.3">
      <c r="A1467">
        <v>1466</v>
      </c>
      <c r="B1467">
        <v>1</v>
      </c>
      <c r="D1467">
        <v>716</v>
      </c>
      <c r="E1467" s="1">
        <v>1458345</v>
      </c>
      <c r="F1467">
        <v>44</v>
      </c>
      <c r="G1467">
        <v>33055.82</v>
      </c>
      <c r="H1467">
        <v>13.5</v>
      </c>
      <c r="I1467">
        <v>18</v>
      </c>
      <c r="J1467">
        <v>261801</v>
      </c>
      <c r="K1467">
        <v>495330</v>
      </c>
      <c r="L1467" t="s">
        <v>69</v>
      </c>
      <c r="M1467" t="s">
        <v>1506</v>
      </c>
      <c r="N1467" t="s">
        <v>76</v>
      </c>
      <c r="O1467" t="s">
        <v>34</v>
      </c>
      <c r="P1467" t="s">
        <v>22</v>
      </c>
      <c r="Q1467" t="s">
        <v>23</v>
      </c>
      <c r="R1467" t="b">
        <f>OR(Таблица1[[#This Row],[Ежемесячный платеж]]&lt;$AC$5, Таблица1[[#This Row],[Ежемесячный платеж]]&gt;$AC$6)</f>
        <v>0</v>
      </c>
      <c r="T1467" s="9">
        <f>(Таблица1[[#This Row],[Кредитный рейтинг]]-586)/(751-586)</f>
        <v>0.78787878787878785</v>
      </c>
      <c r="U1467" s="9">
        <f>Таблица1[[#This Row],[Ежемесячный платеж]]/(Таблица1[[#This Row],[Годовой доход]]/12)</f>
        <v>0.27200000000000002</v>
      </c>
    </row>
    <row r="1468" spans="1:21" x14ac:dyDescent="0.3">
      <c r="A1468">
        <v>1467</v>
      </c>
      <c r="B1468">
        <v>0</v>
      </c>
      <c r="C1468" s="9">
        <v>291500</v>
      </c>
      <c r="D1468">
        <v>609</v>
      </c>
      <c r="E1468" s="1">
        <v>840731</v>
      </c>
      <c r="F1468">
        <v>0</v>
      </c>
      <c r="G1468">
        <v>20317.46</v>
      </c>
      <c r="H1468">
        <v>15.1</v>
      </c>
      <c r="I1468">
        <v>5</v>
      </c>
      <c r="J1468">
        <v>125191</v>
      </c>
      <c r="K1468">
        <v>151470</v>
      </c>
      <c r="L1468" t="s">
        <v>24</v>
      </c>
      <c r="M1468" t="s">
        <v>1507</v>
      </c>
      <c r="N1468" t="s">
        <v>26</v>
      </c>
      <c r="O1468" t="s">
        <v>34</v>
      </c>
      <c r="P1468" t="s">
        <v>31</v>
      </c>
      <c r="Q1468" t="s">
        <v>36</v>
      </c>
      <c r="R1468" t="b">
        <f>OR(Таблица1[[#This Row],[Ежемесячный платеж]]&lt;$AC$5, Таблица1[[#This Row],[Ежемесячный платеж]]&gt;$AC$6)</f>
        <v>0</v>
      </c>
      <c r="S1468" s="9">
        <f>(Таблица1[[#This Row],[Размер кредита]]-21824)/(789096-21824)</f>
        <v>0.35147379286615438</v>
      </c>
      <c r="T1468" s="9">
        <f>(Таблица1[[#This Row],[Кредитный рейтинг]]-586)/(751-586)</f>
        <v>0.1393939393939394</v>
      </c>
      <c r="U1468" s="9">
        <f>Таблица1[[#This Row],[Ежемесячный платеж]]/(Таблица1[[#This Row],[Годовой доход]]/12)</f>
        <v>0.28999706208049897</v>
      </c>
    </row>
    <row r="1469" spans="1:21" x14ac:dyDescent="0.3">
      <c r="A1469">
        <v>1468</v>
      </c>
      <c r="B1469">
        <v>0</v>
      </c>
      <c r="D1469">
        <v>746</v>
      </c>
      <c r="E1469" s="1">
        <v>3058829</v>
      </c>
      <c r="F1469">
        <v>24</v>
      </c>
      <c r="G1469">
        <v>20213.72</v>
      </c>
      <c r="H1469">
        <v>14</v>
      </c>
      <c r="I1469">
        <v>5</v>
      </c>
      <c r="J1469">
        <v>21679</v>
      </c>
      <c r="K1469">
        <v>374528</v>
      </c>
      <c r="L1469" t="s">
        <v>50</v>
      </c>
      <c r="M1469" t="s">
        <v>1508</v>
      </c>
      <c r="N1469" t="s">
        <v>26</v>
      </c>
      <c r="O1469" t="s">
        <v>21</v>
      </c>
      <c r="P1469" t="s">
        <v>22</v>
      </c>
      <c r="Q1469" t="s">
        <v>23</v>
      </c>
      <c r="R1469" t="b">
        <f>OR(Таблица1[[#This Row],[Ежемесячный платеж]]&lt;$AC$5, Таблица1[[#This Row],[Ежемесячный платеж]]&gt;$AC$6)</f>
        <v>0</v>
      </c>
      <c r="T1469" s="9">
        <f>(Таблица1[[#This Row],[Кредитный рейтинг]]-586)/(751-586)</f>
        <v>0.96969696969696972</v>
      </c>
      <c r="U1469" s="9">
        <f>Таблица1[[#This Row],[Ежемесячный платеж]]/(Таблица1[[#This Row],[Годовой доход]]/12)</f>
        <v>7.9299836636830642E-2</v>
      </c>
    </row>
    <row r="1470" spans="1:21" x14ac:dyDescent="0.3">
      <c r="A1470">
        <v>1469</v>
      </c>
      <c r="B1470">
        <v>0</v>
      </c>
      <c r="C1470" s="9">
        <v>39776</v>
      </c>
      <c r="D1470">
        <f>$Y$13</f>
        <v>723</v>
      </c>
      <c r="E1470">
        <f>$AB$13</f>
        <v>1168044</v>
      </c>
      <c r="F1470">
        <v>66</v>
      </c>
      <c r="G1470">
        <v>12255.38</v>
      </c>
      <c r="H1470">
        <v>14.8</v>
      </c>
      <c r="I1470">
        <v>6</v>
      </c>
      <c r="J1470">
        <v>23484</v>
      </c>
      <c r="K1470">
        <v>72908</v>
      </c>
      <c r="L1470" t="s">
        <v>24</v>
      </c>
      <c r="M1470" t="s">
        <v>1509</v>
      </c>
      <c r="N1470" t="s">
        <v>26</v>
      </c>
      <c r="O1470" t="s">
        <v>21</v>
      </c>
      <c r="P1470" t="s">
        <v>22</v>
      </c>
      <c r="Q1470" t="s">
        <v>23</v>
      </c>
      <c r="R1470" t="b">
        <f>OR(Таблица1[[#This Row],[Ежемесячный платеж]]&lt;$AC$5, Таблица1[[#This Row],[Ежемесячный платеж]]&gt;$AC$6)</f>
        <v>0</v>
      </c>
      <c r="S1470" s="9">
        <f>(Таблица1[[#This Row],[Размер кредита]]-21824)/(789096-21824)</f>
        <v>2.3397178575524716E-2</v>
      </c>
      <c r="T1470" s="9">
        <f>(Таблица1[[#This Row],[Кредитный рейтинг]]-586)/(751-586)</f>
        <v>0.83030303030303032</v>
      </c>
      <c r="U1470" s="9">
        <f>Таблица1[[#This Row],[Ежемесячный платеж]]/(Таблица1[[#This Row],[Годовой доход]]/12)</f>
        <v>0.12590669529572515</v>
      </c>
    </row>
    <row r="1471" spans="1:21" x14ac:dyDescent="0.3">
      <c r="A1471">
        <v>1470</v>
      </c>
      <c r="B1471">
        <v>1</v>
      </c>
      <c r="D1471">
        <v>718</v>
      </c>
      <c r="E1471" s="1">
        <v>853898</v>
      </c>
      <c r="F1471">
        <v>0</v>
      </c>
      <c r="G1471">
        <v>12381.35</v>
      </c>
      <c r="H1471">
        <v>13.4</v>
      </c>
      <c r="I1471">
        <v>10</v>
      </c>
      <c r="J1471">
        <v>122227</v>
      </c>
      <c r="K1471">
        <v>375408</v>
      </c>
      <c r="L1471" t="s">
        <v>24</v>
      </c>
      <c r="M1471" t="s">
        <v>1510</v>
      </c>
      <c r="N1471" t="s">
        <v>20</v>
      </c>
      <c r="O1471" t="s">
        <v>21</v>
      </c>
      <c r="P1471" t="s">
        <v>22</v>
      </c>
      <c r="Q1471" t="s">
        <v>23</v>
      </c>
      <c r="R1471" t="b">
        <f>OR(Таблица1[[#This Row],[Ежемесячный платеж]]&lt;$AC$5, Таблица1[[#This Row],[Ежемесячный платеж]]&gt;$AC$6)</f>
        <v>0</v>
      </c>
      <c r="T1471" s="9">
        <f>(Таблица1[[#This Row],[Кредитный рейтинг]]-586)/(751-586)</f>
        <v>0.8</v>
      </c>
      <c r="U1471" s="9">
        <f>Таблица1[[#This Row],[Ежемесячный платеж]]/(Таблица1[[#This Row],[Годовой доход]]/12)</f>
        <v>0.17399759690267455</v>
      </c>
    </row>
    <row r="1472" spans="1:21" x14ac:dyDescent="0.3">
      <c r="A1472">
        <v>1471</v>
      </c>
      <c r="B1472">
        <v>0</v>
      </c>
      <c r="C1472" s="9">
        <v>194722</v>
      </c>
      <c r="D1472">
        <v>718</v>
      </c>
      <c r="E1472" s="1">
        <v>1643481</v>
      </c>
      <c r="F1472">
        <v>0</v>
      </c>
      <c r="G1472">
        <v>18215.3</v>
      </c>
      <c r="H1472">
        <v>19.899999999999999</v>
      </c>
      <c r="I1472">
        <v>6</v>
      </c>
      <c r="J1472">
        <v>775637</v>
      </c>
      <c r="K1472">
        <v>1228612</v>
      </c>
      <c r="L1472" t="s">
        <v>24</v>
      </c>
      <c r="M1472" t="s">
        <v>1511</v>
      </c>
      <c r="N1472" t="s">
        <v>26</v>
      </c>
      <c r="O1472" t="s">
        <v>34</v>
      </c>
      <c r="P1472" t="s">
        <v>22</v>
      </c>
      <c r="Q1472" t="s">
        <v>23</v>
      </c>
      <c r="R1472" t="b">
        <f>OR(Таблица1[[#This Row],[Ежемесячный платеж]]&lt;$AC$5, Таблица1[[#This Row],[Ежемесячный платеж]]&gt;$AC$6)</f>
        <v>0</v>
      </c>
      <c r="S1472" s="9">
        <f>(Таблица1[[#This Row],[Размер кредита]]-21824)/(789096-21824)</f>
        <v>0.2253412088542264</v>
      </c>
      <c r="T1472" s="9">
        <f>(Таблица1[[#This Row],[Кредитный рейтинг]]-586)/(751-586)</f>
        <v>0.8</v>
      </c>
      <c r="U1472" s="9">
        <f>Таблица1[[#This Row],[Ежемесячный платеж]]/(Таблица1[[#This Row],[Годовой доход]]/12)</f>
        <v>0.13300038150730065</v>
      </c>
    </row>
    <row r="1473" spans="1:21" x14ac:dyDescent="0.3">
      <c r="A1473">
        <v>1472</v>
      </c>
      <c r="B1473">
        <v>0</v>
      </c>
      <c r="C1473" s="9">
        <v>328152</v>
      </c>
      <c r="D1473">
        <v>699</v>
      </c>
      <c r="E1473" s="1">
        <v>944680</v>
      </c>
      <c r="F1473">
        <v>71</v>
      </c>
      <c r="G1473">
        <v>18027.77</v>
      </c>
      <c r="H1473">
        <v>15.6</v>
      </c>
      <c r="I1473">
        <v>16</v>
      </c>
      <c r="J1473">
        <v>301169</v>
      </c>
      <c r="K1473">
        <v>385308</v>
      </c>
      <c r="L1473" t="s">
        <v>69</v>
      </c>
      <c r="M1473" t="s">
        <v>1512</v>
      </c>
      <c r="N1473" t="s">
        <v>26</v>
      </c>
      <c r="O1473" t="s">
        <v>34</v>
      </c>
      <c r="P1473" t="s">
        <v>22</v>
      </c>
      <c r="Q1473" t="s">
        <v>23</v>
      </c>
      <c r="R1473" t="b">
        <f>OR(Таблица1[[#This Row],[Ежемесячный платеж]]&lt;$AC$5, Таблица1[[#This Row],[Ежемесячный платеж]]&gt;$AC$6)</f>
        <v>0</v>
      </c>
      <c r="S1473" s="9">
        <f>(Таблица1[[#This Row],[Размер кредита]]-21824)/(789096-21824)</f>
        <v>0.39924303245785064</v>
      </c>
      <c r="T1473" s="9">
        <f>(Таблица1[[#This Row],[Кредитный рейтинг]]-586)/(751-586)</f>
        <v>0.68484848484848482</v>
      </c>
      <c r="U1473" s="9">
        <f>Таблица1[[#This Row],[Ежемесячный платеж]]/(Таблица1[[#This Row],[Годовой доход]]/12)</f>
        <v>0.2290016090104586</v>
      </c>
    </row>
    <row r="1474" spans="1:21" x14ac:dyDescent="0.3">
      <c r="A1474">
        <v>1473</v>
      </c>
      <c r="B1474">
        <v>0</v>
      </c>
      <c r="C1474" s="9">
        <v>197516</v>
      </c>
      <c r="D1474">
        <f>$Y$13</f>
        <v>723</v>
      </c>
      <c r="E1474">
        <f>$AB$13</f>
        <v>1168044</v>
      </c>
      <c r="F1474">
        <v>0</v>
      </c>
      <c r="G1474">
        <v>10894.98</v>
      </c>
      <c r="H1474">
        <v>17.100000000000001</v>
      </c>
      <c r="I1474">
        <v>9</v>
      </c>
      <c r="J1474">
        <v>415226</v>
      </c>
      <c r="K1474">
        <v>654126</v>
      </c>
      <c r="L1474" t="s">
        <v>24</v>
      </c>
      <c r="M1474" t="s">
        <v>1513</v>
      </c>
      <c r="N1474" t="s">
        <v>26</v>
      </c>
      <c r="O1474" t="s">
        <v>34</v>
      </c>
      <c r="P1474" t="s">
        <v>22</v>
      </c>
      <c r="Q1474" t="s">
        <v>23</v>
      </c>
      <c r="R1474" t="b">
        <f>OR(Таблица1[[#This Row],[Ежемесячный платеж]]&lt;$AC$5, Таблица1[[#This Row],[Ежемесячный платеж]]&gt;$AC$6)</f>
        <v>0</v>
      </c>
      <c r="S1474" s="9">
        <f>(Таблица1[[#This Row],[Размер кредита]]-21824)/(789096-21824)</f>
        <v>0.22898268150017204</v>
      </c>
      <c r="T1474" s="9">
        <f>(Таблица1[[#This Row],[Кредитный рейтинг]]-586)/(751-586)</f>
        <v>0.83030303030303032</v>
      </c>
      <c r="U1474" s="9">
        <f>Таблица1[[#This Row],[Ежемесячный платеж]]/(Таблица1[[#This Row],[Годовой доход]]/12)</f>
        <v>0.11193050946710911</v>
      </c>
    </row>
    <row r="1475" spans="1:21" x14ac:dyDescent="0.3">
      <c r="A1475">
        <v>1474</v>
      </c>
      <c r="B1475">
        <v>1</v>
      </c>
      <c r="C1475" s="9">
        <v>29172</v>
      </c>
      <c r="D1475">
        <v>696</v>
      </c>
      <c r="E1475" s="1">
        <v>406942</v>
      </c>
      <c r="F1475">
        <v>0</v>
      </c>
      <c r="G1475">
        <v>8850.9599999999991</v>
      </c>
      <c r="H1475">
        <v>16.5</v>
      </c>
      <c r="I1475">
        <v>7</v>
      </c>
      <c r="J1475">
        <v>31673</v>
      </c>
      <c r="K1475">
        <v>188012</v>
      </c>
      <c r="L1475" t="s">
        <v>24</v>
      </c>
      <c r="M1475" t="s">
        <v>1514</v>
      </c>
      <c r="N1475" t="s">
        <v>68</v>
      </c>
      <c r="O1475" t="s">
        <v>28</v>
      </c>
      <c r="P1475" t="s">
        <v>22</v>
      </c>
      <c r="Q1475" t="s">
        <v>23</v>
      </c>
      <c r="R1475" t="b">
        <f>OR(Таблица1[[#This Row],[Ежемесячный платеж]]&lt;$AC$5, Таблица1[[#This Row],[Ежемесячный платеж]]&gt;$AC$6)</f>
        <v>0</v>
      </c>
      <c r="S1475" s="9">
        <f>(Таблица1[[#This Row],[Размер кредита]]-21824)/(789096-21824)</f>
        <v>9.576786328707421E-3</v>
      </c>
      <c r="T1475" s="9">
        <f>(Таблица1[[#This Row],[Кредитный рейтинг]]-586)/(751-586)</f>
        <v>0.66666666666666663</v>
      </c>
      <c r="U1475" s="9">
        <f>Таблица1[[#This Row],[Ежемесячный платеж]]/(Таблица1[[#This Row],[Годовой доход]]/12)</f>
        <v>0.26099915958539543</v>
      </c>
    </row>
    <row r="1476" spans="1:21" x14ac:dyDescent="0.3">
      <c r="A1476">
        <v>1475</v>
      </c>
      <c r="B1476">
        <v>0</v>
      </c>
      <c r="D1476">
        <v>702</v>
      </c>
      <c r="E1476" s="1">
        <v>1238610</v>
      </c>
      <c r="F1476">
        <v>0</v>
      </c>
      <c r="G1476">
        <v>9712.7999999999993</v>
      </c>
      <c r="H1476">
        <v>17.7</v>
      </c>
      <c r="I1476">
        <v>9</v>
      </c>
      <c r="J1476">
        <v>43757</v>
      </c>
      <c r="K1476">
        <v>888910</v>
      </c>
      <c r="L1476" t="s">
        <v>63</v>
      </c>
      <c r="M1476" t="s">
        <v>1515</v>
      </c>
      <c r="N1476" t="s">
        <v>71</v>
      </c>
      <c r="O1476" t="s">
        <v>21</v>
      </c>
      <c r="P1476" t="s">
        <v>22</v>
      </c>
      <c r="Q1476" t="s">
        <v>23</v>
      </c>
      <c r="R1476" t="b">
        <f>OR(Таблица1[[#This Row],[Ежемесячный платеж]]&lt;$AC$5, Таблица1[[#This Row],[Ежемесячный платеж]]&gt;$AC$6)</f>
        <v>0</v>
      </c>
      <c r="T1476" s="9">
        <f>(Таблица1[[#This Row],[Кредитный рейтинг]]-586)/(751-586)</f>
        <v>0.70303030303030301</v>
      </c>
      <c r="U1476" s="9">
        <f>Таблица1[[#This Row],[Ежемесячный платеж]]/(Таблица1[[#This Row],[Годовой доход]]/12)</f>
        <v>9.4100322135296816E-2</v>
      </c>
    </row>
    <row r="1477" spans="1:21" x14ac:dyDescent="0.3">
      <c r="A1477">
        <v>1476</v>
      </c>
      <c r="B1477">
        <v>1</v>
      </c>
      <c r="C1477" s="9">
        <v>229790</v>
      </c>
      <c r="D1477">
        <v>678</v>
      </c>
      <c r="E1477" s="1">
        <v>2351250</v>
      </c>
      <c r="F1477">
        <v>0</v>
      </c>
      <c r="G1477">
        <v>38795.72</v>
      </c>
      <c r="H1477">
        <v>14.9</v>
      </c>
      <c r="I1477">
        <v>16</v>
      </c>
      <c r="J1477">
        <v>512202</v>
      </c>
      <c r="K1477">
        <v>1068584</v>
      </c>
      <c r="L1477" t="s">
        <v>52</v>
      </c>
      <c r="M1477" t="s">
        <v>1516</v>
      </c>
      <c r="N1477" t="s">
        <v>26</v>
      </c>
      <c r="O1477" t="s">
        <v>28</v>
      </c>
      <c r="P1477" t="s">
        <v>31</v>
      </c>
      <c r="Q1477" t="s">
        <v>36</v>
      </c>
      <c r="R1477" t="b">
        <f>OR(Таблица1[[#This Row],[Ежемесячный платеж]]&lt;$AC$5, Таблица1[[#This Row],[Ежемесячный платеж]]&gt;$AC$6)</f>
        <v>0</v>
      </c>
      <c r="S1477" s="9">
        <f>(Таблица1[[#This Row],[Размер кредита]]-21824)/(789096-21824)</f>
        <v>0.27104599151278819</v>
      </c>
      <c r="T1477" s="9">
        <f>(Таблица1[[#This Row],[Кредитный рейтинг]]-586)/(751-586)</f>
        <v>0.55757575757575761</v>
      </c>
      <c r="U1477" s="9">
        <f>Таблица1[[#This Row],[Ежемесячный платеж]]/(Таблица1[[#This Row],[Годовой доход]]/12)</f>
        <v>0.19800048484848484</v>
      </c>
    </row>
    <row r="1478" spans="1:21" x14ac:dyDescent="0.3">
      <c r="A1478">
        <v>1477</v>
      </c>
      <c r="B1478">
        <v>0</v>
      </c>
      <c r="C1478" s="9">
        <v>162580</v>
      </c>
      <c r="D1478">
        <f>$Y$13</f>
        <v>723</v>
      </c>
      <c r="E1478">
        <f>$AB$13</f>
        <v>1168044</v>
      </c>
      <c r="F1478">
        <v>40</v>
      </c>
      <c r="G1478">
        <v>21805.35</v>
      </c>
      <c r="H1478">
        <v>29</v>
      </c>
      <c r="I1478">
        <v>13</v>
      </c>
      <c r="J1478">
        <v>281371</v>
      </c>
      <c r="K1478">
        <v>624140</v>
      </c>
      <c r="L1478" t="s">
        <v>24</v>
      </c>
      <c r="M1478" t="s">
        <v>1517</v>
      </c>
      <c r="N1478" t="s">
        <v>26</v>
      </c>
      <c r="O1478" t="s">
        <v>21</v>
      </c>
      <c r="P1478" t="s">
        <v>22</v>
      </c>
      <c r="Q1478" t="s">
        <v>36</v>
      </c>
      <c r="R1478" t="b">
        <f>OR(Таблица1[[#This Row],[Ежемесячный платеж]]&lt;$AC$5, Таблица1[[#This Row],[Ежемесячный платеж]]&gt;$AC$6)</f>
        <v>0</v>
      </c>
      <c r="S1478" s="9">
        <f>(Таблица1[[#This Row],[Размер кредита]]-21824)/(789096-21824)</f>
        <v>0.18344993691937148</v>
      </c>
      <c r="T1478" s="9">
        <f>(Таблица1[[#This Row],[Кредитный рейтинг]]-586)/(751-586)</f>
        <v>0.83030303030303032</v>
      </c>
      <c r="U1478" s="9">
        <f>Таблица1[[#This Row],[Ежемесячный платеж]]/(Таблица1[[#This Row],[Годовой доход]]/12)</f>
        <v>0.2240191294163576</v>
      </c>
    </row>
    <row r="1479" spans="1:21" x14ac:dyDescent="0.3">
      <c r="A1479">
        <v>1478</v>
      </c>
      <c r="B1479">
        <v>0</v>
      </c>
      <c r="D1479">
        <v>733</v>
      </c>
      <c r="E1479" s="1">
        <v>971660</v>
      </c>
      <c r="F1479">
        <v>0</v>
      </c>
      <c r="G1479">
        <v>15465.43</v>
      </c>
      <c r="H1479">
        <v>19.100000000000001</v>
      </c>
      <c r="I1479">
        <v>8</v>
      </c>
      <c r="J1479">
        <v>249375</v>
      </c>
      <c r="K1479">
        <v>301400</v>
      </c>
      <c r="L1479" t="s">
        <v>63</v>
      </c>
      <c r="M1479" t="s">
        <v>1518</v>
      </c>
      <c r="N1479" t="s">
        <v>26</v>
      </c>
      <c r="O1479" t="s">
        <v>28</v>
      </c>
      <c r="P1479" t="s">
        <v>22</v>
      </c>
      <c r="Q1479" t="s">
        <v>23</v>
      </c>
      <c r="R1479" t="b">
        <f>OR(Таблица1[[#This Row],[Ежемесячный платеж]]&lt;$AC$5, Таблица1[[#This Row],[Ежемесячный платеж]]&gt;$AC$6)</f>
        <v>0</v>
      </c>
      <c r="T1479" s="9">
        <f>(Таблица1[[#This Row],[Кредитный рейтинг]]-586)/(751-586)</f>
        <v>0.89090909090909087</v>
      </c>
      <c r="U1479" s="9">
        <f>Таблица1[[#This Row],[Ежемесячный платеж]]/(Таблица1[[#This Row],[Годовой доход]]/12)</f>
        <v>0.19099804458349628</v>
      </c>
    </row>
    <row r="1480" spans="1:21" x14ac:dyDescent="0.3">
      <c r="A1480">
        <v>1479</v>
      </c>
      <c r="B1480">
        <v>0</v>
      </c>
      <c r="C1480" s="9">
        <v>773696</v>
      </c>
      <c r="D1480">
        <f>$Y$13</f>
        <v>723</v>
      </c>
      <c r="E1480">
        <f>$AB$13</f>
        <v>1168044</v>
      </c>
      <c r="F1480">
        <v>0</v>
      </c>
      <c r="G1480">
        <v>8120.03</v>
      </c>
      <c r="H1480">
        <v>14.4</v>
      </c>
      <c r="I1480">
        <v>16</v>
      </c>
      <c r="J1480">
        <v>361570</v>
      </c>
      <c r="K1480">
        <v>1162942</v>
      </c>
      <c r="L1480" t="s">
        <v>37</v>
      </c>
      <c r="M1480" t="s">
        <v>1519</v>
      </c>
      <c r="N1480" t="s">
        <v>40</v>
      </c>
      <c r="O1480" t="s">
        <v>34</v>
      </c>
      <c r="P1480" t="s">
        <v>22</v>
      </c>
      <c r="Q1480" t="s">
        <v>23</v>
      </c>
      <c r="R1480" t="b">
        <f>OR(Таблица1[[#This Row],[Ежемесячный платеж]]&lt;$AC$5, Таблица1[[#This Row],[Ежемесячный платеж]]&gt;$AC$6)</f>
        <v>0</v>
      </c>
      <c r="S1480" s="9">
        <f>(Таблица1[[#This Row],[Размер кредита]]-21824)/(789096-21824)</f>
        <v>0.97992889092785873</v>
      </c>
      <c r="T1480" s="9">
        <f>(Таблица1[[#This Row],[Кредитный рейтинг]]-586)/(751-586)</f>
        <v>0.83030303030303032</v>
      </c>
      <c r="U1480" s="9">
        <f>Таблица1[[#This Row],[Ежемесячный платеж]]/(Таблица1[[#This Row],[Годовой доход]]/12)</f>
        <v>8.3421823150497759E-2</v>
      </c>
    </row>
    <row r="1481" spans="1:21" x14ac:dyDescent="0.3">
      <c r="A1481">
        <v>1480</v>
      </c>
      <c r="B1481">
        <v>0</v>
      </c>
      <c r="D1481">
        <v>737</v>
      </c>
      <c r="E1481" s="1">
        <v>823878</v>
      </c>
      <c r="F1481">
        <v>0</v>
      </c>
      <c r="G1481">
        <v>11671.51</v>
      </c>
      <c r="H1481">
        <v>9.5</v>
      </c>
      <c r="I1481">
        <v>5</v>
      </c>
      <c r="J1481">
        <v>202388</v>
      </c>
      <c r="K1481">
        <v>374946</v>
      </c>
      <c r="L1481" t="s">
        <v>18</v>
      </c>
      <c r="M1481" t="s">
        <v>1520</v>
      </c>
      <c r="N1481" t="s">
        <v>26</v>
      </c>
      <c r="O1481" t="s">
        <v>34</v>
      </c>
      <c r="P1481" t="s">
        <v>22</v>
      </c>
      <c r="Q1481" t="s">
        <v>23</v>
      </c>
      <c r="R1481" t="b">
        <f>OR(Таблица1[[#This Row],[Ежемесячный платеж]]&lt;$AC$5, Таблица1[[#This Row],[Ежемесячный платеж]]&gt;$AC$6)</f>
        <v>0</v>
      </c>
      <c r="T1481" s="9">
        <f>(Таблица1[[#This Row],[Кредитный рейтинг]]-586)/(751-586)</f>
        <v>0.91515151515151516</v>
      </c>
      <c r="U1481" s="9">
        <f>Таблица1[[#This Row],[Ежемесячный платеж]]/(Таблица1[[#This Row],[Годовой доход]]/12)</f>
        <v>0.16999861629998617</v>
      </c>
    </row>
    <row r="1482" spans="1:21" x14ac:dyDescent="0.3">
      <c r="A1482">
        <v>1481</v>
      </c>
      <c r="B1482">
        <v>0</v>
      </c>
      <c r="C1482" s="9">
        <v>240966</v>
      </c>
      <c r="D1482">
        <f>$Y$13</f>
        <v>723</v>
      </c>
      <c r="E1482">
        <f>$AB$13</f>
        <v>1168044</v>
      </c>
      <c r="F1482">
        <v>27</v>
      </c>
      <c r="G1482">
        <v>25311.42</v>
      </c>
      <c r="H1482">
        <v>16</v>
      </c>
      <c r="I1482">
        <v>15</v>
      </c>
      <c r="J1482">
        <v>306432</v>
      </c>
      <c r="K1482">
        <v>438064</v>
      </c>
      <c r="L1482" t="s">
        <v>24</v>
      </c>
      <c r="M1482" t="s">
        <v>1521</v>
      </c>
      <c r="N1482" t="s">
        <v>26</v>
      </c>
      <c r="O1482" t="s">
        <v>21</v>
      </c>
      <c r="P1482" t="s">
        <v>22</v>
      </c>
      <c r="Q1482" t="s">
        <v>23</v>
      </c>
      <c r="R1482" t="b">
        <f>OR(Таблица1[[#This Row],[Ежемесячный платеж]]&lt;$AC$5, Таблица1[[#This Row],[Ежемесячный платеж]]&gt;$AC$6)</f>
        <v>0</v>
      </c>
      <c r="S1482" s="9">
        <f>(Таблица1[[#This Row],[Размер кредита]]-21824)/(789096-21824)</f>
        <v>0.28561188209657074</v>
      </c>
      <c r="T1482" s="9">
        <f>(Таблица1[[#This Row],[Кредитный рейтинг]]-586)/(751-586)</f>
        <v>0.83030303030303032</v>
      </c>
      <c r="U1482" s="9">
        <f>Таблица1[[#This Row],[Ежемесячный платеж]]/(Таблица1[[#This Row],[Годовой доход]]/12)</f>
        <v>0.26003903962521957</v>
      </c>
    </row>
    <row r="1483" spans="1:21" x14ac:dyDescent="0.3">
      <c r="A1483">
        <v>1482</v>
      </c>
      <c r="B1483">
        <v>0</v>
      </c>
      <c r="C1483" s="9">
        <v>609092</v>
      </c>
      <c r="D1483">
        <v>750</v>
      </c>
      <c r="E1483" s="1">
        <v>1690848</v>
      </c>
      <c r="F1483">
        <v>0</v>
      </c>
      <c r="G1483">
        <v>17049.46</v>
      </c>
      <c r="H1483">
        <v>23.6</v>
      </c>
      <c r="I1483">
        <v>8</v>
      </c>
      <c r="J1483">
        <v>109877</v>
      </c>
      <c r="K1483">
        <v>1479500</v>
      </c>
      <c r="L1483" t="s">
        <v>29</v>
      </c>
      <c r="M1483" t="s">
        <v>1522</v>
      </c>
      <c r="N1483" t="s">
        <v>26</v>
      </c>
      <c r="O1483" t="s">
        <v>34</v>
      </c>
      <c r="P1483" t="s">
        <v>22</v>
      </c>
      <c r="Q1483" t="s">
        <v>23</v>
      </c>
      <c r="R1483" t="b">
        <f>OR(Таблица1[[#This Row],[Ежемесячный платеж]]&lt;$AC$5, Таблица1[[#This Row],[Ежемесячный платеж]]&gt;$AC$6)</f>
        <v>0</v>
      </c>
      <c r="S1483" s="9">
        <f>(Таблица1[[#This Row],[Размер кредита]]-21824)/(789096-21824)</f>
        <v>0.76539740795962841</v>
      </c>
      <c r="T1483" s="9">
        <f>(Таблица1[[#This Row],[Кредитный рейтинг]]-586)/(751-586)</f>
        <v>0.9939393939393939</v>
      </c>
      <c r="U1483" s="9">
        <f>Таблица1[[#This Row],[Ежемесячный платеж]]/(Таблица1[[#This Row],[Годовой доход]]/12)</f>
        <v>0.12100053937432577</v>
      </c>
    </row>
    <row r="1484" spans="1:21" x14ac:dyDescent="0.3">
      <c r="A1484">
        <v>1483</v>
      </c>
      <c r="B1484">
        <v>1</v>
      </c>
      <c r="C1484" s="9">
        <v>166232</v>
      </c>
      <c r="D1484">
        <v>723</v>
      </c>
      <c r="E1484" s="1">
        <v>1152312</v>
      </c>
      <c r="F1484">
        <v>65</v>
      </c>
      <c r="G1484">
        <v>18532.98</v>
      </c>
      <c r="H1484">
        <v>21.3</v>
      </c>
      <c r="I1484">
        <v>6</v>
      </c>
      <c r="J1484">
        <v>31312</v>
      </c>
      <c r="K1484">
        <v>258918</v>
      </c>
      <c r="L1484" t="s">
        <v>24</v>
      </c>
      <c r="M1484" t="s">
        <v>1523</v>
      </c>
      <c r="N1484" t="s">
        <v>26</v>
      </c>
      <c r="O1484" t="s">
        <v>34</v>
      </c>
      <c r="P1484" t="s">
        <v>22</v>
      </c>
      <c r="Q1484" t="s">
        <v>23</v>
      </c>
      <c r="R1484" t="b">
        <f>OR(Таблица1[[#This Row],[Ежемесячный платеж]]&lt;$AC$5, Таблица1[[#This Row],[Ежемесячный платеж]]&gt;$AC$6)</f>
        <v>0</v>
      </c>
      <c r="S1484" s="9">
        <f>(Таблица1[[#This Row],[Размер кредита]]-21824)/(789096-21824)</f>
        <v>0.18820965707076501</v>
      </c>
      <c r="T1484" s="9">
        <f>(Таблица1[[#This Row],[Кредитный рейтинг]]-586)/(751-586)</f>
        <v>0.83030303030303032</v>
      </c>
      <c r="U1484" s="9">
        <f>Таблица1[[#This Row],[Ежемесячный платеж]]/(Таблица1[[#This Row],[Годовой доход]]/12)</f>
        <v>0.1929996042738425</v>
      </c>
    </row>
    <row r="1485" spans="1:21" x14ac:dyDescent="0.3">
      <c r="A1485">
        <v>1484</v>
      </c>
      <c r="B1485">
        <v>0</v>
      </c>
      <c r="D1485">
        <v>706</v>
      </c>
      <c r="E1485" s="1">
        <v>562685</v>
      </c>
      <c r="F1485">
        <v>41</v>
      </c>
      <c r="G1485">
        <v>1359.83</v>
      </c>
      <c r="H1485">
        <v>11.1</v>
      </c>
      <c r="I1485">
        <v>4</v>
      </c>
      <c r="J1485">
        <v>47823</v>
      </c>
      <c r="K1485">
        <v>146124</v>
      </c>
      <c r="L1485" t="s">
        <v>50</v>
      </c>
      <c r="M1485" t="s">
        <v>1524</v>
      </c>
      <c r="N1485" t="s">
        <v>68</v>
      </c>
      <c r="O1485" t="s">
        <v>34</v>
      </c>
      <c r="P1485" t="s">
        <v>22</v>
      </c>
      <c r="Q1485" t="s">
        <v>23</v>
      </c>
      <c r="R1485" t="b">
        <f>OR(Таблица1[[#This Row],[Ежемесячный платеж]]&lt;$AC$5, Таблица1[[#This Row],[Ежемесячный платеж]]&gt;$AC$6)</f>
        <v>0</v>
      </c>
      <c r="T1485" s="9">
        <f>(Таблица1[[#This Row],[Кредитный рейтинг]]-586)/(751-586)</f>
        <v>0.72727272727272729</v>
      </c>
      <c r="U1485" s="9">
        <f>Таблица1[[#This Row],[Ежемесячный платеж]]/(Таблица1[[#This Row],[Годовой доход]]/12)</f>
        <v>2.9000168833361473E-2</v>
      </c>
    </row>
    <row r="1486" spans="1:21" x14ac:dyDescent="0.3">
      <c r="A1486">
        <v>1485</v>
      </c>
      <c r="B1486">
        <v>0</v>
      </c>
      <c r="C1486" s="9">
        <v>670538</v>
      </c>
      <c r="D1486">
        <v>603</v>
      </c>
      <c r="E1486" s="1">
        <v>1302849</v>
      </c>
      <c r="F1486">
        <v>0</v>
      </c>
      <c r="G1486">
        <v>28120</v>
      </c>
      <c r="H1486">
        <v>17.5</v>
      </c>
      <c r="I1486">
        <v>8</v>
      </c>
      <c r="J1486">
        <v>195700</v>
      </c>
      <c r="K1486">
        <v>279400</v>
      </c>
      <c r="L1486" t="s">
        <v>52</v>
      </c>
      <c r="M1486" t="s">
        <v>1525</v>
      </c>
      <c r="N1486" t="s">
        <v>26</v>
      </c>
      <c r="O1486" t="s">
        <v>34</v>
      </c>
      <c r="P1486" t="s">
        <v>31</v>
      </c>
      <c r="Q1486" t="s">
        <v>23</v>
      </c>
      <c r="R1486" t="b">
        <f>OR(Таблица1[[#This Row],[Ежемесячный платеж]]&lt;$AC$5, Таблица1[[#This Row],[Ежемесячный платеж]]&gt;$AC$6)</f>
        <v>0</v>
      </c>
      <c r="S1486" s="9">
        <f>(Таблица1[[#This Row],[Размер кредита]]-21824)/(789096-21824)</f>
        <v>0.8454811331574722</v>
      </c>
      <c r="T1486" s="9">
        <f>(Таблица1[[#This Row],[Кредитный рейтинг]]-586)/(751-586)</f>
        <v>0.10303030303030303</v>
      </c>
      <c r="U1486" s="9">
        <f>Таблица1[[#This Row],[Ежемесячный платеж]]/(Таблица1[[#This Row],[Годовой доход]]/12)</f>
        <v>0.25900161876011724</v>
      </c>
    </row>
    <row r="1487" spans="1:21" x14ac:dyDescent="0.3">
      <c r="A1487">
        <v>1486</v>
      </c>
      <c r="B1487">
        <v>0</v>
      </c>
      <c r="D1487">
        <v>742</v>
      </c>
      <c r="E1487" s="1">
        <v>1139088</v>
      </c>
      <c r="F1487">
        <v>9</v>
      </c>
      <c r="G1487">
        <v>19934.04</v>
      </c>
      <c r="H1487">
        <v>14.9</v>
      </c>
      <c r="I1487">
        <v>32</v>
      </c>
      <c r="J1487">
        <v>106818</v>
      </c>
      <c r="K1487">
        <v>479446</v>
      </c>
      <c r="L1487" t="s">
        <v>24</v>
      </c>
      <c r="M1487" t="s">
        <v>1526</v>
      </c>
      <c r="N1487" t="s">
        <v>26</v>
      </c>
      <c r="O1487" t="s">
        <v>34</v>
      </c>
      <c r="P1487" t="s">
        <v>22</v>
      </c>
      <c r="Q1487" t="s">
        <v>23</v>
      </c>
      <c r="R1487" t="b">
        <f>OR(Таблица1[[#This Row],[Ежемесячный платеж]]&lt;$AC$5, Таблица1[[#This Row],[Ежемесячный платеж]]&gt;$AC$6)</f>
        <v>0</v>
      </c>
      <c r="T1487" s="9">
        <f>(Таблица1[[#This Row],[Кредитный рейтинг]]-586)/(751-586)</f>
        <v>0.94545454545454544</v>
      </c>
      <c r="U1487" s="9">
        <f>Таблица1[[#This Row],[Ежемесячный платеж]]/(Таблица1[[#This Row],[Годовой доход]]/12)</f>
        <v>0.21000000000000002</v>
      </c>
    </row>
    <row r="1488" spans="1:21" x14ac:dyDescent="0.3">
      <c r="A1488">
        <v>1487</v>
      </c>
      <c r="B1488">
        <v>0</v>
      </c>
      <c r="C1488" s="9">
        <v>215798</v>
      </c>
      <c r="D1488">
        <f>$Y$13</f>
        <v>723</v>
      </c>
      <c r="E1488">
        <f>$AB$13</f>
        <v>1168044</v>
      </c>
      <c r="F1488">
        <v>0</v>
      </c>
      <c r="G1488">
        <v>3091.87</v>
      </c>
      <c r="H1488">
        <v>16</v>
      </c>
      <c r="I1488">
        <v>2</v>
      </c>
      <c r="J1488">
        <v>33535</v>
      </c>
      <c r="K1488">
        <v>43186</v>
      </c>
      <c r="L1488" t="s">
        <v>41</v>
      </c>
      <c r="M1488" t="s">
        <v>1527</v>
      </c>
      <c r="N1488" t="s">
        <v>26</v>
      </c>
      <c r="O1488" t="s">
        <v>34</v>
      </c>
      <c r="P1488" t="s">
        <v>22</v>
      </c>
      <c r="Q1488" t="s">
        <v>23</v>
      </c>
      <c r="R1488" t="b">
        <f>OR(Таблица1[[#This Row],[Ежемесячный платеж]]&lt;$AC$5, Таблица1[[#This Row],[Ежемесячный платеж]]&gt;$AC$6)</f>
        <v>0</v>
      </c>
      <c r="S1488" s="9">
        <f>(Таблица1[[#This Row],[Размер кредита]]-21824)/(789096-21824)</f>
        <v>0.25280995527009981</v>
      </c>
      <c r="T1488" s="9">
        <f>(Таблица1[[#This Row],[Кредитный рейтинг]]-586)/(751-586)</f>
        <v>0.83030303030303032</v>
      </c>
      <c r="U1488" s="9">
        <f>Таблица1[[#This Row],[Ежемесячный платеж]]/(Таблица1[[#This Row],[Годовой доход]]/12)</f>
        <v>3.1764591059925823E-2</v>
      </c>
    </row>
    <row r="1489" spans="1:21" x14ac:dyDescent="0.3">
      <c r="A1489">
        <v>1488</v>
      </c>
      <c r="B1489">
        <v>0</v>
      </c>
      <c r="C1489" s="9">
        <v>206602</v>
      </c>
      <c r="D1489">
        <v>741</v>
      </c>
      <c r="E1489" s="1">
        <v>1607666</v>
      </c>
      <c r="F1489">
        <v>35</v>
      </c>
      <c r="G1489">
        <v>18622.28</v>
      </c>
      <c r="H1489">
        <v>11</v>
      </c>
      <c r="I1489">
        <v>11</v>
      </c>
      <c r="J1489">
        <v>173242</v>
      </c>
      <c r="K1489">
        <v>310024</v>
      </c>
      <c r="L1489" t="s">
        <v>24</v>
      </c>
      <c r="M1489" t="s">
        <v>1528</v>
      </c>
      <c r="N1489" t="s">
        <v>26</v>
      </c>
      <c r="O1489" t="s">
        <v>21</v>
      </c>
      <c r="P1489" t="s">
        <v>22</v>
      </c>
      <c r="Q1489" t="s">
        <v>23</v>
      </c>
      <c r="R1489" t="b">
        <f>OR(Таблица1[[#This Row],[Ежемесячный платеж]]&lt;$AC$5, Таблица1[[#This Row],[Ежемесячный платеж]]&gt;$AC$6)</f>
        <v>0</v>
      </c>
      <c r="S1489" s="9">
        <f>(Таблица1[[#This Row],[Размер кредита]]-21824)/(789096-21824)</f>
        <v>0.24082463585273542</v>
      </c>
      <c r="T1489" s="9">
        <f>(Таблица1[[#This Row],[Кредитный рейтинг]]-586)/(751-586)</f>
        <v>0.93939393939393945</v>
      </c>
      <c r="U1489" s="9">
        <f>Таблица1[[#This Row],[Ежемесячный платеж]]/(Таблица1[[#This Row],[Годовой доход]]/12)</f>
        <v>0.13900111092726972</v>
      </c>
    </row>
    <row r="1490" spans="1:21" x14ac:dyDescent="0.3">
      <c r="A1490">
        <v>1489</v>
      </c>
      <c r="B1490">
        <v>0</v>
      </c>
      <c r="C1490" s="9">
        <v>335720</v>
      </c>
      <c r="D1490">
        <f>$Y$13</f>
        <v>723</v>
      </c>
      <c r="E1490">
        <f>$AB$13</f>
        <v>1168044</v>
      </c>
      <c r="F1490">
        <v>0</v>
      </c>
      <c r="G1490">
        <v>18375.28</v>
      </c>
      <c r="H1490">
        <v>12.9</v>
      </c>
      <c r="I1490">
        <v>14</v>
      </c>
      <c r="J1490">
        <v>97337</v>
      </c>
      <c r="K1490">
        <v>473572</v>
      </c>
      <c r="L1490" t="s">
        <v>18</v>
      </c>
      <c r="M1490" t="s">
        <v>1529</v>
      </c>
      <c r="N1490" t="s">
        <v>26</v>
      </c>
      <c r="O1490" t="s">
        <v>21</v>
      </c>
      <c r="P1490" t="s">
        <v>31</v>
      </c>
      <c r="Q1490" t="s">
        <v>36</v>
      </c>
      <c r="R1490" t="b">
        <f>OR(Таблица1[[#This Row],[Ежемесячный платеж]]&lt;$AC$5, Таблица1[[#This Row],[Ежемесячный платеж]]&gt;$AC$6)</f>
        <v>0</v>
      </c>
      <c r="S1490" s="9">
        <f>(Таблица1[[#This Row],[Размер кредита]]-21824)/(789096-21824)</f>
        <v>0.40910654891616011</v>
      </c>
      <c r="T1490" s="9">
        <f>(Таблица1[[#This Row],[Кредитный рейтинг]]-586)/(751-586)</f>
        <v>0.83030303030303032</v>
      </c>
      <c r="U1490" s="9">
        <f>Таблица1[[#This Row],[Ежемесячный платеж]]/(Таблица1[[#This Row],[Годовой доход]]/12)</f>
        <v>0.18878001171188755</v>
      </c>
    </row>
    <row r="1491" spans="1:21" x14ac:dyDescent="0.3">
      <c r="A1491">
        <v>1490</v>
      </c>
      <c r="B1491">
        <v>1</v>
      </c>
      <c r="D1491">
        <v>720</v>
      </c>
      <c r="E1491" s="1">
        <v>1977748</v>
      </c>
      <c r="F1491">
        <v>0</v>
      </c>
      <c r="G1491">
        <v>6295.84</v>
      </c>
      <c r="H1491">
        <v>15.7</v>
      </c>
      <c r="I1491">
        <v>13</v>
      </c>
      <c r="J1491">
        <v>151506</v>
      </c>
      <c r="K1491">
        <v>504064</v>
      </c>
      <c r="L1491" t="s">
        <v>41</v>
      </c>
      <c r="M1491" t="s">
        <v>1530</v>
      </c>
      <c r="N1491" t="s">
        <v>20</v>
      </c>
      <c r="O1491" t="s">
        <v>34</v>
      </c>
      <c r="P1491" t="s">
        <v>22</v>
      </c>
      <c r="Q1491" t="s">
        <v>23</v>
      </c>
      <c r="R1491" t="b">
        <f>OR(Таблица1[[#This Row],[Ежемесячный платеж]]&lt;$AC$5, Таблица1[[#This Row],[Ежемесячный платеж]]&gt;$AC$6)</f>
        <v>0</v>
      </c>
      <c r="T1491" s="9">
        <f>(Таблица1[[#This Row],[Кредитный рейтинг]]-586)/(751-586)</f>
        <v>0.81212121212121213</v>
      </c>
      <c r="U1491" s="9">
        <f>Таблица1[[#This Row],[Ежемесячный платеж]]/(Таблица1[[#This Row],[Годовой доход]]/12)</f>
        <v>3.8200053798562811E-2</v>
      </c>
    </row>
    <row r="1492" spans="1:21" x14ac:dyDescent="0.3">
      <c r="A1492">
        <v>1491</v>
      </c>
      <c r="B1492">
        <v>0</v>
      </c>
      <c r="D1492">
        <v>738</v>
      </c>
      <c r="E1492" s="1">
        <v>1678878</v>
      </c>
      <c r="F1492">
        <v>41</v>
      </c>
      <c r="G1492">
        <v>17908.07</v>
      </c>
      <c r="H1492">
        <v>22</v>
      </c>
      <c r="I1492">
        <v>7</v>
      </c>
      <c r="J1492">
        <v>93879</v>
      </c>
      <c r="K1492">
        <v>216128</v>
      </c>
      <c r="L1492" t="s">
        <v>37</v>
      </c>
      <c r="M1492" t="s">
        <v>1531</v>
      </c>
      <c r="N1492" t="s">
        <v>26</v>
      </c>
      <c r="O1492" t="s">
        <v>21</v>
      </c>
      <c r="P1492" t="s">
        <v>31</v>
      </c>
      <c r="Q1492" t="s">
        <v>23</v>
      </c>
      <c r="R1492" t="b">
        <f>OR(Таблица1[[#This Row],[Ежемесячный платеж]]&lt;$AC$5, Таблица1[[#This Row],[Ежемесячный платеж]]&gt;$AC$6)</f>
        <v>0</v>
      </c>
      <c r="T1492" s="9">
        <f>(Таблица1[[#This Row],[Кредитный рейтинг]]-586)/(751-586)</f>
        <v>0.92121212121212126</v>
      </c>
      <c r="U1492" s="9">
        <f>Таблица1[[#This Row],[Ежемесячный платеж]]/(Таблица1[[#This Row],[Годовой доход]]/12)</f>
        <v>0.12800027160996807</v>
      </c>
    </row>
    <row r="1493" spans="1:21" x14ac:dyDescent="0.3">
      <c r="A1493">
        <v>1492</v>
      </c>
      <c r="B1493">
        <v>1</v>
      </c>
      <c r="C1493" s="9">
        <v>301620</v>
      </c>
      <c r="D1493">
        <v>724</v>
      </c>
      <c r="E1493" s="1">
        <v>1068674</v>
      </c>
      <c r="F1493">
        <v>19</v>
      </c>
      <c r="G1493">
        <v>23867.23</v>
      </c>
      <c r="H1493">
        <v>27.1</v>
      </c>
      <c r="I1493">
        <v>18</v>
      </c>
      <c r="J1493">
        <v>170962</v>
      </c>
      <c r="K1493">
        <v>423896</v>
      </c>
      <c r="L1493" t="s">
        <v>24</v>
      </c>
      <c r="M1493" t="s">
        <v>1532</v>
      </c>
      <c r="N1493" t="s">
        <v>26</v>
      </c>
      <c r="O1493" t="s">
        <v>21</v>
      </c>
      <c r="P1493" t="s">
        <v>22</v>
      </c>
      <c r="Q1493" t="s">
        <v>23</v>
      </c>
      <c r="R1493" t="b">
        <f>OR(Таблица1[[#This Row],[Ежемесячный платеж]]&lt;$AC$5, Таблица1[[#This Row],[Ежемесячный платеж]]&gt;$AC$6)</f>
        <v>0</v>
      </c>
      <c r="S1493" s="9">
        <f>(Таблица1[[#This Row],[Размер кредита]]-21824)/(789096-21824)</f>
        <v>0.36466337882784722</v>
      </c>
      <c r="T1493" s="9">
        <f>(Таблица1[[#This Row],[Кредитный рейтинг]]-586)/(751-586)</f>
        <v>0.83636363636363631</v>
      </c>
      <c r="U1493" s="9">
        <f>Таблица1[[#This Row],[Ежемесячный платеж]]/(Таблица1[[#This Row],[Годовой доход]]/12)</f>
        <v>0.26800199125271129</v>
      </c>
    </row>
    <row r="1494" spans="1:21" x14ac:dyDescent="0.3">
      <c r="A1494">
        <v>1493</v>
      </c>
      <c r="B1494">
        <v>0</v>
      </c>
      <c r="C1494" s="9">
        <v>258500</v>
      </c>
      <c r="D1494">
        <f>$Y$13</f>
        <v>723</v>
      </c>
      <c r="E1494">
        <f>$AB$13</f>
        <v>1168044</v>
      </c>
      <c r="F1494">
        <v>0</v>
      </c>
      <c r="G1494">
        <v>28031.27</v>
      </c>
      <c r="H1494">
        <v>14.5</v>
      </c>
      <c r="I1494">
        <v>16</v>
      </c>
      <c r="J1494">
        <v>34713</v>
      </c>
      <c r="K1494">
        <v>638066</v>
      </c>
      <c r="L1494" t="s">
        <v>41</v>
      </c>
      <c r="M1494" t="s">
        <v>1533</v>
      </c>
      <c r="N1494" t="s">
        <v>26</v>
      </c>
      <c r="O1494" t="s">
        <v>34</v>
      </c>
      <c r="P1494" t="s">
        <v>31</v>
      </c>
      <c r="Q1494" t="s">
        <v>23</v>
      </c>
      <c r="R1494" t="b">
        <f>OR(Таблица1[[#This Row],[Ежемесячный платеж]]&lt;$AC$5, Таблица1[[#This Row],[Ежемесячный платеж]]&gt;$AC$6)</f>
        <v>0</v>
      </c>
      <c r="S1494" s="9">
        <f>(Таблица1[[#This Row],[Размер кредита]]-21824)/(789096-21824)</f>
        <v>0.30846427342585159</v>
      </c>
      <c r="T1494" s="9">
        <f>(Таблица1[[#This Row],[Кредитный рейтинг]]-586)/(751-586)</f>
        <v>0.83030303030303032</v>
      </c>
      <c r="U1494" s="9">
        <f>Таблица1[[#This Row],[Ежемесячный платеж]]/(Таблица1[[#This Row],[Годовой доход]]/12)</f>
        <v>0.28798165137614679</v>
      </c>
    </row>
    <row r="1495" spans="1:21" x14ac:dyDescent="0.3">
      <c r="A1495">
        <v>1494</v>
      </c>
      <c r="B1495">
        <v>0</v>
      </c>
      <c r="C1495" s="9">
        <v>283052</v>
      </c>
      <c r="D1495">
        <v>714</v>
      </c>
      <c r="E1495" s="1">
        <v>1062442</v>
      </c>
      <c r="F1495">
        <v>0</v>
      </c>
      <c r="G1495">
        <v>26472.51</v>
      </c>
      <c r="H1495">
        <v>16.5</v>
      </c>
      <c r="I1495">
        <v>16</v>
      </c>
      <c r="J1495">
        <v>224922</v>
      </c>
      <c r="K1495">
        <v>341770</v>
      </c>
      <c r="L1495" t="s">
        <v>32</v>
      </c>
      <c r="M1495" t="s">
        <v>1534</v>
      </c>
      <c r="N1495" t="s">
        <v>26</v>
      </c>
      <c r="O1495" t="s">
        <v>21</v>
      </c>
      <c r="P1495" t="s">
        <v>22</v>
      </c>
      <c r="Q1495" t="s">
        <v>23</v>
      </c>
      <c r="R1495" t="b">
        <f>OR(Таблица1[[#This Row],[Ежемесячный платеж]]&lt;$AC$5, Таблица1[[#This Row],[Ежемесячный платеж]]&gt;$AC$6)</f>
        <v>0</v>
      </c>
      <c r="S1495" s="9">
        <f>(Таблица1[[#This Row],[Размер кредита]]-21824)/(789096-21824)</f>
        <v>0.34046335588943688</v>
      </c>
      <c r="T1495" s="9">
        <f>(Таблица1[[#This Row],[Кредитный рейтинг]]-586)/(751-586)</f>
        <v>0.77575757575757576</v>
      </c>
      <c r="U1495" s="9">
        <f>Таблица1[[#This Row],[Ежемесячный платеж]]/(Таблица1[[#This Row],[Годовой доход]]/12)</f>
        <v>0.29899996423334169</v>
      </c>
    </row>
    <row r="1496" spans="1:21" x14ac:dyDescent="0.3">
      <c r="A1496">
        <v>1495</v>
      </c>
      <c r="B1496">
        <v>1</v>
      </c>
      <c r="C1496" s="9">
        <v>607926</v>
      </c>
      <c r="D1496">
        <v>647</v>
      </c>
      <c r="E1496" s="1">
        <v>1807166</v>
      </c>
      <c r="F1496">
        <v>0</v>
      </c>
      <c r="G1496">
        <v>23643.79</v>
      </c>
      <c r="H1496">
        <v>16.2</v>
      </c>
      <c r="I1496">
        <v>8</v>
      </c>
      <c r="J1496">
        <v>306888</v>
      </c>
      <c r="K1496">
        <v>440330</v>
      </c>
      <c r="L1496" t="s">
        <v>37</v>
      </c>
      <c r="M1496" t="s">
        <v>1535</v>
      </c>
      <c r="N1496" t="s">
        <v>26</v>
      </c>
      <c r="O1496" t="s">
        <v>34</v>
      </c>
      <c r="P1496" t="s">
        <v>31</v>
      </c>
      <c r="Q1496" t="s">
        <v>23</v>
      </c>
      <c r="R1496" t="b">
        <f>OR(Таблица1[[#This Row],[Ежемесячный платеж]]&lt;$AC$5, Таблица1[[#This Row],[Ежемесячный платеж]]&gt;$AC$6)</f>
        <v>0</v>
      </c>
      <c r="S1496" s="9">
        <f>(Таблица1[[#This Row],[Размер кредита]]-21824)/(789096-21824)</f>
        <v>0.76387773827273775</v>
      </c>
      <c r="T1496" s="9">
        <f>(Таблица1[[#This Row],[Кредитный рейтинг]]-586)/(751-586)</f>
        <v>0.36969696969696969</v>
      </c>
      <c r="U1496" s="9">
        <f>Таблица1[[#This Row],[Ежемесячный платеж]]/(Таблица1[[#This Row],[Годовой доход]]/12)</f>
        <v>0.15700023130138571</v>
      </c>
    </row>
    <row r="1497" spans="1:21" x14ac:dyDescent="0.3">
      <c r="A1497">
        <v>1496</v>
      </c>
      <c r="B1497">
        <v>0</v>
      </c>
      <c r="C1497" s="9">
        <v>446028</v>
      </c>
      <c r="D1497">
        <v>693</v>
      </c>
      <c r="E1497" s="1">
        <v>2118633</v>
      </c>
      <c r="F1497">
        <v>0</v>
      </c>
      <c r="G1497">
        <v>16083.88</v>
      </c>
      <c r="H1497">
        <v>16.8</v>
      </c>
      <c r="I1497">
        <v>6</v>
      </c>
      <c r="J1497">
        <v>381976</v>
      </c>
      <c r="K1497">
        <v>446292</v>
      </c>
      <c r="L1497" t="s">
        <v>32</v>
      </c>
      <c r="M1497" s="2" t="s">
        <v>1536</v>
      </c>
      <c r="N1497" t="s">
        <v>26</v>
      </c>
      <c r="O1497" t="s">
        <v>34</v>
      </c>
      <c r="P1497" t="s">
        <v>22</v>
      </c>
      <c r="Q1497" t="s">
        <v>23</v>
      </c>
      <c r="R1497" t="b">
        <f>OR(Таблица1[[#This Row],[Ежемесячный платеж]]&lt;$AC$5, Таблица1[[#This Row],[Ежемесячный платеж]]&gt;$AC$6)</f>
        <v>0</v>
      </c>
      <c r="S1497" s="9">
        <f>(Таблица1[[#This Row],[Размер кредита]]-21824)/(789096-21824)</f>
        <v>0.55287303589861225</v>
      </c>
      <c r="T1497" s="9">
        <f>(Таблица1[[#This Row],[Кредитный рейтинг]]-586)/(751-586)</f>
        <v>0.64848484848484844</v>
      </c>
      <c r="U1497" s="9">
        <f>Таблица1[[#This Row],[Ежемесячный платеж]]/(Таблица1[[#This Row],[Годовой доход]]/12)</f>
        <v>9.1099572224165301E-2</v>
      </c>
    </row>
    <row r="1498" spans="1:21" x14ac:dyDescent="0.3">
      <c r="A1498">
        <v>1497</v>
      </c>
      <c r="B1498">
        <v>0</v>
      </c>
      <c r="C1498" s="9">
        <v>531850</v>
      </c>
      <c r="D1498">
        <v>749</v>
      </c>
      <c r="E1498" s="1">
        <v>1626799</v>
      </c>
      <c r="F1498">
        <v>70</v>
      </c>
      <c r="G1498">
        <v>6547.97</v>
      </c>
      <c r="H1498">
        <v>15.8</v>
      </c>
      <c r="I1498">
        <v>12</v>
      </c>
      <c r="J1498">
        <v>380114</v>
      </c>
      <c r="K1498">
        <v>1202542</v>
      </c>
      <c r="L1498" t="s">
        <v>50</v>
      </c>
      <c r="M1498" t="s">
        <v>1537</v>
      </c>
      <c r="N1498" t="s">
        <v>26</v>
      </c>
      <c r="O1498" t="s">
        <v>21</v>
      </c>
      <c r="P1498" t="s">
        <v>22</v>
      </c>
      <c r="Q1498" t="s">
        <v>36</v>
      </c>
      <c r="R1498" t="b">
        <f>OR(Таблица1[[#This Row],[Ежемесячный платеж]]&lt;$AC$5, Таблица1[[#This Row],[Ежемесячный платеж]]&gt;$AC$6)</f>
        <v>0</v>
      </c>
      <c r="S1498" s="9">
        <f>(Таблица1[[#This Row],[Размер кредита]]-21824)/(789096-21824)</f>
        <v>0.66472645945635966</v>
      </c>
      <c r="T1498" s="9">
        <f>(Таблица1[[#This Row],[Кредитный рейтинг]]-586)/(751-586)</f>
        <v>0.98787878787878791</v>
      </c>
      <c r="U1498" s="9">
        <f>Таблица1[[#This Row],[Ежемесячный платеж]]/(Таблица1[[#This Row],[Годовой доход]]/12)</f>
        <v>4.830076733511638E-2</v>
      </c>
    </row>
    <row r="1499" spans="1:21" x14ac:dyDescent="0.3">
      <c r="A1499">
        <v>1498</v>
      </c>
      <c r="B1499">
        <v>0</v>
      </c>
      <c r="C1499" s="9">
        <v>355454</v>
      </c>
      <c r="D1499">
        <f>$Y$13</f>
        <v>723</v>
      </c>
      <c r="E1499">
        <f>$AB$13</f>
        <v>1168044</v>
      </c>
      <c r="F1499">
        <v>0</v>
      </c>
      <c r="G1499">
        <v>24123.35</v>
      </c>
      <c r="H1499">
        <v>13.9</v>
      </c>
      <c r="I1499">
        <v>21</v>
      </c>
      <c r="J1499">
        <v>263663</v>
      </c>
      <c r="K1499">
        <v>377828</v>
      </c>
      <c r="L1499" t="s">
        <v>24</v>
      </c>
      <c r="M1499" t="s">
        <v>1538</v>
      </c>
      <c r="N1499" t="s">
        <v>26</v>
      </c>
      <c r="O1499" t="s">
        <v>21</v>
      </c>
      <c r="P1499" t="s">
        <v>31</v>
      </c>
      <c r="Q1499" t="s">
        <v>23</v>
      </c>
      <c r="R1499" t="b">
        <f>OR(Таблица1[[#This Row],[Ежемесячный платеж]]&lt;$AC$5, Таблица1[[#This Row],[Ежемесячный платеж]]&gt;$AC$6)</f>
        <v>0</v>
      </c>
      <c r="S1499" s="9">
        <f>(Таблица1[[#This Row],[Размер кредита]]-21824)/(789096-21824)</f>
        <v>0.43482624154146116</v>
      </c>
      <c r="T1499" s="9">
        <f>(Таблица1[[#This Row],[Кредитный рейтинг]]-586)/(751-586)</f>
        <v>0.83030303030303032</v>
      </c>
      <c r="U1499" s="9">
        <f>Таблица1[[#This Row],[Ежемесячный платеж]]/(Таблица1[[#This Row],[Годовой доход]]/12)</f>
        <v>0.2478333008003123</v>
      </c>
    </row>
    <row r="1500" spans="1:21" x14ac:dyDescent="0.3">
      <c r="A1500">
        <v>1499</v>
      </c>
      <c r="B1500">
        <v>0</v>
      </c>
      <c r="C1500" s="9">
        <v>492536</v>
      </c>
      <c r="D1500">
        <v>693</v>
      </c>
      <c r="E1500" s="1">
        <v>1070707</v>
      </c>
      <c r="F1500">
        <v>10</v>
      </c>
      <c r="G1500">
        <v>21146.43</v>
      </c>
      <c r="H1500">
        <v>19.8</v>
      </c>
      <c r="I1500">
        <v>14</v>
      </c>
      <c r="J1500">
        <v>479845</v>
      </c>
      <c r="K1500">
        <v>736890</v>
      </c>
      <c r="L1500" t="s">
        <v>18</v>
      </c>
      <c r="M1500" t="s">
        <v>1539</v>
      </c>
      <c r="N1500" t="s">
        <v>26</v>
      </c>
      <c r="O1500" t="s">
        <v>21</v>
      </c>
      <c r="P1500" t="s">
        <v>31</v>
      </c>
      <c r="Q1500" t="s">
        <v>36</v>
      </c>
      <c r="R1500" t="b">
        <f>OR(Таблица1[[#This Row],[Ежемесячный платеж]]&lt;$AC$5, Таблица1[[#This Row],[Ежемесячный платеж]]&gt;$AC$6)</f>
        <v>0</v>
      </c>
      <c r="S1500" s="9">
        <f>(Таблица1[[#This Row],[Размер кредита]]-21824)/(789096-21824)</f>
        <v>0.61348778529647896</v>
      </c>
      <c r="T1500" s="9">
        <f>(Таблица1[[#This Row],[Кредитный рейтинг]]-586)/(751-586)</f>
        <v>0.64848484848484844</v>
      </c>
      <c r="U1500" s="9">
        <f>Таблица1[[#This Row],[Ежемесячный платеж]]/(Таблица1[[#This Row],[Годовой доход]]/12)</f>
        <v>0.23699962734903202</v>
      </c>
    </row>
    <row r="1501" spans="1:21" x14ac:dyDescent="0.3">
      <c r="A1501">
        <v>1500</v>
      </c>
      <c r="B1501">
        <v>0</v>
      </c>
      <c r="C1501" s="9">
        <v>140096</v>
      </c>
      <c r="D1501">
        <f>$Y$13</f>
        <v>723</v>
      </c>
      <c r="E1501">
        <f>$AB$13</f>
        <v>1168044</v>
      </c>
      <c r="F1501">
        <v>0</v>
      </c>
      <c r="G1501">
        <v>12406.43</v>
      </c>
      <c r="H1501">
        <v>8.6999999999999993</v>
      </c>
      <c r="I1501">
        <v>10</v>
      </c>
      <c r="J1501">
        <v>155078</v>
      </c>
      <c r="K1501">
        <v>292930</v>
      </c>
      <c r="L1501" t="s">
        <v>47</v>
      </c>
      <c r="M1501" t="s">
        <v>1540</v>
      </c>
      <c r="N1501" t="s">
        <v>26</v>
      </c>
      <c r="O1501" t="s">
        <v>34</v>
      </c>
      <c r="P1501" t="s">
        <v>22</v>
      </c>
      <c r="Q1501" t="s">
        <v>23</v>
      </c>
      <c r="R1501" t="b">
        <f>OR(Таблица1[[#This Row],[Ежемесячный платеж]]&lt;$AC$5, Таблица1[[#This Row],[Ежемесячный платеж]]&gt;$AC$6)</f>
        <v>0</v>
      </c>
      <c r="S1501" s="9">
        <f>(Таблица1[[#This Row],[Размер кредита]]-21824)/(789096-21824)</f>
        <v>0.15414611767404518</v>
      </c>
      <c r="T1501" s="9">
        <f>(Таблица1[[#This Row],[Кредитный рейтинг]]-586)/(751-586)</f>
        <v>0.83030303030303032</v>
      </c>
      <c r="U1501" s="9">
        <f>Таблица1[[#This Row],[Ежемесячный платеж]]/(Таблица1[[#This Row],[Годовой доход]]/12)</f>
        <v>0.12745852039820418</v>
      </c>
    </row>
    <row r="1502" spans="1:21" x14ac:dyDescent="0.3">
      <c r="A1502">
        <v>1501</v>
      </c>
      <c r="B1502">
        <v>0</v>
      </c>
      <c r="C1502" s="9">
        <v>107448</v>
      </c>
      <c r="D1502">
        <v>692</v>
      </c>
      <c r="E1502" s="1">
        <v>668059</v>
      </c>
      <c r="F1502">
        <v>0</v>
      </c>
      <c r="G1502">
        <v>4804.53</v>
      </c>
      <c r="H1502">
        <v>17.399999999999999</v>
      </c>
      <c r="I1502">
        <v>4</v>
      </c>
      <c r="J1502">
        <v>131404</v>
      </c>
      <c r="K1502">
        <v>242660</v>
      </c>
      <c r="L1502" t="s">
        <v>37</v>
      </c>
      <c r="M1502" t="s">
        <v>1541</v>
      </c>
      <c r="N1502" t="s">
        <v>68</v>
      </c>
      <c r="O1502" t="s">
        <v>34</v>
      </c>
      <c r="P1502" t="s">
        <v>22</v>
      </c>
      <c r="Q1502" t="s">
        <v>36</v>
      </c>
      <c r="R1502" t="b">
        <f>OR(Таблица1[[#This Row],[Ежемесячный платеж]]&lt;$AC$5, Таблица1[[#This Row],[Ежемесячный платеж]]&gt;$AC$6)</f>
        <v>0</v>
      </c>
      <c r="S1502" s="9">
        <f>(Таблица1[[#This Row],[Размер кредита]]-21824)/(789096-21824)</f>
        <v>0.11159536644110563</v>
      </c>
      <c r="T1502" s="9">
        <f>(Таблица1[[#This Row],[Кредитный рейтинг]]-586)/(751-586)</f>
        <v>0.64242424242424245</v>
      </c>
      <c r="U1502" s="9">
        <f>Таблица1[[#This Row],[Ежемесячный платеж]]/(Таблица1[[#This Row],[Годовой доход]]/12)</f>
        <v>8.6301299735502393E-2</v>
      </c>
    </row>
    <row r="1503" spans="1:21" x14ac:dyDescent="0.3">
      <c r="A1503">
        <v>1502</v>
      </c>
      <c r="B1503">
        <v>0</v>
      </c>
      <c r="C1503" s="9">
        <v>184492</v>
      </c>
      <c r="D1503">
        <v>741</v>
      </c>
      <c r="E1503" s="1">
        <v>758708</v>
      </c>
      <c r="F1503">
        <v>80</v>
      </c>
      <c r="G1503">
        <v>14099.33</v>
      </c>
      <c r="H1503">
        <v>10.5</v>
      </c>
      <c r="I1503">
        <v>7</v>
      </c>
      <c r="J1503">
        <v>104329</v>
      </c>
      <c r="K1503">
        <v>408078</v>
      </c>
      <c r="L1503" t="s">
        <v>47</v>
      </c>
      <c r="M1503" t="s">
        <v>1542</v>
      </c>
      <c r="N1503" t="s">
        <v>26</v>
      </c>
      <c r="O1503" t="s">
        <v>34</v>
      </c>
      <c r="P1503" t="s">
        <v>22</v>
      </c>
      <c r="Q1503" t="s">
        <v>36</v>
      </c>
      <c r="R1503" t="b">
        <f>OR(Таблица1[[#This Row],[Ежемесячный платеж]]&lt;$AC$5, Таблица1[[#This Row],[Ежемесячный платеж]]&gt;$AC$6)</f>
        <v>0</v>
      </c>
      <c r="S1503" s="9">
        <f>(Таблица1[[#This Row],[Размер кредита]]-21824)/(789096-21824)</f>
        <v>0.21200825782773253</v>
      </c>
      <c r="T1503" s="9">
        <f>(Таблица1[[#This Row],[Кредитный рейтинг]]-586)/(751-586)</f>
        <v>0.93939393939393945</v>
      </c>
      <c r="U1503" s="9">
        <f>Таблица1[[#This Row],[Ежемесячный платеж]]/(Таблица1[[#This Row],[Годовой доход]]/12)</f>
        <v>0.22300010017028951</v>
      </c>
    </row>
    <row r="1504" spans="1:21" x14ac:dyDescent="0.3">
      <c r="A1504">
        <v>1503</v>
      </c>
      <c r="B1504">
        <v>0</v>
      </c>
      <c r="C1504" s="9">
        <v>483010</v>
      </c>
      <c r="D1504">
        <v>749</v>
      </c>
      <c r="E1504" s="1">
        <v>1536112</v>
      </c>
      <c r="F1504">
        <v>0</v>
      </c>
      <c r="G1504">
        <v>27394.01</v>
      </c>
      <c r="H1504">
        <v>16</v>
      </c>
      <c r="I1504">
        <v>12</v>
      </c>
      <c r="J1504">
        <v>232579</v>
      </c>
      <c r="K1504">
        <v>1235366</v>
      </c>
      <c r="L1504" t="s">
        <v>24</v>
      </c>
      <c r="M1504" t="s">
        <v>1543</v>
      </c>
      <c r="N1504" t="s">
        <v>26</v>
      </c>
      <c r="O1504" t="s">
        <v>34</v>
      </c>
      <c r="P1504" t="s">
        <v>22</v>
      </c>
      <c r="Q1504" t="s">
        <v>23</v>
      </c>
      <c r="R1504" t="b">
        <f>OR(Таблица1[[#This Row],[Ежемесячный платеж]]&lt;$AC$5, Таблица1[[#This Row],[Ежемесячный платеж]]&gt;$AC$6)</f>
        <v>0</v>
      </c>
      <c r="S1504" s="9">
        <f>(Таблица1[[#This Row],[Размер кредита]]-21824)/(789096-21824)</f>
        <v>0.60107237068471153</v>
      </c>
      <c r="T1504" s="9">
        <f>(Таблица1[[#This Row],[Кредитный рейтинг]]-586)/(751-586)</f>
        <v>0.98787878787878791</v>
      </c>
      <c r="U1504" s="9">
        <f>Таблица1[[#This Row],[Ежемесячный платеж]]/(Таблица1[[#This Row],[Годовой доход]]/12)</f>
        <v>0.21400009895111816</v>
      </c>
    </row>
    <row r="1505" spans="1:21" x14ac:dyDescent="0.3">
      <c r="A1505">
        <v>1504</v>
      </c>
      <c r="B1505">
        <v>0</v>
      </c>
      <c r="C1505" s="9">
        <v>132374</v>
      </c>
      <c r="D1505">
        <f>$Y$13</f>
        <v>723</v>
      </c>
      <c r="E1505">
        <f>$AB$13</f>
        <v>1168044</v>
      </c>
      <c r="F1505">
        <v>65</v>
      </c>
      <c r="G1505">
        <v>38903.07</v>
      </c>
      <c r="H1505">
        <v>25.9</v>
      </c>
      <c r="I1505">
        <v>13</v>
      </c>
      <c r="J1505">
        <v>591432</v>
      </c>
      <c r="K1505">
        <v>825088</v>
      </c>
      <c r="L1505" t="s">
        <v>24</v>
      </c>
      <c r="M1505" t="s">
        <v>1544</v>
      </c>
      <c r="N1505" t="s">
        <v>103</v>
      </c>
      <c r="O1505" t="s">
        <v>28</v>
      </c>
      <c r="P1505" t="s">
        <v>22</v>
      </c>
      <c r="Q1505" t="s">
        <v>23</v>
      </c>
      <c r="R1505" t="b">
        <f>OR(Таблица1[[#This Row],[Ежемесячный платеж]]&lt;$AC$5, Таблица1[[#This Row],[Ежемесячный платеж]]&gt;$AC$6)</f>
        <v>0</v>
      </c>
      <c r="S1505" s="9">
        <f>(Таблица1[[#This Row],[Размер кредита]]-21824)/(789096-21824)</f>
        <v>0.14408189012501435</v>
      </c>
      <c r="T1505" s="9">
        <f>(Таблица1[[#This Row],[Кредитный рейтинг]]-586)/(751-586)</f>
        <v>0.83030303030303032</v>
      </c>
      <c r="U1505" s="9">
        <f>Таблица1[[#This Row],[Ежемесячный платеж]]/(Таблица1[[#This Row],[Годовой доход]]/12)</f>
        <v>0.39967401912941636</v>
      </c>
    </row>
    <row r="1506" spans="1:21" x14ac:dyDescent="0.3">
      <c r="A1506">
        <v>1505</v>
      </c>
      <c r="B1506">
        <v>0</v>
      </c>
      <c r="C1506" s="9">
        <v>105842</v>
      </c>
      <c r="D1506">
        <f>$Y$13</f>
        <v>723</v>
      </c>
      <c r="E1506">
        <f>$AB$13</f>
        <v>1168044</v>
      </c>
      <c r="F1506">
        <v>40</v>
      </c>
      <c r="G1506">
        <v>10381.6</v>
      </c>
      <c r="H1506">
        <v>21</v>
      </c>
      <c r="I1506">
        <v>12</v>
      </c>
      <c r="J1506">
        <v>314811</v>
      </c>
      <c r="K1506">
        <v>538428</v>
      </c>
      <c r="L1506" t="s">
        <v>24</v>
      </c>
      <c r="M1506" t="s">
        <v>1545</v>
      </c>
      <c r="N1506" t="s">
        <v>26</v>
      </c>
      <c r="O1506" t="s">
        <v>21</v>
      </c>
      <c r="P1506" t="s">
        <v>22</v>
      </c>
      <c r="Q1506" t="s">
        <v>23</v>
      </c>
      <c r="R1506" t="b">
        <f>OR(Таблица1[[#This Row],[Ежемесячный платеж]]&lt;$AC$5, Таблица1[[#This Row],[Ежемесячный платеж]]&gt;$AC$6)</f>
        <v>0</v>
      </c>
      <c r="S1506" s="9">
        <f>(Таблица1[[#This Row],[Размер кредита]]-21824)/(789096-21824)</f>
        <v>0.1095022364950109</v>
      </c>
      <c r="T1506" s="9">
        <f>(Таблица1[[#This Row],[Кредитный рейтинг]]-586)/(751-586)</f>
        <v>0.83030303030303032</v>
      </c>
      <c r="U1506" s="9">
        <f>Таблица1[[#This Row],[Ежемесячный платеж]]/(Таблица1[[#This Row],[Годовой доход]]/12)</f>
        <v>0.10665625609994145</v>
      </c>
    </row>
    <row r="1507" spans="1:21" x14ac:dyDescent="0.3">
      <c r="A1507">
        <v>1506</v>
      </c>
      <c r="B1507">
        <v>0</v>
      </c>
      <c r="C1507" s="9">
        <v>267586</v>
      </c>
      <c r="D1507">
        <v>722</v>
      </c>
      <c r="E1507" s="1">
        <v>1315237</v>
      </c>
      <c r="F1507">
        <v>0</v>
      </c>
      <c r="G1507">
        <v>25318.26</v>
      </c>
      <c r="H1507">
        <v>13.9</v>
      </c>
      <c r="I1507">
        <v>7</v>
      </c>
      <c r="J1507">
        <v>458793</v>
      </c>
      <c r="K1507">
        <v>578688</v>
      </c>
      <c r="L1507" t="s">
        <v>41</v>
      </c>
      <c r="M1507" t="s">
        <v>1546</v>
      </c>
      <c r="N1507" t="s">
        <v>26</v>
      </c>
      <c r="O1507" t="s">
        <v>34</v>
      </c>
      <c r="P1507" t="s">
        <v>22</v>
      </c>
      <c r="Q1507" t="s">
        <v>23</v>
      </c>
      <c r="R1507" t="b">
        <f>OR(Таблица1[[#This Row],[Ежемесячный платеж]]&lt;$AC$5, Таблица1[[#This Row],[Ежемесячный платеж]]&gt;$AC$6)</f>
        <v>0</v>
      </c>
      <c r="S1507" s="9">
        <f>(Таблица1[[#This Row],[Размер кредита]]-21824)/(789096-21824)</f>
        <v>0.32030622777841494</v>
      </c>
      <c r="T1507" s="9">
        <f>(Таблица1[[#This Row],[Кредитный рейтинг]]-586)/(751-586)</f>
        <v>0.82424242424242422</v>
      </c>
      <c r="U1507" s="9">
        <f>Таблица1[[#This Row],[Ежемесячный платеж]]/(Таблица1[[#This Row],[Годовой доход]]/12)</f>
        <v>0.23099952327983472</v>
      </c>
    </row>
    <row r="1508" spans="1:21" x14ac:dyDescent="0.3">
      <c r="A1508">
        <v>1507</v>
      </c>
      <c r="B1508">
        <v>0</v>
      </c>
      <c r="C1508" s="9">
        <v>342144</v>
      </c>
      <c r="D1508">
        <v>696</v>
      </c>
      <c r="E1508" s="1">
        <v>671593</v>
      </c>
      <c r="F1508">
        <v>0</v>
      </c>
      <c r="G1508">
        <v>10577.49</v>
      </c>
      <c r="H1508">
        <v>8.4</v>
      </c>
      <c r="I1508">
        <v>4</v>
      </c>
      <c r="J1508">
        <v>186181</v>
      </c>
      <c r="K1508">
        <v>564344</v>
      </c>
      <c r="L1508" t="s">
        <v>32</v>
      </c>
      <c r="M1508" t="s">
        <v>1547</v>
      </c>
      <c r="N1508" t="s">
        <v>26</v>
      </c>
      <c r="O1508" t="s">
        <v>34</v>
      </c>
      <c r="P1508" t="s">
        <v>22</v>
      </c>
      <c r="Q1508" t="s">
        <v>23</v>
      </c>
      <c r="R1508" t="b">
        <f>OR(Таблица1[[#This Row],[Ежемесячный платеж]]&lt;$AC$5, Таблица1[[#This Row],[Ежемесячный платеж]]&gt;$AC$6)</f>
        <v>0</v>
      </c>
      <c r="S1508" s="9">
        <f>(Таблица1[[#This Row],[Размер кредита]]-21824)/(789096-21824)</f>
        <v>0.41747906870053908</v>
      </c>
      <c r="T1508" s="9">
        <f>(Таблица1[[#This Row],[Кредитный рейтинг]]-586)/(751-586)</f>
        <v>0.66666666666666663</v>
      </c>
      <c r="U1508" s="9">
        <f>Таблица1[[#This Row],[Ежемесячный платеж]]/(Таблица1[[#This Row],[Годовой доход]]/12)</f>
        <v>0.18899821767052366</v>
      </c>
    </row>
    <row r="1509" spans="1:21" x14ac:dyDescent="0.3">
      <c r="A1509">
        <v>1508</v>
      </c>
      <c r="B1509">
        <v>1</v>
      </c>
      <c r="C1509" s="9">
        <v>475332</v>
      </c>
      <c r="D1509">
        <v>667</v>
      </c>
      <c r="E1509" s="1">
        <v>988969</v>
      </c>
      <c r="F1509">
        <v>0</v>
      </c>
      <c r="G1509">
        <v>11702.86</v>
      </c>
      <c r="H1509">
        <v>15.3</v>
      </c>
      <c r="I1509">
        <v>12</v>
      </c>
      <c r="J1509">
        <v>206207</v>
      </c>
      <c r="K1509">
        <v>414546</v>
      </c>
      <c r="L1509" t="s">
        <v>24</v>
      </c>
      <c r="M1509" t="s">
        <v>1548</v>
      </c>
      <c r="N1509" t="s">
        <v>26</v>
      </c>
      <c r="O1509" t="s">
        <v>21</v>
      </c>
      <c r="P1509" t="s">
        <v>31</v>
      </c>
      <c r="Q1509" t="s">
        <v>36</v>
      </c>
      <c r="R1509" t="b">
        <f>OR(Таблица1[[#This Row],[Ежемесячный платеж]]&lt;$AC$5, Таблица1[[#This Row],[Ежемесячный платеж]]&gt;$AC$6)</f>
        <v>0</v>
      </c>
      <c r="S1509" s="9">
        <f>(Таблица1[[#This Row],[Размер кредита]]-21824)/(789096-21824)</f>
        <v>0.59106548916160107</v>
      </c>
      <c r="T1509" s="9">
        <f>(Таблица1[[#This Row],[Кредитный рейтинг]]-586)/(751-586)</f>
        <v>0.49090909090909091</v>
      </c>
      <c r="U1509" s="9">
        <f>Таблица1[[#This Row],[Ежемесячный платеж]]/(Таблица1[[#This Row],[Годовой доход]]/12)</f>
        <v>0.14200073005321706</v>
      </c>
    </row>
    <row r="1510" spans="1:21" x14ac:dyDescent="0.3">
      <c r="A1510">
        <v>1509</v>
      </c>
      <c r="B1510">
        <v>0</v>
      </c>
      <c r="C1510" s="9">
        <v>384648</v>
      </c>
      <c r="D1510">
        <v>745</v>
      </c>
      <c r="E1510" s="1">
        <v>1267110</v>
      </c>
      <c r="F1510">
        <v>0</v>
      </c>
      <c r="G1510">
        <v>26081.3</v>
      </c>
      <c r="H1510">
        <v>20.9</v>
      </c>
      <c r="I1510">
        <v>13</v>
      </c>
      <c r="J1510">
        <v>344831</v>
      </c>
      <c r="K1510">
        <v>413314</v>
      </c>
      <c r="L1510" t="s">
        <v>24</v>
      </c>
      <c r="M1510" t="s">
        <v>1549</v>
      </c>
      <c r="N1510" t="s">
        <v>26</v>
      </c>
      <c r="O1510" t="s">
        <v>34</v>
      </c>
      <c r="P1510" t="s">
        <v>22</v>
      </c>
      <c r="Q1510" t="s">
        <v>23</v>
      </c>
      <c r="R1510" t="b">
        <f>OR(Таблица1[[#This Row],[Ежемесячный платеж]]&lt;$AC$5, Таблица1[[#This Row],[Ежемесячный платеж]]&gt;$AC$6)</f>
        <v>0</v>
      </c>
      <c r="S1510" s="9">
        <f>(Таблица1[[#This Row],[Размер кредита]]-21824)/(789096-21824)</f>
        <v>0.47287532973964902</v>
      </c>
      <c r="T1510" s="9">
        <f>(Таблица1[[#This Row],[Кредитный рейтинг]]-586)/(751-586)</f>
        <v>0.96363636363636362</v>
      </c>
      <c r="U1510" s="9">
        <f>Таблица1[[#This Row],[Ежемесячный платеж]]/(Таблица1[[#This Row],[Годовой доход]]/12)</f>
        <v>0.24699955015744487</v>
      </c>
    </row>
    <row r="1511" spans="1:21" x14ac:dyDescent="0.3">
      <c r="A1511">
        <v>1510</v>
      </c>
      <c r="B1511">
        <v>0</v>
      </c>
      <c r="C1511" s="9">
        <v>206074</v>
      </c>
      <c r="D1511">
        <v>682</v>
      </c>
      <c r="E1511" s="1">
        <v>578930</v>
      </c>
      <c r="F1511">
        <v>65</v>
      </c>
      <c r="G1511">
        <v>11385.56</v>
      </c>
      <c r="H1511">
        <v>9.8000000000000007</v>
      </c>
      <c r="I1511">
        <v>6</v>
      </c>
      <c r="J1511">
        <v>85424</v>
      </c>
      <c r="K1511">
        <v>182842</v>
      </c>
      <c r="L1511" t="s">
        <v>63</v>
      </c>
      <c r="M1511" t="s">
        <v>1550</v>
      </c>
      <c r="N1511" t="s">
        <v>26</v>
      </c>
      <c r="O1511" t="s">
        <v>34</v>
      </c>
      <c r="P1511" t="s">
        <v>22</v>
      </c>
      <c r="Q1511" t="s">
        <v>23</v>
      </c>
      <c r="R1511" t="b">
        <f>OR(Таблица1[[#This Row],[Ежемесячный платеж]]&lt;$AC$5, Таблица1[[#This Row],[Ежемесячный платеж]]&gt;$AC$6)</f>
        <v>0</v>
      </c>
      <c r="S1511" s="9">
        <f>(Таблица1[[#This Row],[Размер кредита]]-21824)/(789096-21824)</f>
        <v>0.24013648354169057</v>
      </c>
      <c r="T1511" s="9">
        <f>(Таблица1[[#This Row],[Кредитный рейтинг]]-586)/(751-586)</f>
        <v>0.58181818181818179</v>
      </c>
      <c r="U1511" s="9">
        <f>Таблица1[[#This Row],[Ежемесячный платеж]]/(Таблица1[[#This Row],[Годовой доход]]/12)</f>
        <v>0.23599868723334427</v>
      </c>
    </row>
    <row r="1512" spans="1:21" x14ac:dyDescent="0.3">
      <c r="A1512">
        <v>1511</v>
      </c>
      <c r="B1512">
        <v>3</v>
      </c>
      <c r="C1512" s="9">
        <v>248952</v>
      </c>
      <c r="D1512">
        <v>713</v>
      </c>
      <c r="E1512" s="1">
        <v>1156150</v>
      </c>
      <c r="F1512">
        <v>67</v>
      </c>
      <c r="G1512">
        <v>31023.58</v>
      </c>
      <c r="H1512">
        <v>15.4</v>
      </c>
      <c r="I1512">
        <v>19</v>
      </c>
      <c r="J1512">
        <v>80408</v>
      </c>
      <c r="K1512">
        <v>151140</v>
      </c>
      <c r="L1512" t="s">
        <v>63</v>
      </c>
      <c r="M1512" t="s">
        <v>1551</v>
      </c>
      <c r="N1512" t="s">
        <v>26</v>
      </c>
      <c r="O1512" t="s">
        <v>34</v>
      </c>
      <c r="P1512" t="s">
        <v>31</v>
      </c>
      <c r="Q1512" t="s">
        <v>23</v>
      </c>
      <c r="R1512" t="b">
        <f>OR(Таблица1[[#This Row],[Ежемесячный платеж]]&lt;$AC$5, Таблица1[[#This Row],[Ежемесячный платеж]]&gt;$AC$6)</f>
        <v>0</v>
      </c>
      <c r="S1512" s="9">
        <f>(Таблица1[[#This Row],[Размер кредита]]-21824)/(789096-21824)</f>
        <v>0.29602018580112399</v>
      </c>
      <c r="T1512" s="9">
        <f>(Таблица1[[#This Row],[Кредитный рейтинг]]-586)/(751-586)</f>
        <v>0.76969696969696966</v>
      </c>
      <c r="U1512" s="9">
        <f>Таблица1[[#This Row],[Ежемесячный платеж]]/(Таблица1[[#This Row],[Годовой доход]]/12)</f>
        <v>0.32200230073952346</v>
      </c>
    </row>
    <row r="1513" spans="1:21" x14ac:dyDescent="0.3">
      <c r="A1513">
        <v>1512</v>
      </c>
      <c r="B1513">
        <v>0</v>
      </c>
      <c r="C1513" s="9">
        <v>540628</v>
      </c>
      <c r="D1513">
        <v>722</v>
      </c>
      <c r="E1513" s="1">
        <v>2898659</v>
      </c>
      <c r="F1513">
        <v>0</v>
      </c>
      <c r="G1513">
        <v>27778.95</v>
      </c>
      <c r="H1513">
        <v>25.2</v>
      </c>
      <c r="I1513">
        <v>7</v>
      </c>
      <c r="J1513">
        <v>603022</v>
      </c>
      <c r="K1513">
        <v>778404</v>
      </c>
      <c r="L1513" t="s">
        <v>24</v>
      </c>
      <c r="M1513" t="s">
        <v>1552</v>
      </c>
      <c r="N1513" t="s">
        <v>26</v>
      </c>
      <c r="O1513" t="s">
        <v>34</v>
      </c>
      <c r="P1513" t="s">
        <v>31</v>
      </c>
      <c r="Q1513" t="s">
        <v>36</v>
      </c>
      <c r="R1513" t="b">
        <f>OR(Таблица1[[#This Row],[Ежемесячный платеж]]&lt;$AC$5, Таблица1[[#This Row],[Ежемесячный платеж]]&gt;$AC$6)</f>
        <v>0</v>
      </c>
      <c r="S1513" s="9">
        <f>(Таблица1[[#This Row],[Размер кредита]]-21824)/(789096-21824)</f>
        <v>0.67616699162748017</v>
      </c>
      <c r="T1513" s="9">
        <f>(Таблица1[[#This Row],[Кредитный рейтинг]]-586)/(751-586)</f>
        <v>0.82424242424242422</v>
      </c>
      <c r="U1513" s="9">
        <f>Таблица1[[#This Row],[Ежемесячный платеж]]/(Таблица1[[#This Row],[Годовой доход]]/12)</f>
        <v>0.11500055715418751</v>
      </c>
    </row>
    <row r="1514" spans="1:21" x14ac:dyDescent="0.3">
      <c r="A1514">
        <v>1513</v>
      </c>
      <c r="B1514">
        <v>1</v>
      </c>
      <c r="C1514" s="9">
        <v>322652</v>
      </c>
      <c r="D1514">
        <v>733</v>
      </c>
      <c r="E1514" s="1">
        <v>724470</v>
      </c>
      <c r="F1514">
        <v>42</v>
      </c>
      <c r="G1514">
        <v>11048.31</v>
      </c>
      <c r="H1514">
        <v>14.8</v>
      </c>
      <c r="I1514">
        <v>10</v>
      </c>
      <c r="J1514">
        <v>120422</v>
      </c>
      <c r="K1514">
        <v>188958</v>
      </c>
      <c r="L1514" t="s">
        <v>69</v>
      </c>
      <c r="M1514" t="s">
        <v>1553</v>
      </c>
      <c r="N1514" t="s">
        <v>26</v>
      </c>
      <c r="O1514" t="s">
        <v>34</v>
      </c>
      <c r="P1514" t="s">
        <v>22</v>
      </c>
      <c r="Q1514" t="s">
        <v>23</v>
      </c>
      <c r="R1514" t="b">
        <f>OR(Таблица1[[#This Row],[Ежемесячный платеж]]&lt;$AC$5, Таблица1[[#This Row],[Ежемесячный платеж]]&gt;$AC$6)</f>
        <v>0</v>
      </c>
      <c r="S1514" s="9">
        <f>(Таблица1[[#This Row],[Размер кредита]]-21824)/(789096-21824)</f>
        <v>0.39207477921780021</v>
      </c>
      <c r="T1514" s="9">
        <f>(Таблица1[[#This Row],[Кредитный рейтинг]]-586)/(751-586)</f>
        <v>0.89090909090909087</v>
      </c>
      <c r="U1514" s="9">
        <f>Таблица1[[#This Row],[Ежемесячный платеж]]/(Таблица1[[#This Row],[Годовой доход]]/12)</f>
        <v>0.18300236034618411</v>
      </c>
    </row>
    <row r="1515" spans="1:21" x14ac:dyDescent="0.3">
      <c r="A1515">
        <v>1514</v>
      </c>
      <c r="B1515">
        <v>0</v>
      </c>
      <c r="C1515" s="9">
        <v>193996</v>
      </c>
      <c r="D1515">
        <v>735</v>
      </c>
      <c r="E1515" s="1">
        <v>2233944</v>
      </c>
      <c r="F1515">
        <v>16</v>
      </c>
      <c r="G1515">
        <v>8246.9500000000007</v>
      </c>
      <c r="H1515">
        <v>16.5</v>
      </c>
      <c r="I1515">
        <v>14</v>
      </c>
      <c r="J1515">
        <v>285171</v>
      </c>
      <c r="K1515">
        <v>530860</v>
      </c>
      <c r="L1515" t="s">
        <v>24</v>
      </c>
      <c r="M1515" t="s">
        <v>1554</v>
      </c>
      <c r="N1515" t="s">
        <v>26</v>
      </c>
      <c r="O1515" t="s">
        <v>34</v>
      </c>
      <c r="P1515" t="s">
        <v>22</v>
      </c>
      <c r="Q1515" t="s">
        <v>36</v>
      </c>
      <c r="R1515" t="b">
        <f>OR(Таблица1[[#This Row],[Ежемесячный платеж]]&lt;$AC$5, Таблица1[[#This Row],[Ежемесячный платеж]]&gt;$AC$6)</f>
        <v>0</v>
      </c>
      <c r="S1515" s="9">
        <f>(Таблица1[[#This Row],[Размер кредита]]-21824)/(789096-21824)</f>
        <v>0.22439499942653973</v>
      </c>
      <c r="T1515" s="9">
        <f>(Таблица1[[#This Row],[Кредитный рейтинг]]-586)/(751-586)</f>
        <v>0.90303030303030307</v>
      </c>
      <c r="U1515" s="9">
        <f>Таблица1[[#This Row],[Ежемесячный платеж]]/(Таблица1[[#This Row],[Годовой доход]]/12)</f>
        <v>4.4299857113696675E-2</v>
      </c>
    </row>
    <row r="1516" spans="1:21" x14ac:dyDescent="0.3">
      <c r="A1516">
        <v>1515</v>
      </c>
      <c r="B1516">
        <v>0</v>
      </c>
      <c r="C1516" s="9">
        <v>87648</v>
      </c>
      <c r="D1516">
        <v>746</v>
      </c>
      <c r="E1516" s="1">
        <v>305102</v>
      </c>
      <c r="F1516">
        <v>0</v>
      </c>
      <c r="G1516">
        <v>5313.73</v>
      </c>
      <c r="H1516">
        <v>11.4</v>
      </c>
      <c r="I1516">
        <v>3</v>
      </c>
      <c r="J1516">
        <v>120498</v>
      </c>
      <c r="K1516">
        <v>356840</v>
      </c>
      <c r="L1516" t="s">
        <v>69</v>
      </c>
      <c r="M1516" t="s">
        <v>1555</v>
      </c>
      <c r="N1516" t="s">
        <v>26</v>
      </c>
      <c r="O1516" t="s">
        <v>34</v>
      </c>
      <c r="P1516" t="s">
        <v>22</v>
      </c>
      <c r="Q1516" t="s">
        <v>23</v>
      </c>
      <c r="R1516" t="b">
        <f>OR(Таблица1[[#This Row],[Ежемесячный платеж]]&lt;$AC$5, Таблица1[[#This Row],[Ежемесячный платеж]]&gt;$AC$6)</f>
        <v>0</v>
      </c>
      <c r="S1516" s="9">
        <f>(Таблица1[[#This Row],[Размер кредита]]-21824)/(789096-21824)</f>
        <v>8.5789654776923963E-2</v>
      </c>
      <c r="T1516" s="9">
        <f>(Таблица1[[#This Row],[Кредитный рейтинг]]-586)/(751-586)</f>
        <v>0.96969696969696972</v>
      </c>
      <c r="U1516" s="9">
        <f>Таблица1[[#This Row],[Ежемесячный платеж]]/(Таблица1[[#This Row],[Годовой доход]]/12)</f>
        <v>0.20899489351102252</v>
      </c>
    </row>
    <row r="1517" spans="1:21" x14ac:dyDescent="0.3">
      <c r="A1517">
        <v>1516</v>
      </c>
      <c r="B1517">
        <v>0</v>
      </c>
      <c r="C1517" s="9">
        <v>781088</v>
      </c>
      <c r="D1517">
        <v>731</v>
      </c>
      <c r="E1517" s="1">
        <v>1541888</v>
      </c>
      <c r="F1517">
        <v>0</v>
      </c>
      <c r="G1517">
        <v>22999.69</v>
      </c>
      <c r="H1517">
        <v>20.100000000000001</v>
      </c>
      <c r="I1517">
        <v>15</v>
      </c>
      <c r="J1517">
        <v>477983</v>
      </c>
      <c r="K1517">
        <v>769758</v>
      </c>
      <c r="L1517" t="s">
        <v>24</v>
      </c>
      <c r="M1517" t="s">
        <v>1556</v>
      </c>
      <c r="N1517" t="s">
        <v>26</v>
      </c>
      <c r="O1517" t="s">
        <v>21</v>
      </c>
      <c r="P1517" t="s">
        <v>22</v>
      </c>
      <c r="Q1517" t="s">
        <v>36</v>
      </c>
      <c r="R1517" t="b">
        <f>OR(Таблица1[[#This Row],[Ежемесячный платеж]]&lt;$AC$5, Таблица1[[#This Row],[Ежемесячный платеж]]&gt;$AC$6)</f>
        <v>0</v>
      </c>
      <c r="S1517" s="9">
        <f>(Таблица1[[#This Row],[Размер кредита]]-21824)/(789096-21824)</f>
        <v>0.98956302328248658</v>
      </c>
      <c r="T1517" s="9">
        <f>(Таблица1[[#This Row],[Кредитный рейтинг]]-586)/(751-586)</f>
        <v>0.87878787878787878</v>
      </c>
      <c r="U1517" s="9">
        <f>Таблица1[[#This Row],[Ежемесячный платеж]]/(Таблица1[[#This Row],[Годовой доход]]/12)</f>
        <v>0.17899891561514195</v>
      </c>
    </row>
    <row r="1518" spans="1:21" x14ac:dyDescent="0.3">
      <c r="A1518">
        <v>1517</v>
      </c>
      <c r="B1518">
        <v>0</v>
      </c>
      <c r="C1518" s="9">
        <v>621918</v>
      </c>
      <c r="D1518">
        <v>715</v>
      </c>
      <c r="E1518" s="1">
        <v>2148425</v>
      </c>
      <c r="F1518">
        <v>19</v>
      </c>
      <c r="G1518">
        <v>20947.12</v>
      </c>
      <c r="H1518">
        <v>20.5</v>
      </c>
      <c r="I1518">
        <v>9</v>
      </c>
      <c r="J1518">
        <v>585884</v>
      </c>
      <c r="K1518">
        <v>784278</v>
      </c>
      <c r="L1518" t="s">
        <v>24</v>
      </c>
      <c r="M1518" t="s">
        <v>1557</v>
      </c>
      <c r="N1518" t="s">
        <v>26</v>
      </c>
      <c r="O1518" t="s">
        <v>21</v>
      </c>
      <c r="P1518" t="s">
        <v>31</v>
      </c>
      <c r="Q1518" t="s">
        <v>36</v>
      </c>
      <c r="R1518" t="b">
        <f>OR(Таблица1[[#This Row],[Ежемесячный платеж]]&lt;$AC$5, Таблица1[[#This Row],[Ежемесячный платеж]]&gt;$AC$6)</f>
        <v>0</v>
      </c>
      <c r="S1518" s="9">
        <f>(Таблица1[[#This Row],[Размер кредита]]-21824)/(789096-21824)</f>
        <v>0.78211377451542607</v>
      </c>
      <c r="T1518" s="9">
        <f>(Таблица1[[#This Row],[Кредитный рейтинг]]-586)/(751-586)</f>
        <v>0.78181818181818186</v>
      </c>
      <c r="U1518" s="9">
        <f>Таблица1[[#This Row],[Ежемесячный платеж]]/(Таблица1[[#This Row],[Годовой доход]]/12)</f>
        <v>0.11699986734468273</v>
      </c>
    </row>
    <row r="1519" spans="1:21" x14ac:dyDescent="0.3">
      <c r="A1519">
        <v>1518</v>
      </c>
      <c r="B1519">
        <v>0</v>
      </c>
      <c r="C1519" s="9">
        <v>431948</v>
      </c>
      <c r="D1519">
        <f>$Y$13</f>
        <v>723</v>
      </c>
      <c r="E1519">
        <f>$AB$13</f>
        <v>1168044</v>
      </c>
      <c r="F1519">
        <v>8</v>
      </c>
      <c r="G1519">
        <v>25109.26</v>
      </c>
      <c r="H1519">
        <v>16.899999999999999</v>
      </c>
      <c r="I1519">
        <v>15</v>
      </c>
      <c r="J1519">
        <v>554230</v>
      </c>
      <c r="K1519">
        <v>1356740</v>
      </c>
      <c r="L1519" t="s">
        <v>24</v>
      </c>
      <c r="M1519" t="s">
        <v>1558</v>
      </c>
      <c r="N1519" t="s">
        <v>26</v>
      </c>
      <c r="O1519" t="s">
        <v>34</v>
      </c>
      <c r="P1519" t="s">
        <v>22</v>
      </c>
      <c r="Q1519" t="s">
        <v>36</v>
      </c>
      <c r="R1519" t="b">
        <f>OR(Таблица1[[#This Row],[Ежемесячный платеж]]&lt;$AC$5, Таблица1[[#This Row],[Ежемесячный платеж]]&gt;$AC$6)</f>
        <v>0</v>
      </c>
      <c r="S1519" s="9">
        <f>(Таблица1[[#This Row],[Размер кредита]]-21824)/(789096-21824)</f>
        <v>0.53452230760408304</v>
      </c>
      <c r="T1519" s="9">
        <f>(Таблица1[[#This Row],[Кредитный рейтинг]]-586)/(751-586)</f>
        <v>0.83030303030303032</v>
      </c>
      <c r="U1519" s="9">
        <f>Таблица1[[#This Row],[Ежемесячный платеж]]/(Таблица1[[#This Row],[Годовой доход]]/12)</f>
        <v>0.25796213156353698</v>
      </c>
    </row>
    <row r="1520" spans="1:21" x14ac:dyDescent="0.3">
      <c r="A1520">
        <v>1519</v>
      </c>
      <c r="B1520">
        <v>0</v>
      </c>
      <c r="C1520" s="9">
        <v>448734</v>
      </c>
      <c r="D1520">
        <f>$Y$13</f>
        <v>723</v>
      </c>
      <c r="E1520">
        <f>$AB$13</f>
        <v>1168044</v>
      </c>
      <c r="F1520">
        <v>7</v>
      </c>
      <c r="G1520">
        <v>16742.419999999998</v>
      </c>
      <c r="H1520">
        <v>18.399999999999999</v>
      </c>
      <c r="I1520">
        <v>21</v>
      </c>
      <c r="J1520">
        <v>495672</v>
      </c>
      <c r="K1520">
        <v>2539526</v>
      </c>
      <c r="L1520" t="s">
        <v>24</v>
      </c>
      <c r="M1520" t="s">
        <v>1559</v>
      </c>
      <c r="N1520" t="s">
        <v>26</v>
      </c>
      <c r="O1520" t="s">
        <v>21</v>
      </c>
      <c r="P1520" t="s">
        <v>22</v>
      </c>
      <c r="Q1520" t="s">
        <v>23</v>
      </c>
      <c r="R1520" t="b">
        <f>OR(Таблица1[[#This Row],[Ежемесячный платеж]]&lt;$AC$5, Таблица1[[#This Row],[Ежемесячный платеж]]&gt;$AC$6)</f>
        <v>0</v>
      </c>
      <c r="S1520" s="9">
        <f>(Таблица1[[#This Row],[Размер кредита]]-21824)/(789096-21824)</f>
        <v>0.55639981649271708</v>
      </c>
      <c r="T1520" s="9">
        <f>(Таблица1[[#This Row],[Кредитный рейтинг]]-586)/(751-586)</f>
        <v>0.83030303030303032</v>
      </c>
      <c r="U1520" s="9">
        <f>Таблица1[[#This Row],[Ежемесячный платеж]]/(Таблица1[[#This Row],[Годовой доход]]/12)</f>
        <v>0.17200468475502634</v>
      </c>
    </row>
    <row r="1521" spans="1:21" x14ac:dyDescent="0.3">
      <c r="A1521">
        <v>1520</v>
      </c>
      <c r="B1521">
        <v>0</v>
      </c>
      <c r="C1521" s="9">
        <v>319374</v>
      </c>
      <c r="D1521">
        <f>$Y$13</f>
        <v>723</v>
      </c>
      <c r="E1521">
        <f>$AB$13</f>
        <v>1168044</v>
      </c>
      <c r="F1521">
        <v>21</v>
      </c>
      <c r="G1521">
        <v>12721.64</v>
      </c>
      <c r="H1521">
        <v>18.600000000000001</v>
      </c>
      <c r="I1521">
        <v>4</v>
      </c>
      <c r="J1521">
        <v>58558</v>
      </c>
      <c r="K1521">
        <v>200024</v>
      </c>
      <c r="L1521" t="s">
        <v>24</v>
      </c>
      <c r="M1521" t="s">
        <v>1560</v>
      </c>
      <c r="N1521" t="s">
        <v>26</v>
      </c>
      <c r="O1521" t="s">
        <v>21</v>
      </c>
      <c r="P1521" t="s">
        <v>31</v>
      </c>
      <c r="Q1521" t="s">
        <v>36</v>
      </c>
      <c r="R1521" t="b">
        <f>OR(Таблица1[[#This Row],[Ежемесячный платеж]]&lt;$AC$5, Таблица1[[#This Row],[Ежемесячный платеж]]&gt;$AC$6)</f>
        <v>0</v>
      </c>
      <c r="S1521" s="9">
        <f>(Таблица1[[#This Row],[Размер кредита]]-21824)/(789096-21824)</f>
        <v>0.38780250028673013</v>
      </c>
      <c r="T1521" s="9">
        <f>(Таблица1[[#This Row],[Кредитный рейтинг]]-586)/(751-586)</f>
        <v>0.83030303030303032</v>
      </c>
      <c r="U1521" s="9">
        <f>Таблица1[[#This Row],[Ежемесячный платеж]]/(Таблица1[[#This Row],[Годовой доход]]/12)</f>
        <v>0.13069685731016981</v>
      </c>
    </row>
    <row r="1522" spans="1:21" x14ac:dyDescent="0.3">
      <c r="A1522">
        <v>1521</v>
      </c>
      <c r="B1522">
        <v>0</v>
      </c>
      <c r="D1522">
        <v>751</v>
      </c>
      <c r="E1522" s="1">
        <v>700758</v>
      </c>
      <c r="F1522">
        <v>0</v>
      </c>
      <c r="G1522">
        <v>14482.37</v>
      </c>
      <c r="H1522">
        <v>25</v>
      </c>
      <c r="I1522">
        <v>13</v>
      </c>
      <c r="J1522">
        <v>259730</v>
      </c>
      <c r="K1522">
        <v>1432090</v>
      </c>
      <c r="L1522" t="s">
        <v>29</v>
      </c>
      <c r="M1522" t="s">
        <v>1561</v>
      </c>
      <c r="N1522" t="s">
        <v>26</v>
      </c>
      <c r="O1522" t="s">
        <v>34</v>
      </c>
      <c r="P1522" t="s">
        <v>22</v>
      </c>
      <c r="Q1522" t="s">
        <v>23</v>
      </c>
      <c r="R1522" t="b">
        <f>OR(Таблица1[[#This Row],[Ежемесячный платеж]]&lt;$AC$5, Таблица1[[#This Row],[Ежемесячный платеж]]&gt;$AC$6)</f>
        <v>0</v>
      </c>
      <c r="T1522" s="9">
        <f>(Таблица1[[#This Row],[Кредитный рейтинг]]-586)/(751-586)</f>
        <v>1</v>
      </c>
      <c r="U1522" s="9">
        <f>Таблица1[[#This Row],[Ежемесячный платеж]]/(Таблица1[[#This Row],[Годовой доход]]/12)</f>
        <v>0.24800065072393038</v>
      </c>
    </row>
    <row r="1523" spans="1:21" x14ac:dyDescent="0.3">
      <c r="A1523">
        <v>1522</v>
      </c>
      <c r="B1523">
        <v>1</v>
      </c>
      <c r="C1523" s="9">
        <v>133914</v>
      </c>
      <c r="D1523">
        <v>699</v>
      </c>
      <c r="E1523" s="1">
        <v>1831182</v>
      </c>
      <c r="F1523">
        <v>61</v>
      </c>
      <c r="G1523">
        <v>17243.45</v>
      </c>
      <c r="H1523">
        <v>16.5</v>
      </c>
      <c r="I1523">
        <v>9</v>
      </c>
      <c r="J1523">
        <v>33364</v>
      </c>
      <c r="K1523">
        <v>58014</v>
      </c>
      <c r="L1523" t="s">
        <v>41</v>
      </c>
      <c r="M1523" t="s">
        <v>1562</v>
      </c>
      <c r="N1523" t="s">
        <v>68</v>
      </c>
      <c r="O1523" t="s">
        <v>21</v>
      </c>
      <c r="P1523" t="s">
        <v>22</v>
      </c>
      <c r="Q1523" t="s">
        <v>23</v>
      </c>
      <c r="R1523" t="b">
        <f>OR(Таблица1[[#This Row],[Ежемесячный платеж]]&lt;$AC$5, Таблица1[[#This Row],[Ежемесячный платеж]]&gt;$AC$6)</f>
        <v>0</v>
      </c>
      <c r="S1523" s="9">
        <f>(Таблица1[[#This Row],[Размер кредита]]-21824)/(789096-21824)</f>
        <v>0.14608900103222847</v>
      </c>
      <c r="T1523" s="9">
        <f>(Таблица1[[#This Row],[Кредитный рейтинг]]-586)/(751-586)</f>
        <v>0.68484848484848482</v>
      </c>
      <c r="U1523" s="9">
        <f>Таблица1[[#This Row],[Ежемесячный платеж]]/(Таблица1[[#This Row],[Годовой доход]]/12)</f>
        <v>0.11299881715744257</v>
      </c>
    </row>
    <row r="1524" spans="1:21" x14ac:dyDescent="0.3">
      <c r="A1524">
        <v>1523</v>
      </c>
      <c r="B1524">
        <v>0</v>
      </c>
      <c r="C1524" s="9">
        <v>286968</v>
      </c>
      <c r="D1524">
        <v>719</v>
      </c>
      <c r="E1524" s="1">
        <v>1408185</v>
      </c>
      <c r="F1524">
        <v>6</v>
      </c>
      <c r="G1524">
        <v>20066.66</v>
      </c>
      <c r="H1524">
        <v>17.899999999999999</v>
      </c>
      <c r="I1524">
        <v>17</v>
      </c>
      <c r="J1524">
        <v>457900</v>
      </c>
      <c r="K1524">
        <v>1109218</v>
      </c>
      <c r="L1524" t="s">
        <v>24</v>
      </c>
      <c r="M1524" t="s">
        <v>1563</v>
      </c>
      <c r="N1524" t="s">
        <v>26</v>
      </c>
      <c r="O1524" t="s">
        <v>21</v>
      </c>
      <c r="P1524" t="s">
        <v>22</v>
      </c>
      <c r="Q1524" t="s">
        <v>23</v>
      </c>
      <c r="R1524" t="b">
        <f>OR(Таблица1[[#This Row],[Ежемесячный платеж]]&lt;$AC$5, Таблица1[[#This Row],[Ежемесячный платеж]]&gt;$AC$6)</f>
        <v>0</v>
      </c>
      <c r="S1524" s="9">
        <f>(Таблица1[[#This Row],[Размер кредита]]-21824)/(789096-21824)</f>
        <v>0.34556715219635281</v>
      </c>
      <c r="T1524" s="9">
        <f>(Таблица1[[#This Row],[Кредитный рейтинг]]-586)/(751-586)</f>
        <v>0.80606060606060603</v>
      </c>
      <c r="U1524" s="9">
        <f>Таблица1[[#This Row],[Ежемесячный платеж]]/(Таблица1[[#This Row],[Годовой доход]]/12)</f>
        <v>0.17100020238818053</v>
      </c>
    </row>
    <row r="1525" spans="1:21" x14ac:dyDescent="0.3">
      <c r="A1525">
        <v>1524</v>
      </c>
      <c r="B1525">
        <v>0</v>
      </c>
      <c r="C1525" s="9">
        <v>568392</v>
      </c>
      <c r="D1525">
        <v>712</v>
      </c>
      <c r="E1525" s="1">
        <v>1906916</v>
      </c>
      <c r="F1525">
        <v>0</v>
      </c>
      <c r="G1525">
        <v>34006.58</v>
      </c>
      <c r="H1525">
        <v>18.100000000000001</v>
      </c>
      <c r="I1525">
        <v>19</v>
      </c>
      <c r="J1525">
        <v>474430</v>
      </c>
      <c r="K1525">
        <v>682396</v>
      </c>
      <c r="L1525" t="s">
        <v>69</v>
      </c>
      <c r="M1525" t="s">
        <v>1564</v>
      </c>
      <c r="N1525" t="s">
        <v>26</v>
      </c>
      <c r="O1525" t="s">
        <v>21</v>
      </c>
      <c r="P1525" t="s">
        <v>31</v>
      </c>
      <c r="Q1525" t="s">
        <v>23</v>
      </c>
      <c r="R1525" t="b">
        <f>OR(Таблица1[[#This Row],[Ежемесячный платеж]]&lt;$AC$5, Таблица1[[#This Row],[Ежемесячный платеж]]&gt;$AC$6)</f>
        <v>0</v>
      </c>
      <c r="S1525" s="9">
        <f>(Таблица1[[#This Row],[Размер кредита]]-21824)/(789096-21824)</f>
        <v>0.71235233398325493</v>
      </c>
      <c r="T1525" s="9">
        <f>(Таблица1[[#This Row],[Кредитный рейтинг]]-586)/(751-586)</f>
        <v>0.76363636363636367</v>
      </c>
      <c r="U1525" s="9">
        <f>Таблица1[[#This Row],[Ежемесячный платеж]]/(Таблица1[[#This Row],[Годовой доход]]/12)</f>
        <v>0.21399944203100715</v>
      </c>
    </row>
    <row r="1526" spans="1:21" x14ac:dyDescent="0.3">
      <c r="A1526">
        <v>1525</v>
      </c>
      <c r="B1526">
        <v>0</v>
      </c>
      <c r="C1526" s="9">
        <v>756602</v>
      </c>
      <c r="D1526">
        <f>$Y$13</f>
        <v>723</v>
      </c>
      <c r="E1526">
        <f>$AB$13</f>
        <v>1168044</v>
      </c>
      <c r="F1526">
        <v>0</v>
      </c>
      <c r="G1526">
        <v>48618.34</v>
      </c>
      <c r="H1526">
        <v>30.2</v>
      </c>
      <c r="I1526">
        <v>13</v>
      </c>
      <c r="J1526">
        <v>1265723</v>
      </c>
      <c r="K1526">
        <v>1787280</v>
      </c>
      <c r="L1526" t="s">
        <v>18</v>
      </c>
      <c r="M1526" t="s">
        <v>1565</v>
      </c>
      <c r="N1526" t="s">
        <v>26</v>
      </c>
      <c r="O1526" t="s">
        <v>21</v>
      </c>
      <c r="P1526" t="s">
        <v>22</v>
      </c>
      <c r="Q1526" t="s">
        <v>36</v>
      </c>
      <c r="R1526" t="b">
        <f>OR(Таблица1[[#This Row],[Ежемесячный платеж]]&lt;$AC$5, Таблица1[[#This Row],[Ежемесячный платеж]]&gt;$AC$6)</f>
        <v>1</v>
      </c>
      <c r="S1526" s="9">
        <f>(Таблица1[[#This Row],[Размер кредита]]-21824)/(789096-21824)</f>
        <v>0.9576499598577819</v>
      </c>
      <c r="T1526" s="9">
        <f>(Таблица1[[#This Row],[Кредитный рейтинг]]-586)/(751-586)</f>
        <v>0.83030303030303032</v>
      </c>
      <c r="U1526" s="9">
        <f>Таблица1[[#This Row],[Ежемесячный платеж]]/(Таблица1[[#This Row],[Годовой доход]]/12)</f>
        <v>0.49948467694710125</v>
      </c>
    </row>
    <row r="1527" spans="1:21" x14ac:dyDescent="0.3">
      <c r="A1527">
        <v>1526</v>
      </c>
      <c r="B1527">
        <v>0</v>
      </c>
      <c r="C1527" s="9">
        <v>431948</v>
      </c>
      <c r="D1527">
        <v>671</v>
      </c>
      <c r="E1527" s="1">
        <v>932615</v>
      </c>
      <c r="F1527">
        <v>0</v>
      </c>
      <c r="G1527">
        <v>10258.67</v>
      </c>
      <c r="H1527">
        <v>16.2</v>
      </c>
      <c r="I1527">
        <v>12</v>
      </c>
      <c r="J1527">
        <v>120194</v>
      </c>
      <c r="K1527">
        <v>529166</v>
      </c>
      <c r="L1527" t="s">
        <v>29</v>
      </c>
      <c r="M1527" s="2" t="s">
        <v>1566</v>
      </c>
      <c r="N1527" t="s">
        <v>71</v>
      </c>
      <c r="O1527" t="s">
        <v>21</v>
      </c>
      <c r="P1527" t="s">
        <v>22</v>
      </c>
      <c r="Q1527" t="s">
        <v>36</v>
      </c>
      <c r="R1527" t="b">
        <f>OR(Таблица1[[#This Row],[Ежемесячный платеж]]&lt;$AC$5, Таблица1[[#This Row],[Ежемесячный платеж]]&gt;$AC$6)</f>
        <v>0</v>
      </c>
      <c r="S1527" s="9">
        <f>(Таблица1[[#This Row],[Размер кредита]]-21824)/(789096-21824)</f>
        <v>0.53452230760408304</v>
      </c>
      <c r="T1527" s="9">
        <f>(Таблица1[[#This Row],[Кредитный рейтинг]]-586)/(751-586)</f>
        <v>0.51515151515151514</v>
      </c>
      <c r="U1527" s="9">
        <f>Таблица1[[#This Row],[Ежемесячный платеж]]/(Таблица1[[#This Row],[Годовой доход]]/12)</f>
        <v>0.13199877763064072</v>
      </c>
    </row>
    <row r="1528" spans="1:21" x14ac:dyDescent="0.3">
      <c r="A1528">
        <v>1527</v>
      </c>
      <c r="B1528">
        <v>0</v>
      </c>
      <c r="C1528" s="9">
        <v>479490</v>
      </c>
      <c r="D1528">
        <v>747</v>
      </c>
      <c r="E1528" s="1">
        <v>1223524</v>
      </c>
      <c r="F1528">
        <v>78</v>
      </c>
      <c r="G1528">
        <v>28344.77</v>
      </c>
      <c r="H1528">
        <v>25.9</v>
      </c>
      <c r="I1528">
        <v>9</v>
      </c>
      <c r="J1528">
        <v>277134</v>
      </c>
      <c r="K1528">
        <v>438372</v>
      </c>
      <c r="L1528" t="s">
        <v>52</v>
      </c>
      <c r="M1528" s="2" t="s">
        <v>1567</v>
      </c>
      <c r="N1528" t="s">
        <v>26</v>
      </c>
      <c r="O1528" t="s">
        <v>21</v>
      </c>
      <c r="P1528" t="s">
        <v>22</v>
      </c>
      <c r="Q1528" t="s">
        <v>23</v>
      </c>
      <c r="R1528" t="b">
        <f>OR(Таблица1[[#This Row],[Ежемесячный платеж]]&lt;$AC$5, Таблица1[[#This Row],[Ежемесячный платеж]]&gt;$AC$6)</f>
        <v>0</v>
      </c>
      <c r="S1528" s="9">
        <f>(Таблица1[[#This Row],[Размер кредита]]-21824)/(789096-21824)</f>
        <v>0.59648468861107928</v>
      </c>
      <c r="T1528" s="9">
        <f>(Таблица1[[#This Row],[Кредитный рейтинг]]-586)/(751-586)</f>
        <v>0.97575757575757571</v>
      </c>
      <c r="U1528" s="9">
        <f>Таблица1[[#This Row],[Ежемесячный платеж]]/(Таблица1[[#This Row],[Годовой доход]]/12)</f>
        <v>0.27799801229890059</v>
      </c>
    </row>
    <row r="1529" spans="1:21" x14ac:dyDescent="0.3">
      <c r="A1529">
        <v>1528</v>
      </c>
      <c r="B1529">
        <v>0</v>
      </c>
      <c r="D1529">
        <v>713</v>
      </c>
      <c r="E1529" s="1">
        <v>2597870</v>
      </c>
      <c r="F1529">
        <v>0</v>
      </c>
      <c r="G1529">
        <v>19462.46</v>
      </c>
      <c r="H1529">
        <v>13.3</v>
      </c>
      <c r="I1529">
        <v>7</v>
      </c>
      <c r="J1529">
        <v>286729</v>
      </c>
      <c r="K1529">
        <v>529518</v>
      </c>
      <c r="L1529" t="s">
        <v>29</v>
      </c>
      <c r="M1529" t="s">
        <v>1568</v>
      </c>
      <c r="N1529" t="s">
        <v>26</v>
      </c>
      <c r="O1529" t="s">
        <v>34</v>
      </c>
      <c r="P1529" t="s">
        <v>31</v>
      </c>
      <c r="Q1529" t="s">
        <v>23</v>
      </c>
      <c r="R1529" t="b">
        <f>OR(Таблица1[[#This Row],[Ежемесячный платеж]]&lt;$AC$5, Таблица1[[#This Row],[Ежемесячный платеж]]&gt;$AC$6)</f>
        <v>0</v>
      </c>
      <c r="T1529" s="9">
        <f>(Таблица1[[#This Row],[Кредитный рейтинг]]-586)/(751-586)</f>
        <v>0.76969696969696966</v>
      </c>
      <c r="U1529" s="9">
        <f>Таблица1[[#This Row],[Ежемесячный платеж]]/(Таблица1[[#This Row],[Годовой доход]]/12)</f>
        <v>8.9900387625246839E-2</v>
      </c>
    </row>
    <row r="1530" spans="1:21" x14ac:dyDescent="0.3">
      <c r="A1530">
        <v>1529</v>
      </c>
      <c r="B1530">
        <v>0</v>
      </c>
      <c r="D1530">
        <v>706</v>
      </c>
      <c r="E1530" s="1">
        <v>983744</v>
      </c>
      <c r="F1530">
        <v>0</v>
      </c>
      <c r="G1530">
        <v>14977.51</v>
      </c>
      <c r="H1530">
        <v>17.8</v>
      </c>
      <c r="I1530">
        <v>7</v>
      </c>
      <c r="J1530">
        <v>423852</v>
      </c>
      <c r="K1530">
        <v>683518</v>
      </c>
      <c r="L1530" t="s">
        <v>37</v>
      </c>
      <c r="M1530" t="s">
        <v>1569</v>
      </c>
      <c r="N1530" t="s">
        <v>26</v>
      </c>
      <c r="O1530" t="s">
        <v>34</v>
      </c>
      <c r="P1530" t="s">
        <v>22</v>
      </c>
      <c r="Q1530" t="s">
        <v>23</v>
      </c>
      <c r="R1530" t="b">
        <f>OR(Таблица1[[#This Row],[Ежемесячный платеж]]&lt;$AC$5, Таблица1[[#This Row],[Ежемесячный платеж]]&gt;$AC$6)</f>
        <v>0</v>
      </c>
      <c r="T1530" s="9">
        <f>(Таблица1[[#This Row],[Кредитный рейтинг]]-586)/(751-586)</f>
        <v>0.72727272727272729</v>
      </c>
      <c r="U1530" s="9">
        <f>Таблица1[[#This Row],[Ежемесячный платеж]]/(Таблица1[[#This Row],[Годовой доход]]/12)</f>
        <v>0.18270009270704574</v>
      </c>
    </row>
    <row r="1531" spans="1:21" x14ac:dyDescent="0.3">
      <c r="A1531">
        <v>1530</v>
      </c>
      <c r="B1531">
        <v>0</v>
      </c>
      <c r="C1531" s="9">
        <v>117876</v>
      </c>
      <c r="D1531">
        <f>$Y$13</f>
        <v>723</v>
      </c>
      <c r="E1531">
        <f>$AB$13</f>
        <v>1168044</v>
      </c>
      <c r="F1531">
        <v>37</v>
      </c>
      <c r="G1531">
        <v>11014.3</v>
      </c>
      <c r="H1531">
        <v>5</v>
      </c>
      <c r="I1531">
        <v>5</v>
      </c>
      <c r="J1531">
        <v>63935</v>
      </c>
      <c r="K1531">
        <v>157872</v>
      </c>
      <c r="L1531" t="s">
        <v>63</v>
      </c>
      <c r="M1531" t="s">
        <v>1570</v>
      </c>
      <c r="N1531" t="s">
        <v>26</v>
      </c>
      <c r="O1531" t="s">
        <v>34</v>
      </c>
      <c r="P1531" t="s">
        <v>22</v>
      </c>
      <c r="Q1531" t="s">
        <v>36</v>
      </c>
      <c r="R1531" t="b">
        <f>OR(Таблица1[[#This Row],[Ежемесячный платеж]]&lt;$AC$5, Таблица1[[#This Row],[Ежемесячный платеж]]&gt;$AC$6)</f>
        <v>0</v>
      </c>
      <c r="S1531" s="9">
        <f>(Таблица1[[#This Row],[Размер кредита]]-21824)/(789096-21824)</f>
        <v>0.12518637458424131</v>
      </c>
      <c r="T1531" s="9">
        <f>(Таблица1[[#This Row],[Кредитный рейтинг]]-586)/(751-586)</f>
        <v>0.83030303030303032</v>
      </c>
      <c r="U1531" s="9">
        <f>Таблица1[[#This Row],[Ежемесячный платеж]]/(Таблица1[[#This Row],[Годовой доход]]/12)</f>
        <v>0.11315635369900448</v>
      </c>
    </row>
    <row r="1532" spans="1:21" x14ac:dyDescent="0.3">
      <c r="A1532">
        <v>1531</v>
      </c>
      <c r="B1532">
        <v>0</v>
      </c>
      <c r="C1532" s="9">
        <v>352418</v>
      </c>
      <c r="D1532">
        <v>745</v>
      </c>
      <c r="E1532" s="1">
        <v>1512305</v>
      </c>
      <c r="F1532">
        <v>0</v>
      </c>
      <c r="G1532">
        <v>8204.39</v>
      </c>
      <c r="H1532">
        <v>25.9</v>
      </c>
      <c r="I1532">
        <v>9</v>
      </c>
      <c r="J1532">
        <v>283708</v>
      </c>
      <c r="K1532">
        <v>585574</v>
      </c>
      <c r="L1532" t="s">
        <v>24</v>
      </c>
      <c r="M1532" s="2" t="s">
        <v>1571</v>
      </c>
      <c r="N1532" t="s">
        <v>26</v>
      </c>
      <c r="O1532" t="s">
        <v>34</v>
      </c>
      <c r="P1532" t="s">
        <v>22</v>
      </c>
      <c r="Q1532" t="s">
        <v>23</v>
      </c>
      <c r="R1532" t="b">
        <f>OR(Таблица1[[#This Row],[Ежемесячный платеж]]&lt;$AC$5, Таблица1[[#This Row],[Ежемесячный платеж]]&gt;$AC$6)</f>
        <v>0</v>
      </c>
      <c r="S1532" s="9">
        <f>(Таблица1[[#This Row],[Размер кредита]]-21824)/(789096-21824)</f>
        <v>0.43086936575295331</v>
      </c>
      <c r="T1532" s="9">
        <f>(Таблица1[[#This Row],[Кредитный рейтинг]]-586)/(751-586)</f>
        <v>0.96363636363636362</v>
      </c>
      <c r="U1532" s="9">
        <f>Таблица1[[#This Row],[Ежемесячный платеж]]/(Таблица1[[#This Row],[Годовой доход]]/12)</f>
        <v>6.5101074188077132E-2</v>
      </c>
    </row>
    <row r="1533" spans="1:21" x14ac:dyDescent="0.3">
      <c r="A1533">
        <v>1532</v>
      </c>
      <c r="B1533">
        <v>0</v>
      </c>
      <c r="C1533" s="9">
        <v>408540</v>
      </c>
      <c r="D1533">
        <v>718</v>
      </c>
      <c r="E1533" s="1">
        <v>1335054</v>
      </c>
      <c r="F1533">
        <v>18</v>
      </c>
      <c r="G1533">
        <v>21027.11</v>
      </c>
      <c r="H1533">
        <v>14.7</v>
      </c>
      <c r="I1533">
        <v>12</v>
      </c>
      <c r="J1533">
        <v>271548</v>
      </c>
      <c r="K1533">
        <v>335566</v>
      </c>
      <c r="L1533" t="s">
        <v>18</v>
      </c>
      <c r="M1533" s="2" t="s">
        <v>1572</v>
      </c>
      <c r="N1533" t="s">
        <v>26</v>
      </c>
      <c r="O1533" t="s">
        <v>21</v>
      </c>
      <c r="P1533" t="s">
        <v>22</v>
      </c>
      <c r="Q1533" t="s">
        <v>23</v>
      </c>
      <c r="R1533" t="b">
        <f>OR(Таблица1[[#This Row],[Ежемесячный платеж]]&lt;$AC$5, Таблица1[[#This Row],[Ежемесячный платеж]]&gt;$AC$6)</f>
        <v>0</v>
      </c>
      <c r="S1533" s="9">
        <f>(Таблица1[[#This Row],[Размер кредита]]-21824)/(789096-21824)</f>
        <v>0.50401422181442823</v>
      </c>
      <c r="T1533" s="9">
        <f>(Таблица1[[#This Row],[Кредитный рейтинг]]-586)/(751-586)</f>
        <v>0.8</v>
      </c>
      <c r="U1533" s="9">
        <f>Таблица1[[#This Row],[Ежемесячный платеж]]/(Таблица1[[#This Row],[Годовой доход]]/12)</f>
        <v>0.18900008538980445</v>
      </c>
    </row>
    <row r="1534" spans="1:21" x14ac:dyDescent="0.3">
      <c r="A1534">
        <v>1533</v>
      </c>
      <c r="B1534">
        <v>0</v>
      </c>
      <c r="C1534" s="9">
        <v>300388</v>
      </c>
      <c r="D1534">
        <v>692</v>
      </c>
      <c r="E1534" s="1">
        <v>1152996</v>
      </c>
      <c r="F1534">
        <v>28</v>
      </c>
      <c r="G1534">
        <v>25750.32</v>
      </c>
      <c r="H1534">
        <v>10.1</v>
      </c>
      <c r="I1534">
        <v>17</v>
      </c>
      <c r="J1534">
        <v>130302</v>
      </c>
      <c r="K1534">
        <v>369798</v>
      </c>
      <c r="L1534" t="s">
        <v>29</v>
      </c>
      <c r="M1534" t="s">
        <v>1573</v>
      </c>
      <c r="N1534" t="s">
        <v>26</v>
      </c>
      <c r="O1534" t="s">
        <v>21</v>
      </c>
      <c r="P1534" t="s">
        <v>22</v>
      </c>
      <c r="Q1534" t="s">
        <v>36</v>
      </c>
      <c r="R1534" t="b">
        <f>OR(Таблица1[[#This Row],[Ежемесячный платеж]]&lt;$AC$5, Таблица1[[#This Row],[Ежемесячный платеж]]&gt;$AC$6)</f>
        <v>0</v>
      </c>
      <c r="S1534" s="9">
        <f>(Таблица1[[#This Row],[Размер кредита]]-21824)/(789096-21824)</f>
        <v>0.36305769010207595</v>
      </c>
      <c r="T1534" s="9">
        <f>(Таблица1[[#This Row],[Кредитный рейтинг]]-586)/(751-586)</f>
        <v>0.64242424242424245</v>
      </c>
      <c r="U1534" s="9">
        <f>Таблица1[[#This Row],[Ежемесячный платеж]]/(Таблица1[[#This Row],[Годовой доход]]/12)</f>
        <v>0.26800079098279611</v>
      </c>
    </row>
    <row r="1535" spans="1:21" x14ac:dyDescent="0.3">
      <c r="A1535">
        <v>1534</v>
      </c>
      <c r="B1535">
        <v>0</v>
      </c>
      <c r="C1535" s="9">
        <v>327800</v>
      </c>
      <c r="D1535">
        <v>749</v>
      </c>
      <c r="E1535" s="1">
        <v>1226735</v>
      </c>
      <c r="F1535">
        <v>79</v>
      </c>
      <c r="G1535">
        <v>19627.57</v>
      </c>
      <c r="H1535">
        <v>14.1</v>
      </c>
      <c r="I1535">
        <v>14</v>
      </c>
      <c r="J1535">
        <v>290776</v>
      </c>
      <c r="K1535">
        <v>1058750</v>
      </c>
      <c r="L1535" t="s">
        <v>41</v>
      </c>
      <c r="M1535" t="s">
        <v>1574</v>
      </c>
      <c r="N1535" t="s">
        <v>26</v>
      </c>
      <c r="O1535" t="s">
        <v>21</v>
      </c>
      <c r="P1535" t="s">
        <v>22</v>
      </c>
      <c r="Q1535" t="s">
        <v>23</v>
      </c>
      <c r="R1535" t="b">
        <f>OR(Таблица1[[#This Row],[Ежемесячный платеж]]&lt;$AC$5, Таблица1[[#This Row],[Ежемесячный платеж]]&gt;$AC$6)</f>
        <v>0</v>
      </c>
      <c r="S1535" s="9">
        <f>(Таблица1[[#This Row],[Размер кредита]]-21824)/(789096-21824)</f>
        <v>0.39878426425048746</v>
      </c>
      <c r="T1535" s="9">
        <f>(Таблица1[[#This Row],[Кредитный рейтинг]]-586)/(751-586)</f>
        <v>0.98787878787878791</v>
      </c>
      <c r="U1535" s="9">
        <f>Таблица1[[#This Row],[Ежемесячный платеж]]/(Таблица1[[#This Row],[Годовой доход]]/12)</f>
        <v>0.19199814140788352</v>
      </c>
    </row>
    <row r="1536" spans="1:21" x14ac:dyDescent="0.3">
      <c r="A1536">
        <v>1535</v>
      </c>
      <c r="B1536">
        <v>0</v>
      </c>
      <c r="D1536">
        <v>727</v>
      </c>
      <c r="E1536" s="1">
        <v>1467256</v>
      </c>
      <c r="F1536">
        <v>0</v>
      </c>
      <c r="G1536">
        <v>21153.08</v>
      </c>
      <c r="H1536">
        <v>38.5</v>
      </c>
      <c r="I1536">
        <v>16</v>
      </c>
      <c r="J1536">
        <v>635968</v>
      </c>
      <c r="K1536">
        <v>1207206</v>
      </c>
      <c r="L1536" t="s">
        <v>24</v>
      </c>
      <c r="M1536" t="s">
        <v>1575</v>
      </c>
      <c r="N1536" t="s">
        <v>26</v>
      </c>
      <c r="O1536" t="s">
        <v>21</v>
      </c>
      <c r="P1536" t="s">
        <v>31</v>
      </c>
      <c r="Q1536" t="s">
        <v>23</v>
      </c>
      <c r="R1536" t="b">
        <f>OR(Таблица1[[#This Row],[Ежемесячный платеж]]&lt;$AC$5, Таблица1[[#This Row],[Ежемесячный платеж]]&gt;$AC$6)</f>
        <v>0</v>
      </c>
      <c r="T1536" s="9">
        <f>(Таблица1[[#This Row],[Кредитный рейтинг]]-586)/(751-586)</f>
        <v>0.8545454545454545</v>
      </c>
      <c r="U1536" s="9">
        <f>Таблица1[[#This Row],[Ежемесячный платеж]]/(Таблица1[[#This Row],[Годовой доход]]/12)</f>
        <v>0.17300113954211127</v>
      </c>
    </row>
    <row r="1537" spans="1:21" x14ac:dyDescent="0.3">
      <c r="A1537">
        <v>1536</v>
      </c>
      <c r="B1537">
        <v>0</v>
      </c>
      <c r="C1537" s="9">
        <v>188672</v>
      </c>
      <c r="D1537">
        <v>652</v>
      </c>
      <c r="E1537" s="1">
        <v>1008748</v>
      </c>
      <c r="F1537">
        <v>47</v>
      </c>
      <c r="G1537">
        <v>3127.21</v>
      </c>
      <c r="H1537">
        <v>11</v>
      </c>
      <c r="I1537">
        <v>5</v>
      </c>
      <c r="J1537">
        <v>68153</v>
      </c>
      <c r="K1537">
        <v>96580</v>
      </c>
      <c r="L1537" t="s">
        <v>24</v>
      </c>
      <c r="M1537" t="s">
        <v>1576</v>
      </c>
      <c r="N1537" t="s">
        <v>26</v>
      </c>
      <c r="O1537" t="s">
        <v>34</v>
      </c>
      <c r="P1537" t="s">
        <v>22</v>
      </c>
      <c r="Q1537" t="s">
        <v>23</v>
      </c>
      <c r="R1537" t="b">
        <f>OR(Таблица1[[#This Row],[Ежемесячный платеж]]&lt;$AC$5, Таблица1[[#This Row],[Ежемесячный платеж]]&gt;$AC$6)</f>
        <v>0</v>
      </c>
      <c r="S1537" s="9">
        <f>(Таблица1[[#This Row],[Размер кредита]]-21824)/(789096-21824)</f>
        <v>0.21745613029017088</v>
      </c>
      <c r="T1537" s="9">
        <f>(Таблица1[[#This Row],[Кредитный рейтинг]]-586)/(751-586)</f>
        <v>0.4</v>
      </c>
      <c r="U1537" s="9">
        <f>Таблица1[[#This Row],[Ежемесячный платеж]]/(Таблица1[[#This Row],[Годовой доход]]/12)</f>
        <v>3.7201084909214199E-2</v>
      </c>
    </row>
    <row r="1538" spans="1:21" x14ac:dyDescent="0.3">
      <c r="A1538">
        <v>1537</v>
      </c>
      <c r="B1538">
        <v>0</v>
      </c>
      <c r="C1538" s="9">
        <v>546876</v>
      </c>
      <c r="D1538">
        <f>$Y$13</f>
        <v>723</v>
      </c>
      <c r="E1538">
        <f>$AB$13</f>
        <v>1168044</v>
      </c>
      <c r="F1538">
        <v>0</v>
      </c>
      <c r="G1538">
        <v>24642.62</v>
      </c>
      <c r="H1538">
        <v>23.4</v>
      </c>
      <c r="I1538">
        <v>13</v>
      </c>
      <c r="J1538">
        <v>141094</v>
      </c>
      <c r="K1538">
        <v>214698</v>
      </c>
      <c r="L1538" t="s">
        <v>32</v>
      </c>
      <c r="M1538" t="s">
        <v>1577</v>
      </c>
      <c r="N1538" t="s">
        <v>26</v>
      </c>
      <c r="O1538" t="s">
        <v>21</v>
      </c>
      <c r="P1538" t="s">
        <v>31</v>
      </c>
      <c r="Q1538" t="s">
        <v>36</v>
      </c>
      <c r="R1538" t="b">
        <f>OR(Таблица1[[#This Row],[Ежемесячный платеж]]&lt;$AC$5, Таблица1[[#This Row],[Ежемесячный платеж]]&gt;$AC$6)</f>
        <v>0</v>
      </c>
      <c r="S1538" s="9">
        <f>(Таблица1[[#This Row],[Размер кредита]]-21824)/(789096-21824)</f>
        <v>0.68431012730817753</v>
      </c>
      <c r="T1538" s="9">
        <f>(Таблица1[[#This Row],[Кредитный рейтинг]]-586)/(751-586)</f>
        <v>0.83030303030303032</v>
      </c>
      <c r="U1538" s="9">
        <f>Таблица1[[#This Row],[Ежемесячный платеж]]/(Таблица1[[#This Row],[Годовой доход]]/12)</f>
        <v>0.25316806558657035</v>
      </c>
    </row>
    <row r="1539" spans="1:21" x14ac:dyDescent="0.3">
      <c r="A1539">
        <v>1538</v>
      </c>
      <c r="B1539">
        <v>0</v>
      </c>
      <c r="C1539" s="9">
        <v>225126</v>
      </c>
      <c r="D1539">
        <v>725</v>
      </c>
      <c r="E1539" s="1">
        <v>1263785</v>
      </c>
      <c r="F1539">
        <v>48</v>
      </c>
      <c r="G1539">
        <v>15165.23</v>
      </c>
      <c r="H1539">
        <v>10.6</v>
      </c>
      <c r="I1539">
        <v>11</v>
      </c>
      <c r="J1539">
        <v>106571</v>
      </c>
      <c r="K1539">
        <v>333498</v>
      </c>
      <c r="L1539" t="s">
        <v>50</v>
      </c>
      <c r="M1539" t="s">
        <v>1578</v>
      </c>
      <c r="N1539" t="s">
        <v>26</v>
      </c>
      <c r="O1539" t="s">
        <v>21</v>
      </c>
      <c r="P1539" t="s">
        <v>22</v>
      </c>
      <c r="Q1539" t="s">
        <v>23</v>
      </c>
      <c r="R1539" t="b">
        <f>OR(Таблица1[[#This Row],[Ежемесячный платеж]]&lt;$AC$5, Таблица1[[#This Row],[Ежемесячный платеж]]&gt;$AC$6)</f>
        <v>0</v>
      </c>
      <c r="S1539" s="9">
        <f>(Таблица1[[#This Row],[Размер кредита]]-21824)/(789096-21824)</f>
        <v>0.26496731276522539</v>
      </c>
      <c r="T1539" s="9">
        <f>(Таблица1[[#This Row],[Кредитный рейтинг]]-586)/(751-586)</f>
        <v>0.84242424242424241</v>
      </c>
      <c r="U1539" s="9">
        <f>Таблица1[[#This Row],[Ежемесячный платеж]]/(Таблица1[[#This Row],[Годовой доход]]/12)</f>
        <v>0.14399819589566262</v>
      </c>
    </row>
    <row r="1540" spans="1:21" x14ac:dyDescent="0.3">
      <c r="A1540">
        <v>1539</v>
      </c>
      <c r="B1540">
        <v>0</v>
      </c>
      <c r="C1540" s="9">
        <v>450208</v>
      </c>
      <c r="D1540">
        <v>658</v>
      </c>
      <c r="E1540" s="1">
        <v>1030370</v>
      </c>
      <c r="F1540">
        <v>26</v>
      </c>
      <c r="G1540">
        <v>12536.01</v>
      </c>
      <c r="H1540">
        <v>18.7</v>
      </c>
      <c r="I1540">
        <v>11</v>
      </c>
      <c r="J1540">
        <v>341411</v>
      </c>
      <c r="K1540">
        <v>945758</v>
      </c>
      <c r="L1540" t="s">
        <v>29</v>
      </c>
      <c r="M1540" t="s">
        <v>1579</v>
      </c>
      <c r="N1540" t="s">
        <v>26</v>
      </c>
      <c r="O1540" t="s">
        <v>34</v>
      </c>
      <c r="P1540" t="s">
        <v>31</v>
      </c>
      <c r="Q1540" t="s">
        <v>36</v>
      </c>
      <c r="R1540" t="b">
        <f>OR(Таблица1[[#This Row],[Ежемесячный платеж]]&lt;$AC$5, Таблица1[[#This Row],[Ежемесячный платеж]]&gt;$AC$6)</f>
        <v>0</v>
      </c>
      <c r="S1540" s="9">
        <f>(Таблица1[[#This Row],[Размер кредита]]-21824)/(789096-21824)</f>
        <v>0.55832090836105053</v>
      </c>
      <c r="T1540" s="9">
        <f>(Таблица1[[#This Row],[Кредитный рейтинг]]-586)/(751-586)</f>
        <v>0.43636363636363634</v>
      </c>
      <c r="U1540" s="9">
        <f>Таблица1[[#This Row],[Ежемесячный платеж]]/(Таблица1[[#This Row],[Годовой доход]]/12)</f>
        <v>0.1459981560022128</v>
      </c>
    </row>
    <row r="1541" spans="1:21" x14ac:dyDescent="0.3">
      <c r="A1541">
        <v>1540</v>
      </c>
      <c r="B1541">
        <v>1</v>
      </c>
      <c r="C1541" s="9">
        <v>328658</v>
      </c>
      <c r="D1541">
        <v>731</v>
      </c>
      <c r="E1541" s="1">
        <v>1589464</v>
      </c>
      <c r="F1541">
        <v>78</v>
      </c>
      <c r="G1541">
        <v>20133.16</v>
      </c>
      <c r="H1541">
        <v>20.6</v>
      </c>
      <c r="I1541">
        <v>12</v>
      </c>
      <c r="J1541">
        <v>94278</v>
      </c>
      <c r="K1541">
        <v>983378</v>
      </c>
      <c r="L1541" t="s">
        <v>29</v>
      </c>
      <c r="M1541" t="s">
        <v>1580</v>
      </c>
      <c r="N1541" t="s">
        <v>26</v>
      </c>
      <c r="O1541" t="s">
        <v>34</v>
      </c>
      <c r="P1541" t="s">
        <v>22</v>
      </c>
      <c r="Q1541" t="s">
        <v>23</v>
      </c>
      <c r="R1541" t="b">
        <f>OR(Таблица1[[#This Row],[Ежемесячный платеж]]&lt;$AC$5, Таблица1[[#This Row],[Ежемесячный платеж]]&gt;$AC$6)</f>
        <v>0</v>
      </c>
      <c r="S1541" s="9">
        <f>(Таблица1[[#This Row],[Размер кредита]]-21824)/(789096-21824)</f>
        <v>0.39990251175593533</v>
      </c>
      <c r="T1541" s="9">
        <f>(Таблица1[[#This Row],[Кредитный рейтинг]]-586)/(751-586)</f>
        <v>0.87878787878787878</v>
      </c>
      <c r="U1541" s="9">
        <f>Таблица1[[#This Row],[Ежемесячный платеж]]/(Таблица1[[#This Row],[Годовой доход]]/12)</f>
        <v>0.15199961748111313</v>
      </c>
    </row>
    <row r="1542" spans="1:21" x14ac:dyDescent="0.3">
      <c r="A1542">
        <v>1541</v>
      </c>
      <c r="B1542">
        <v>0</v>
      </c>
      <c r="C1542" s="9">
        <v>171622</v>
      </c>
      <c r="D1542">
        <f>$Y$13</f>
        <v>723</v>
      </c>
      <c r="E1542">
        <f>$AB$13</f>
        <v>1168044</v>
      </c>
      <c r="F1542">
        <v>26</v>
      </c>
      <c r="G1542">
        <v>6221.93</v>
      </c>
      <c r="H1542">
        <v>13.2</v>
      </c>
      <c r="I1542">
        <v>7</v>
      </c>
      <c r="J1542">
        <v>111131</v>
      </c>
      <c r="K1542">
        <v>199474</v>
      </c>
      <c r="L1542" t="s">
        <v>24</v>
      </c>
      <c r="M1542" t="s">
        <v>1581</v>
      </c>
      <c r="N1542" t="s">
        <v>26</v>
      </c>
      <c r="O1542" t="s">
        <v>21</v>
      </c>
      <c r="P1542" t="s">
        <v>22</v>
      </c>
      <c r="Q1542" t="s">
        <v>23</v>
      </c>
      <c r="R1542" t="b">
        <f>OR(Таблица1[[#This Row],[Ежемесячный платеж]]&lt;$AC$5, Таблица1[[#This Row],[Ежемесячный платеж]]&gt;$AC$6)</f>
        <v>0</v>
      </c>
      <c r="S1542" s="9">
        <f>(Таблица1[[#This Row],[Размер кредита]]-21824)/(789096-21824)</f>
        <v>0.19523454524601444</v>
      </c>
      <c r="T1542" s="9">
        <f>(Таблица1[[#This Row],[Кредитный рейтинг]]-586)/(751-586)</f>
        <v>0.83030303030303032</v>
      </c>
      <c r="U1542" s="9">
        <f>Таблица1[[#This Row],[Ежемесячный платеж]]/(Таблица1[[#This Row],[Годовой доход]]/12)</f>
        <v>6.3921530353308609E-2</v>
      </c>
    </row>
    <row r="1543" spans="1:21" x14ac:dyDescent="0.3">
      <c r="A1543">
        <v>1542</v>
      </c>
      <c r="B1543">
        <v>0</v>
      </c>
      <c r="C1543" s="9">
        <v>399630</v>
      </c>
      <c r="D1543">
        <v>712</v>
      </c>
      <c r="E1543" s="1">
        <v>1335985</v>
      </c>
      <c r="F1543">
        <v>0</v>
      </c>
      <c r="G1543">
        <v>28946.5</v>
      </c>
      <c r="H1543">
        <v>10.199999999999999</v>
      </c>
      <c r="I1543">
        <v>13</v>
      </c>
      <c r="J1543">
        <v>579025</v>
      </c>
      <c r="K1543">
        <v>687632</v>
      </c>
      <c r="L1543" t="s">
        <v>47</v>
      </c>
      <c r="M1543" t="s">
        <v>1582</v>
      </c>
      <c r="N1543" t="s">
        <v>26</v>
      </c>
      <c r="O1543" t="s">
        <v>34</v>
      </c>
      <c r="P1543" t="s">
        <v>22</v>
      </c>
      <c r="Q1543" t="s">
        <v>23</v>
      </c>
      <c r="R1543" t="b">
        <f>OR(Таблица1[[#This Row],[Ежемесячный платеж]]&lt;$AC$5, Таблица1[[#This Row],[Ежемесячный платеж]]&gt;$AC$6)</f>
        <v>0</v>
      </c>
      <c r="S1543" s="9">
        <f>(Таблица1[[#This Row],[Размер кредита]]-21824)/(789096-21824)</f>
        <v>0.49240165156554649</v>
      </c>
      <c r="T1543" s="9">
        <f>(Таблица1[[#This Row],[Кредитный рейтинг]]-586)/(751-586)</f>
        <v>0.76363636363636367</v>
      </c>
      <c r="U1543" s="9">
        <f>Таблица1[[#This Row],[Ежемесячный платеж]]/(Таблица1[[#This Row],[Годовой доход]]/12)</f>
        <v>0.26000142217165612</v>
      </c>
    </row>
    <row r="1544" spans="1:21" x14ac:dyDescent="0.3">
      <c r="A1544">
        <v>1543</v>
      </c>
      <c r="B1544">
        <v>0</v>
      </c>
      <c r="C1544" s="9">
        <v>365178</v>
      </c>
      <c r="D1544">
        <v>714</v>
      </c>
      <c r="E1544" s="1">
        <v>788614</v>
      </c>
      <c r="F1544">
        <v>0</v>
      </c>
      <c r="G1544">
        <v>10514.79</v>
      </c>
      <c r="H1544">
        <v>19.3</v>
      </c>
      <c r="I1544">
        <v>8</v>
      </c>
      <c r="J1544">
        <v>242991</v>
      </c>
      <c r="K1544">
        <v>318296</v>
      </c>
      <c r="L1544" t="s">
        <v>47</v>
      </c>
      <c r="M1544" t="s">
        <v>1583</v>
      </c>
      <c r="N1544" t="s">
        <v>26</v>
      </c>
      <c r="O1544" t="s">
        <v>34</v>
      </c>
      <c r="P1544" t="s">
        <v>31</v>
      </c>
      <c r="Q1544" t="s">
        <v>36</v>
      </c>
      <c r="R1544" t="b">
        <f>OR(Таблица1[[#This Row],[Ежемесячный платеж]]&lt;$AC$5, Таблица1[[#This Row],[Ежемесячный платеж]]&gt;$AC$6)</f>
        <v>0</v>
      </c>
      <c r="S1544" s="9">
        <f>(Таблица1[[#This Row],[Размер кредита]]-21824)/(789096-21824)</f>
        <v>0.44749971326987042</v>
      </c>
      <c r="T1544" s="9">
        <f>(Таблица1[[#This Row],[Кредитный рейтинг]]-586)/(751-586)</f>
        <v>0.77575757575757576</v>
      </c>
      <c r="U1544" s="9">
        <f>Таблица1[[#This Row],[Ежемесячный платеж]]/(Таблица1[[#This Row],[Годовой доход]]/12)</f>
        <v>0.15999903628391079</v>
      </c>
    </row>
    <row r="1545" spans="1:21" x14ac:dyDescent="0.3">
      <c r="A1545">
        <v>1544</v>
      </c>
      <c r="B1545">
        <v>0</v>
      </c>
      <c r="C1545" s="9">
        <v>351296</v>
      </c>
      <c r="D1545">
        <f>$Y$13</f>
        <v>723</v>
      </c>
      <c r="E1545">
        <f>$AB$13</f>
        <v>1168044</v>
      </c>
      <c r="F1545">
        <v>0</v>
      </c>
      <c r="G1545">
        <v>45129.56</v>
      </c>
      <c r="H1545">
        <v>12.1</v>
      </c>
      <c r="I1545">
        <v>22</v>
      </c>
      <c r="J1545">
        <v>149264</v>
      </c>
      <c r="K1545">
        <v>297990</v>
      </c>
      <c r="L1545" t="s">
        <v>47</v>
      </c>
      <c r="M1545" t="s">
        <v>1584</v>
      </c>
      <c r="N1545" t="s">
        <v>26</v>
      </c>
      <c r="O1545" t="s">
        <v>21</v>
      </c>
      <c r="P1545" t="s">
        <v>22</v>
      </c>
      <c r="Q1545" t="s">
        <v>23</v>
      </c>
      <c r="R1545" t="b">
        <f>OR(Таблица1[[#This Row],[Ежемесячный платеж]]&lt;$AC$5, Таблица1[[#This Row],[Ежемесячный платеж]]&gt;$AC$6)</f>
        <v>1</v>
      </c>
      <c r="S1545" s="9">
        <f>(Таблица1[[#This Row],[Размер кредита]]-21824)/(789096-21824)</f>
        <v>0.42940704209198305</v>
      </c>
      <c r="T1545" s="9">
        <f>(Таблица1[[#This Row],[Кредитный рейтинг]]-586)/(751-586)</f>
        <v>0.83030303030303032</v>
      </c>
      <c r="U1545" s="9">
        <f>Таблица1[[#This Row],[Ежемесячный платеж]]/(Таблица1[[#This Row],[Годовой доход]]/12)</f>
        <v>0.46364239703298848</v>
      </c>
    </row>
    <row r="1546" spans="1:21" x14ac:dyDescent="0.3">
      <c r="A1546">
        <v>1545</v>
      </c>
      <c r="B1546">
        <v>1</v>
      </c>
      <c r="C1546" s="9">
        <v>86218</v>
      </c>
      <c r="D1546">
        <v>720</v>
      </c>
      <c r="E1546" s="1">
        <v>468255</v>
      </c>
      <c r="F1546">
        <v>0</v>
      </c>
      <c r="G1546">
        <v>12721.07</v>
      </c>
      <c r="H1546">
        <v>13.9</v>
      </c>
      <c r="I1546">
        <v>6</v>
      </c>
      <c r="J1546">
        <v>27322</v>
      </c>
      <c r="K1546">
        <v>158202</v>
      </c>
      <c r="L1546" t="s">
        <v>63</v>
      </c>
      <c r="M1546" t="s">
        <v>1585</v>
      </c>
      <c r="N1546" t="s">
        <v>26</v>
      </c>
      <c r="O1546" t="s">
        <v>34</v>
      </c>
      <c r="P1546" t="s">
        <v>22</v>
      </c>
      <c r="Q1546" t="s">
        <v>23</v>
      </c>
      <c r="R1546" t="b">
        <f>OR(Таблица1[[#This Row],[Ежемесячный платеж]]&lt;$AC$5, Таблица1[[#This Row],[Ежемесячный платеж]]&gt;$AC$6)</f>
        <v>0</v>
      </c>
      <c r="S1546" s="9">
        <f>(Таблица1[[#This Row],[Размер кредита]]-21824)/(789096-21824)</f>
        <v>8.3925908934510837E-2</v>
      </c>
      <c r="T1546" s="9">
        <f>(Таблица1[[#This Row],[Кредитный рейтинг]]-586)/(751-586)</f>
        <v>0.81212121212121213</v>
      </c>
      <c r="U1546" s="9">
        <f>Таблица1[[#This Row],[Ежемесячный платеж]]/(Таблица1[[#This Row],[Годовой доход]]/12)</f>
        <v>0.32600365185636032</v>
      </c>
    </row>
    <row r="1547" spans="1:21" x14ac:dyDescent="0.3">
      <c r="A1547">
        <v>1546</v>
      </c>
      <c r="B1547">
        <v>1</v>
      </c>
      <c r="C1547" s="9">
        <v>460284</v>
      </c>
      <c r="D1547">
        <v>639</v>
      </c>
      <c r="E1547" s="1">
        <v>1211497</v>
      </c>
      <c r="F1547">
        <v>0</v>
      </c>
      <c r="G1547">
        <v>13225.52</v>
      </c>
      <c r="H1547">
        <v>9.4</v>
      </c>
      <c r="I1547">
        <v>14</v>
      </c>
      <c r="J1547">
        <v>91371</v>
      </c>
      <c r="K1547">
        <v>542564</v>
      </c>
      <c r="L1547" t="s">
        <v>41</v>
      </c>
      <c r="M1547" t="s">
        <v>1586</v>
      </c>
      <c r="N1547" t="s">
        <v>26</v>
      </c>
      <c r="O1547" t="s">
        <v>34</v>
      </c>
      <c r="P1547" t="s">
        <v>31</v>
      </c>
      <c r="Q1547" t="s">
        <v>23</v>
      </c>
      <c r="R1547" t="b">
        <f>OR(Таблица1[[#This Row],[Ежемесячный платеж]]&lt;$AC$5, Таблица1[[#This Row],[Ежемесячный платеж]]&gt;$AC$6)</f>
        <v>0</v>
      </c>
      <c r="S1547" s="9">
        <f>(Таблица1[[#This Row],[Размер кредита]]-21824)/(789096-21824)</f>
        <v>0.57145314829682303</v>
      </c>
      <c r="T1547" s="9">
        <f>(Таблица1[[#This Row],[Кредитный рейтинг]]-586)/(751-586)</f>
        <v>0.32121212121212123</v>
      </c>
      <c r="U1547" s="9">
        <f>Таблица1[[#This Row],[Ежемесячный платеж]]/(Таблица1[[#This Row],[Годовой доход]]/12)</f>
        <v>0.13100010978153476</v>
      </c>
    </row>
    <row r="1548" spans="1:21" x14ac:dyDescent="0.3">
      <c r="A1548">
        <v>1547</v>
      </c>
      <c r="B1548">
        <v>0</v>
      </c>
      <c r="C1548" s="9">
        <v>618398</v>
      </c>
      <c r="D1548">
        <v>714</v>
      </c>
      <c r="E1548" s="1">
        <v>4100941</v>
      </c>
      <c r="F1548">
        <v>0</v>
      </c>
      <c r="G1548">
        <v>16403.650000000001</v>
      </c>
      <c r="H1548">
        <v>26.1</v>
      </c>
      <c r="I1548">
        <v>30</v>
      </c>
      <c r="J1548">
        <v>637165</v>
      </c>
      <c r="K1548">
        <v>1901482</v>
      </c>
      <c r="L1548" t="s">
        <v>24</v>
      </c>
      <c r="M1548" t="s">
        <v>1587</v>
      </c>
      <c r="N1548" t="s">
        <v>26</v>
      </c>
      <c r="O1548" t="s">
        <v>21</v>
      </c>
      <c r="P1548" t="s">
        <v>22</v>
      </c>
      <c r="Q1548" t="s">
        <v>23</v>
      </c>
      <c r="R1548" t="b">
        <f>OR(Таблица1[[#This Row],[Ежемесячный платеж]]&lt;$AC$5, Таблица1[[#This Row],[Ежемесячный платеж]]&gt;$AC$6)</f>
        <v>0</v>
      </c>
      <c r="S1548" s="9">
        <f>(Таблица1[[#This Row],[Размер кредита]]-21824)/(789096-21824)</f>
        <v>0.77752609244179383</v>
      </c>
      <c r="T1548" s="9">
        <f>(Таблица1[[#This Row],[Кредитный рейтинг]]-586)/(751-586)</f>
        <v>0.77575757575757576</v>
      </c>
      <c r="U1548" s="9">
        <f>Таблица1[[#This Row],[Ежемесячный платеж]]/(Таблица1[[#This Row],[Годовой доход]]/12)</f>
        <v>4.7999666418024556E-2</v>
      </c>
    </row>
    <row r="1549" spans="1:21" x14ac:dyDescent="0.3">
      <c r="A1549">
        <v>1548</v>
      </c>
      <c r="B1549">
        <v>0</v>
      </c>
      <c r="D1549">
        <v>694</v>
      </c>
      <c r="E1549" s="1">
        <v>741228</v>
      </c>
      <c r="F1549">
        <v>0</v>
      </c>
      <c r="G1549">
        <v>21371.96</v>
      </c>
      <c r="H1549">
        <v>9</v>
      </c>
      <c r="I1549">
        <v>10</v>
      </c>
      <c r="J1549">
        <v>244188</v>
      </c>
      <c r="K1549">
        <v>525536</v>
      </c>
      <c r="L1549" t="s">
        <v>37</v>
      </c>
      <c r="M1549" t="s">
        <v>1588</v>
      </c>
      <c r="N1549" t="s">
        <v>26</v>
      </c>
      <c r="O1549" t="s">
        <v>34</v>
      </c>
      <c r="P1549" t="s">
        <v>22</v>
      </c>
      <c r="Q1549" t="s">
        <v>23</v>
      </c>
      <c r="R1549" t="b">
        <f>OR(Таблица1[[#This Row],[Ежемесячный платеж]]&lt;$AC$5, Таблица1[[#This Row],[Ежемесячный платеж]]&gt;$AC$6)</f>
        <v>0</v>
      </c>
      <c r="T1549" s="9">
        <f>(Таблица1[[#This Row],[Кредитный рейтинг]]-586)/(751-586)</f>
        <v>0.65454545454545454</v>
      </c>
      <c r="U1549" s="9">
        <f>Таблица1[[#This Row],[Ежемесячный платеж]]/(Таблица1[[#This Row],[Годовой доход]]/12)</f>
        <v>0.34599815441402643</v>
      </c>
    </row>
    <row r="1550" spans="1:21" x14ac:dyDescent="0.3">
      <c r="A1550">
        <v>1549</v>
      </c>
      <c r="B1550">
        <v>0</v>
      </c>
      <c r="C1550" s="9">
        <v>179256</v>
      </c>
      <c r="D1550">
        <v>702</v>
      </c>
      <c r="E1550" s="1">
        <v>677312</v>
      </c>
      <c r="F1550">
        <v>0</v>
      </c>
      <c r="G1550">
        <v>6208.63</v>
      </c>
      <c r="H1550">
        <v>14</v>
      </c>
      <c r="I1550">
        <v>5</v>
      </c>
      <c r="J1550">
        <v>277647</v>
      </c>
      <c r="K1550">
        <v>344960</v>
      </c>
      <c r="L1550" t="s">
        <v>24</v>
      </c>
      <c r="M1550" t="s">
        <v>1589</v>
      </c>
      <c r="N1550" t="s">
        <v>26</v>
      </c>
      <c r="O1550" t="s">
        <v>21</v>
      </c>
      <c r="P1550" t="s">
        <v>22</v>
      </c>
      <c r="Q1550" t="s">
        <v>36</v>
      </c>
      <c r="R1550" t="b">
        <f>OR(Таблица1[[#This Row],[Ежемесячный платеж]]&lt;$AC$5, Таблица1[[#This Row],[Ежемесячный платеж]]&gt;$AC$6)</f>
        <v>0</v>
      </c>
      <c r="S1550" s="9">
        <f>(Таблица1[[#This Row],[Размер кредита]]-21824)/(789096-21824)</f>
        <v>0.20518408074320449</v>
      </c>
      <c r="T1550" s="9">
        <f>(Таблица1[[#This Row],[Кредитный рейтинг]]-586)/(751-586)</f>
        <v>0.70303030303030301</v>
      </c>
      <c r="U1550" s="9">
        <f>Таблица1[[#This Row],[Ежемесячный платеж]]/(Таблица1[[#This Row],[Годовой доход]]/12)</f>
        <v>0.10999887791741472</v>
      </c>
    </row>
    <row r="1551" spans="1:21" x14ac:dyDescent="0.3">
      <c r="A1551">
        <v>1550</v>
      </c>
      <c r="B1551">
        <v>0</v>
      </c>
      <c r="C1551" s="9">
        <v>132330</v>
      </c>
      <c r="D1551">
        <v>692</v>
      </c>
      <c r="E1551" s="1">
        <v>761900</v>
      </c>
      <c r="F1551">
        <v>0</v>
      </c>
      <c r="G1551">
        <v>10730.06</v>
      </c>
      <c r="H1551">
        <v>7.4</v>
      </c>
      <c r="I1551">
        <v>7</v>
      </c>
      <c r="J1551">
        <v>91295</v>
      </c>
      <c r="K1551">
        <v>132308</v>
      </c>
      <c r="L1551" t="s">
        <v>37</v>
      </c>
      <c r="M1551" t="s">
        <v>1590</v>
      </c>
      <c r="N1551" t="s">
        <v>26</v>
      </c>
      <c r="O1551" t="s">
        <v>34</v>
      </c>
      <c r="P1551" t="s">
        <v>22</v>
      </c>
      <c r="Q1551" t="s">
        <v>23</v>
      </c>
      <c r="R1551" t="b">
        <f>OR(Таблица1[[#This Row],[Ежемесячный платеж]]&lt;$AC$5, Таблица1[[#This Row],[Ежемесячный платеж]]&gt;$AC$6)</f>
        <v>0</v>
      </c>
      <c r="S1551" s="9">
        <f>(Таблица1[[#This Row],[Размер кредита]]-21824)/(789096-21824)</f>
        <v>0.14402454409909393</v>
      </c>
      <c r="T1551" s="9">
        <f>(Таблица1[[#This Row],[Кредитный рейтинг]]-586)/(751-586)</f>
        <v>0.64242424242424245</v>
      </c>
      <c r="U1551" s="9">
        <f>Таблица1[[#This Row],[Ежемесячный платеж]]/(Таблица1[[#This Row],[Годовой доход]]/12)</f>
        <v>0.16899950124688279</v>
      </c>
    </row>
    <row r="1552" spans="1:21" x14ac:dyDescent="0.3">
      <c r="A1552">
        <v>1551</v>
      </c>
      <c r="B1552">
        <v>1</v>
      </c>
      <c r="C1552" s="9">
        <v>69982</v>
      </c>
      <c r="D1552">
        <f>$Y$13</f>
        <v>723</v>
      </c>
      <c r="E1552">
        <f>$AB$13</f>
        <v>1168044</v>
      </c>
      <c r="F1552">
        <v>72</v>
      </c>
      <c r="G1552">
        <v>4362.59</v>
      </c>
      <c r="H1552">
        <v>15.9</v>
      </c>
      <c r="I1552">
        <v>9</v>
      </c>
      <c r="J1552">
        <v>121220</v>
      </c>
      <c r="K1552">
        <v>293040</v>
      </c>
      <c r="L1552" t="s">
        <v>24</v>
      </c>
      <c r="M1552" t="s">
        <v>1591</v>
      </c>
      <c r="N1552" t="s">
        <v>26</v>
      </c>
      <c r="O1552" t="s">
        <v>21</v>
      </c>
      <c r="P1552" t="s">
        <v>22</v>
      </c>
      <c r="Q1552" t="s">
        <v>23</v>
      </c>
      <c r="R1552" t="b">
        <f>OR(Таблица1[[#This Row],[Ежемесячный платеж]]&lt;$AC$5, Таблица1[[#This Row],[Ежемесячный платеж]]&gt;$AC$6)</f>
        <v>0</v>
      </c>
      <c r="S1552" s="9">
        <f>(Таблица1[[#This Row],[Размер кредита]]-21824)/(789096-21824)</f>
        <v>6.2765225369881869E-2</v>
      </c>
      <c r="T1552" s="9">
        <f>(Таблица1[[#This Row],[Кредитный рейтинг]]-586)/(751-586)</f>
        <v>0.83030303030303032</v>
      </c>
      <c r="U1552" s="9">
        <f>Таблица1[[#This Row],[Ежемесячный платеж]]/(Таблица1[[#This Row],[Годовой доход]]/12)</f>
        <v>4.4819441733359361E-2</v>
      </c>
    </row>
    <row r="1553" spans="1:21" x14ac:dyDescent="0.3">
      <c r="A1553">
        <v>1552</v>
      </c>
      <c r="B1553">
        <v>0</v>
      </c>
      <c r="C1553" s="9">
        <v>324500</v>
      </c>
      <c r="D1553">
        <v>711</v>
      </c>
      <c r="E1553" s="1">
        <v>971508</v>
      </c>
      <c r="F1553">
        <v>0</v>
      </c>
      <c r="G1553">
        <v>19915.8</v>
      </c>
      <c r="H1553">
        <v>15.1</v>
      </c>
      <c r="I1553">
        <v>23</v>
      </c>
      <c r="J1553">
        <v>333431</v>
      </c>
      <c r="K1553">
        <v>547624</v>
      </c>
      <c r="L1553" t="s">
        <v>37</v>
      </c>
      <c r="M1553" t="s">
        <v>1592</v>
      </c>
      <c r="N1553" t="s">
        <v>26</v>
      </c>
      <c r="O1553" t="s">
        <v>21</v>
      </c>
      <c r="P1553" t="s">
        <v>22</v>
      </c>
      <c r="Q1553" t="s">
        <v>23</v>
      </c>
      <c r="R1553" t="b">
        <f>OR(Таблица1[[#This Row],[Ежемесячный платеж]]&lt;$AC$5, Таблица1[[#This Row],[Ежемесячный платеж]]&gt;$AC$6)</f>
        <v>0</v>
      </c>
      <c r="S1553" s="9">
        <f>(Таблица1[[#This Row],[Размер кредита]]-21824)/(789096-21824)</f>
        <v>0.39448331230645717</v>
      </c>
      <c r="T1553" s="9">
        <f>(Таблица1[[#This Row],[Кредитный рейтинг]]-586)/(751-586)</f>
        <v>0.75757575757575757</v>
      </c>
      <c r="U1553" s="9">
        <f>Таблица1[[#This Row],[Ежемесячный платеж]]/(Таблица1[[#This Row],[Годовой доход]]/12)</f>
        <v>0.24599859187984041</v>
      </c>
    </row>
    <row r="1554" spans="1:21" x14ac:dyDescent="0.3">
      <c r="A1554">
        <v>1553</v>
      </c>
      <c r="B1554">
        <v>0</v>
      </c>
      <c r="C1554" s="9">
        <v>643500</v>
      </c>
      <c r="D1554">
        <v>739</v>
      </c>
      <c r="E1554" s="1">
        <v>1852500</v>
      </c>
      <c r="F1554">
        <v>0</v>
      </c>
      <c r="G1554">
        <v>20377.5</v>
      </c>
      <c r="H1554">
        <v>22.7</v>
      </c>
      <c r="I1554">
        <v>16</v>
      </c>
      <c r="J1554">
        <v>356193</v>
      </c>
      <c r="K1554">
        <v>1422190</v>
      </c>
      <c r="L1554" t="s">
        <v>24</v>
      </c>
      <c r="M1554" t="s">
        <v>1593</v>
      </c>
      <c r="N1554" t="s">
        <v>26</v>
      </c>
      <c r="O1554" t="s">
        <v>21</v>
      </c>
      <c r="P1554" t="s">
        <v>31</v>
      </c>
      <c r="Q1554" t="s">
        <v>23</v>
      </c>
      <c r="R1554" t="b">
        <f>OR(Таблица1[[#This Row],[Ежемесячный платеж]]&lt;$AC$5, Таблица1[[#This Row],[Ежемесячный платеж]]&gt;$AC$6)</f>
        <v>0</v>
      </c>
      <c r="S1554" s="9">
        <f>(Таблица1[[#This Row],[Размер кредита]]-21824)/(789096-21824)</f>
        <v>0.81024200022938409</v>
      </c>
      <c r="T1554" s="9">
        <f>(Таблица1[[#This Row],[Кредитный рейтинг]]-586)/(751-586)</f>
        <v>0.92727272727272725</v>
      </c>
      <c r="U1554" s="9">
        <f>Таблица1[[#This Row],[Ежемесячный платеж]]/(Таблица1[[#This Row],[Годовой доход]]/12)</f>
        <v>0.13200000000000001</v>
      </c>
    </row>
    <row r="1555" spans="1:21" x14ac:dyDescent="0.3">
      <c r="A1555">
        <v>1554</v>
      </c>
      <c r="B1555">
        <v>0</v>
      </c>
      <c r="C1555" s="9">
        <v>756140</v>
      </c>
      <c r="D1555">
        <f>$Y$13</f>
        <v>723</v>
      </c>
      <c r="E1555">
        <f>$AB$13</f>
        <v>1168044</v>
      </c>
      <c r="F1555">
        <v>0</v>
      </c>
      <c r="G1555">
        <v>24208.85</v>
      </c>
      <c r="H1555">
        <v>9.5</v>
      </c>
      <c r="I1555">
        <v>11</v>
      </c>
      <c r="J1555">
        <v>248995</v>
      </c>
      <c r="K1555">
        <v>553366</v>
      </c>
      <c r="L1555" t="s">
        <v>32</v>
      </c>
      <c r="M1555" t="s">
        <v>1594</v>
      </c>
      <c r="N1555" t="s">
        <v>68</v>
      </c>
      <c r="O1555" t="s">
        <v>34</v>
      </c>
      <c r="P1555" t="s">
        <v>22</v>
      </c>
      <c r="Q1555" t="s">
        <v>23</v>
      </c>
      <c r="R1555" t="b">
        <f>OR(Таблица1[[#This Row],[Ежемесячный платеж]]&lt;$AC$5, Таблица1[[#This Row],[Ежемесячный платеж]]&gt;$AC$6)</f>
        <v>0</v>
      </c>
      <c r="S1555" s="9">
        <f>(Таблица1[[#This Row],[Размер кредита]]-21824)/(789096-21824)</f>
        <v>0.9570478265856176</v>
      </c>
      <c r="T1555" s="9">
        <f>(Таблица1[[#This Row],[Кредитный рейтинг]]-586)/(751-586)</f>
        <v>0.83030303030303032</v>
      </c>
      <c r="U1555" s="9">
        <f>Таблица1[[#This Row],[Ежемесячный платеж]]/(Таблица1[[#This Row],[Годовой доход]]/12)</f>
        <v>0.24871169236775326</v>
      </c>
    </row>
    <row r="1556" spans="1:21" x14ac:dyDescent="0.3">
      <c r="A1556">
        <v>1555</v>
      </c>
      <c r="B1556">
        <v>0</v>
      </c>
      <c r="C1556" s="9">
        <v>172370</v>
      </c>
      <c r="D1556">
        <v>742</v>
      </c>
      <c r="E1556" s="1">
        <v>800166</v>
      </c>
      <c r="F1556">
        <v>0</v>
      </c>
      <c r="G1556">
        <v>20737.740000000002</v>
      </c>
      <c r="H1556">
        <v>25.5</v>
      </c>
      <c r="I1556">
        <v>11</v>
      </c>
      <c r="J1556">
        <v>289180</v>
      </c>
      <c r="K1556">
        <v>558052</v>
      </c>
      <c r="L1556" t="s">
        <v>24</v>
      </c>
      <c r="M1556" t="s">
        <v>1595</v>
      </c>
      <c r="N1556" t="s">
        <v>26</v>
      </c>
      <c r="O1556" t="s">
        <v>21</v>
      </c>
      <c r="P1556" t="s">
        <v>22</v>
      </c>
      <c r="Q1556" t="s">
        <v>36</v>
      </c>
      <c r="R1556" t="b">
        <f>OR(Таблица1[[#This Row],[Ежемесячный платеж]]&lt;$AC$5, Таблица1[[#This Row],[Ежемесячный платеж]]&gt;$AC$6)</f>
        <v>0</v>
      </c>
      <c r="S1556" s="9">
        <f>(Таблица1[[#This Row],[Размер кредита]]-21824)/(789096-21824)</f>
        <v>0.1962094276866613</v>
      </c>
      <c r="T1556" s="9">
        <f>(Таблица1[[#This Row],[Кредитный рейтинг]]-586)/(751-586)</f>
        <v>0.94545454545454544</v>
      </c>
      <c r="U1556" s="9">
        <f>Таблица1[[#This Row],[Ежемесячный платеж]]/(Таблица1[[#This Row],[Годовой доход]]/12)</f>
        <v>0.31100156717481126</v>
      </c>
    </row>
    <row r="1557" spans="1:21" x14ac:dyDescent="0.3">
      <c r="A1557">
        <v>1556</v>
      </c>
      <c r="B1557">
        <v>0</v>
      </c>
      <c r="C1557" s="9">
        <v>671616</v>
      </c>
      <c r="D1557">
        <f>$Y$13</f>
        <v>723</v>
      </c>
      <c r="E1557">
        <f>$AB$13</f>
        <v>1168044</v>
      </c>
      <c r="F1557">
        <v>0</v>
      </c>
      <c r="G1557">
        <v>28013.599999999999</v>
      </c>
      <c r="H1557">
        <v>16.8</v>
      </c>
      <c r="I1557">
        <v>10</v>
      </c>
      <c r="J1557">
        <v>186561</v>
      </c>
      <c r="K1557">
        <v>544126</v>
      </c>
      <c r="L1557" t="s">
        <v>50</v>
      </c>
      <c r="M1557" t="s">
        <v>1596</v>
      </c>
      <c r="N1557" t="s">
        <v>26</v>
      </c>
      <c r="O1557" t="s">
        <v>21</v>
      </c>
      <c r="P1557" t="s">
        <v>31</v>
      </c>
      <c r="Q1557" t="s">
        <v>23</v>
      </c>
      <c r="R1557" t="b">
        <f>OR(Таблица1[[#This Row],[Ежемесячный платеж]]&lt;$AC$5, Таблица1[[#This Row],[Ежемесячный платеж]]&gt;$AC$6)</f>
        <v>0</v>
      </c>
      <c r="S1557" s="9">
        <f>(Таблица1[[#This Row],[Размер кредита]]-21824)/(789096-21824)</f>
        <v>0.84688611079252207</v>
      </c>
      <c r="T1557" s="9">
        <f>(Таблица1[[#This Row],[Кредитный рейтинг]]-586)/(751-586)</f>
        <v>0.83030303030303032</v>
      </c>
      <c r="U1557" s="9">
        <f>Таблица1[[#This Row],[Ежемесячный платеж]]/(Таблица1[[#This Row],[Годовой доход]]/12)</f>
        <v>0.28780011711887565</v>
      </c>
    </row>
    <row r="1558" spans="1:21" x14ac:dyDescent="0.3">
      <c r="A1558">
        <v>1557</v>
      </c>
      <c r="B1558">
        <v>0</v>
      </c>
      <c r="C1558" s="9">
        <v>262790</v>
      </c>
      <c r="D1558">
        <v>728</v>
      </c>
      <c r="E1558" s="1">
        <v>756504</v>
      </c>
      <c r="F1558">
        <v>21</v>
      </c>
      <c r="G1558">
        <v>10339.040000000001</v>
      </c>
      <c r="H1558">
        <v>16</v>
      </c>
      <c r="I1558">
        <v>14</v>
      </c>
      <c r="J1558">
        <v>718694</v>
      </c>
      <c r="K1558">
        <v>1524138</v>
      </c>
      <c r="L1558" t="s">
        <v>24</v>
      </c>
      <c r="M1558" t="s">
        <v>1597</v>
      </c>
      <c r="N1558" t="s">
        <v>26</v>
      </c>
      <c r="O1558" t="s">
        <v>21</v>
      </c>
      <c r="P1558" t="s">
        <v>31</v>
      </c>
      <c r="Q1558" t="s">
        <v>36</v>
      </c>
      <c r="R1558" t="b">
        <f>OR(Таблица1[[#This Row],[Ежемесячный платеж]]&lt;$AC$5, Таблица1[[#This Row],[Ежемесячный платеж]]&gt;$AC$6)</f>
        <v>0</v>
      </c>
      <c r="S1558" s="9">
        <f>(Таблица1[[#This Row],[Размер кредита]]-21824)/(789096-21824)</f>
        <v>0.31405551095309098</v>
      </c>
      <c r="T1558" s="9">
        <f>(Таблица1[[#This Row],[Кредитный рейтинг]]-586)/(751-586)</f>
        <v>0.8606060606060606</v>
      </c>
      <c r="U1558" s="9">
        <f>Таблица1[[#This Row],[Ежемесячный платеж]]/(Таблица1[[#This Row],[Годовой доход]]/12)</f>
        <v>0.16400241109101871</v>
      </c>
    </row>
    <row r="1559" spans="1:21" x14ac:dyDescent="0.3">
      <c r="A1559">
        <v>1558</v>
      </c>
      <c r="B1559">
        <v>0</v>
      </c>
      <c r="D1559">
        <v>744</v>
      </c>
      <c r="E1559" s="1">
        <v>1232283</v>
      </c>
      <c r="F1559">
        <v>0</v>
      </c>
      <c r="G1559">
        <v>11193.28</v>
      </c>
      <c r="H1559">
        <v>14</v>
      </c>
      <c r="I1559">
        <v>7</v>
      </c>
      <c r="J1559">
        <v>203984</v>
      </c>
      <c r="K1559">
        <v>628188</v>
      </c>
      <c r="L1559" t="s">
        <v>50</v>
      </c>
      <c r="M1559" t="s">
        <v>1598</v>
      </c>
      <c r="N1559" t="s">
        <v>26</v>
      </c>
      <c r="O1559" t="s">
        <v>21</v>
      </c>
      <c r="P1559" t="s">
        <v>22</v>
      </c>
      <c r="Q1559" t="s">
        <v>23</v>
      </c>
      <c r="R1559" t="b">
        <f>OR(Таблица1[[#This Row],[Ежемесячный платеж]]&lt;$AC$5, Таблица1[[#This Row],[Ежемесячный платеж]]&gt;$AC$6)</f>
        <v>0</v>
      </c>
      <c r="T1559" s="9">
        <f>(Таблица1[[#This Row],[Кредитный рейтинг]]-586)/(751-586)</f>
        <v>0.95757575757575752</v>
      </c>
      <c r="U1559" s="9">
        <f>Таблица1[[#This Row],[Ежемесячный платеж]]/(Таблица1[[#This Row],[Годовой доход]]/12)</f>
        <v>0.10900041630047644</v>
      </c>
    </row>
    <row r="1560" spans="1:21" x14ac:dyDescent="0.3">
      <c r="A1560">
        <v>1559</v>
      </c>
      <c r="B1560">
        <v>0</v>
      </c>
      <c r="C1560" s="9">
        <v>292952</v>
      </c>
      <c r="D1560">
        <v>649</v>
      </c>
      <c r="E1560" s="1">
        <v>2062260</v>
      </c>
      <c r="F1560">
        <v>43</v>
      </c>
      <c r="G1560">
        <v>18388.580000000002</v>
      </c>
      <c r="H1560">
        <v>9.1</v>
      </c>
      <c r="I1560">
        <v>8</v>
      </c>
      <c r="J1560">
        <v>68780</v>
      </c>
      <c r="K1560">
        <v>143770</v>
      </c>
      <c r="L1560" t="s">
        <v>63</v>
      </c>
      <c r="M1560" t="s">
        <v>1599</v>
      </c>
      <c r="N1560" t="s">
        <v>20</v>
      </c>
      <c r="O1560" t="s">
        <v>21</v>
      </c>
      <c r="P1560" t="s">
        <v>31</v>
      </c>
      <c r="Q1560" t="s">
        <v>23</v>
      </c>
      <c r="R1560" t="b">
        <f>OR(Таблица1[[#This Row],[Ежемесячный платеж]]&lt;$AC$5, Таблица1[[#This Row],[Ежемесячный платеж]]&gt;$AC$6)</f>
        <v>0</v>
      </c>
      <c r="S1560" s="9">
        <f>(Таблица1[[#This Row],[Размер кредита]]-21824)/(789096-21824)</f>
        <v>0.35336621172152771</v>
      </c>
      <c r="T1560" s="9">
        <f>(Таблица1[[#This Row],[Кредитный рейтинг]]-586)/(751-586)</f>
        <v>0.38181818181818183</v>
      </c>
      <c r="U1560" s="9">
        <f>Таблица1[[#This Row],[Ежемесячный платеж]]/(Таблица1[[#This Row],[Годовой доход]]/12)</f>
        <v>0.10700055279159758</v>
      </c>
    </row>
    <row r="1561" spans="1:21" x14ac:dyDescent="0.3">
      <c r="A1561">
        <v>1560</v>
      </c>
      <c r="B1561">
        <v>0</v>
      </c>
      <c r="C1561" s="9">
        <v>380050</v>
      </c>
      <c r="D1561">
        <v>698</v>
      </c>
      <c r="E1561" s="1">
        <v>1520817</v>
      </c>
      <c r="F1561">
        <v>15</v>
      </c>
      <c r="G1561">
        <v>18249.689999999999</v>
      </c>
      <c r="H1561">
        <v>19.8</v>
      </c>
      <c r="I1561">
        <v>8</v>
      </c>
      <c r="J1561">
        <v>367802</v>
      </c>
      <c r="K1561">
        <v>835076</v>
      </c>
      <c r="L1561" t="s">
        <v>50</v>
      </c>
      <c r="M1561" t="s">
        <v>1600</v>
      </c>
      <c r="N1561" t="s">
        <v>26</v>
      </c>
      <c r="O1561" t="s">
        <v>34</v>
      </c>
      <c r="P1561" t="s">
        <v>31</v>
      </c>
      <c r="Q1561" t="s">
        <v>23</v>
      </c>
      <c r="R1561" t="b">
        <f>OR(Таблица1[[#This Row],[Ежемесячный платеж]]&lt;$AC$5, Таблица1[[#This Row],[Ежемесячный платеж]]&gt;$AC$6)</f>
        <v>0</v>
      </c>
      <c r="S1561" s="9">
        <f>(Таблица1[[#This Row],[Размер кредита]]-21824)/(789096-21824)</f>
        <v>0.46688267003096684</v>
      </c>
      <c r="T1561" s="9">
        <f>(Таблица1[[#This Row],[Кредитный рейтинг]]-586)/(751-586)</f>
        <v>0.67878787878787883</v>
      </c>
      <c r="U1561" s="9">
        <f>Таблица1[[#This Row],[Ежемесячный платеж]]/(Таблица1[[#This Row],[Годовой доход]]/12)</f>
        <v>0.1439991004834901</v>
      </c>
    </row>
    <row r="1562" spans="1:21" x14ac:dyDescent="0.3">
      <c r="A1562">
        <v>1561</v>
      </c>
      <c r="B1562">
        <v>0</v>
      </c>
      <c r="C1562" s="9">
        <v>360998</v>
      </c>
      <c r="D1562">
        <v>729</v>
      </c>
      <c r="E1562" s="1">
        <v>2319672</v>
      </c>
      <c r="F1562">
        <v>7</v>
      </c>
      <c r="G1562">
        <v>17126.98</v>
      </c>
      <c r="H1562">
        <v>23.4</v>
      </c>
      <c r="I1562">
        <v>9</v>
      </c>
      <c r="J1562">
        <v>175864</v>
      </c>
      <c r="K1562">
        <v>557898</v>
      </c>
      <c r="L1562" t="s">
        <v>63</v>
      </c>
      <c r="M1562" t="s">
        <v>1601</v>
      </c>
      <c r="N1562" t="s">
        <v>26</v>
      </c>
      <c r="O1562" t="s">
        <v>34</v>
      </c>
      <c r="P1562" t="s">
        <v>31</v>
      </c>
      <c r="Q1562" t="s">
        <v>23</v>
      </c>
      <c r="R1562" t="b">
        <f>OR(Таблица1[[#This Row],[Ежемесячный платеж]]&lt;$AC$5, Таблица1[[#This Row],[Ежемесячный платеж]]&gt;$AC$6)</f>
        <v>0</v>
      </c>
      <c r="S1562" s="9">
        <f>(Таблица1[[#This Row],[Размер кредита]]-21824)/(789096-21824)</f>
        <v>0.44205184080743204</v>
      </c>
      <c r="T1562" s="9">
        <f>(Таблица1[[#This Row],[Кредитный рейтинг]]-586)/(751-586)</f>
        <v>0.8666666666666667</v>
      </c>
      <c r="U1562" s="9">
        <f>Таблица1[[#This Row],[Ежемесячный платеж]]/(Таблица1[[#This Row],[Годовой доход]]/12)</f>
        <v>8.8600353843129545E-2</v>
      </c>
    </row>
    <row r="1563" spans="1:21" x14ac:dyDescent="0.3">
      <c r="A1563">
        <v>1562</v>
      </c>
      <c r="B1563">
        <v>0</v>
      </c>
      <c r="C1563" s="9">
        <v>768856</v>
      </c>
      <c r="D1563">
        <v>739</v>
      </c>
      <c r="E1563" s="1">
        <v>3737395</v>
      </c>
      <c r="F1563">
        <v>43</v>
      </c>
      <c r="G1563">
        <v>29026.87</v>
      </c>
      <c r="H1563">
        <v>19.7</v>
      </c>
      <c r="I1563">
        <v>10</v>
      </c>
      <c r="J1563">
        <v>130853</v>
      </c>
      <c r="K1563">
        <v>470514</v>
      </c>
      <c r="L1563" t="s">
        <v>47</v>
      </c>
      <c r="M1563" t="s">
        <v>1602</v>
      </c>
      <c r="N1563" t="s">
        <v>26</v>
      </c>
      <c r="O1563" t="s">
        <v>21</v>
      </c>
      <c r="P1563" t="s">
        <v>22</v>
      </c>
      <c r="Q1563" t="s">
        <v>23</v>
      </c>
      <c r="R1563" t="b">
        <f>OR(Таблица1[[#This Row],[Ежемесячный платеж]]&lt;$AC$5, Таблица1[[#This Row],[Ежемесячный платеж]]&gt;$AC$6)</f>
        <v>0</v>
      </c>
      <c r="S1563" s="9">
        <f>(Таблица1[[#This Row],[Размер кредита]]-21824)/(789096-21824)</f>
        <v>0.97362082807661432</v>
      </c>
      <c r="T1563" s="9">
        <f>(Таблица1[[#This Row],[Кредитный рейтинг]]-586)/(751-586)</f>
        <v>0.92727272727272725</v>
      </c>
      <c r="U1563" s="9">
        <f>Таблица1[[#This Row],[Ежемесячный платеж]]/(Таблица1[[#This Row],[Годовой доход]]/12)</f>
        <v>9.319925777179025E-2</v>
      </c>
    </row>
    <row r="1564" spans="1:21" x14ac:dyDescent="0.3">
      <c r="A1564">
        <v>1563</v>
      </c>
      <c r="B1564">
        <v>0</v>
      </c>
      <c r="D1564">
        <v>684</v>
      </c>
      <c r="E1564" s="1">
        <v>1239446</v>
      </c>
      <c r="F1564">
        <v>0</v>
      </c>
      <c r="G1564">
        <v>30159.84</v>
      </c>
      <c r="H1564">
        <v>8</v>
      </c>
      <c r="I1564">
        <v>13</v>
      </c>
      <c r="J1564">
        <v>287736</v>
      </c>
      <c r="K1564">
        <v>808676</v>
      </c>
      <c r="L1564" t="s">
        <v>29</v>
      </c>
      <c r="M1564" t="s">
        <v>1603</v>
      </c>
      <c r="N1564" t="s">
        <v>26</v>
      </c>
      <c r="O1564" t="s">
        <v>34</v>
      </c>
      <c r="P1564" t="s">
        <v>31</v>
      </c>
      <c r="Q1564" t="s">
        <v>23</v>
      </c>
      <c r="R1564" t="b">
        <f>OR(Таблица1[[#This Row],[Ежемесячный платеж]]&lt;$AC$5, Таблица1[[#This Row],[Ежемесячный платеж]]&gt;$AC$6)</f>
        <v>0</v>
      </c>
      <c r="T1564" s="9">
        <f>(Таблица1[[#This Row],[Кредитный рейтинг]]-586)/(751-586)</f>
        <v>0.59393939393939399</v>
      </c>
      <c r="U1564" s="9">
        <f>Таблица1[[#This Row],[Ежемесячный платеж]]/(Таблица1[[#This Row],[Годовой доход]]/12)</f>
        <v>0.29199987736456445</v>
      </c>
    </row>
    <row r="1565" spans="1:21" x14ac:dyDescent="0.3">
      <c r="A1565">
        <v>1564</v>
      </c>
      <c r="B1565">
        <v>0</v>
      </c>
      <c r="C1565" s="9">
        <v>354530</v>
      </c>
      <c r="D1565">
        <v>724</v>
      </c>
      <c r="E1565" s="1">
        <v>822890</v>
      </c>
      <c r="F1565">
        <v>0</v>
      </c>
      <c r="G1565">
        <v>15730.86</v>
      </c>
      <c r="H1565">
        <v>11</v>
      </c>
      <c r="I1565">
        <v>15</v>
      </c>
      <c r="J1565">
        <v>262637</v>
      </c>
      <c r="K1565">
        <v>1055912</v>
      </c>
      <c r="L1565" t="s">
        <v>32</v>
      </c>
      <c r="M1565" t="s">
        <v>1604</v>
      </c>
      <c r="N1565" t="s">
        <v>26</v>
      </c>
      <c r="O1565" t="s">
        <v>34</v>
      </c>
      <c r="P1565" t="s">
        <v>31</v>
      </c>
      <c r="Q1565" t="s">
        <v>23</v>
      </c>
      <c r="R1565" t="b">
        <f>OR(Таблица1[[#This Row],[Ежемесячный платеж]]&lt;$AC$5, Таблица1[[#This Row],[Ежемесячный платеж]]&gt;$AC$6)</f>
        <v>0</v>
      </c>
      <c r="S1565" s="9">
        <f>(Таблица1[[#This Row],[Размер кредита]]-21824)/(789096-21824)</f>
        <v>0.43362197499713268</v>
      </c>
      <c r="T1565" s="9">
        <f>(Таблица1[[#This Row],[Кредитный рейтинг]]-586)/(751-586)</f>
        <v>0.83636363636363631</v>
      </c>
      <c r="U1565" s="9">
        <f>Таблица1[[#This Row],[Ежемесячный платеж]]/(Таблица1[[#This Row],[Годовой доход]]/12)</f>
        <v>0.22939921496190255</v>
      </c>
    </row>
    <row r="1566" spans="1:21" x14ac:dyDescent="0.3">
      <c r="A1566">
        <v>1565</v>
      </c>
      <c r="B1566">
        <v>1</v>
      </c>
      <c r="C1566" s="9">
        <v>218350</v>
      </c>
      <c r="D1566">
        <v>676</v>
      </c>
      <c r="E1566" s="1">
        <v>1282310</v>
      </c>
      <c r="F1566">
        <v>0</v>
      </c>
      <c r="G1566">
        <v>7020.69</v>
      </c>
      <c r="H1566">
        <v>16.899999999999999</v>
      </c>
      <c r="I1566">
        <v>8</v>
      </c>
      <c r="J1566">
        <v>232617</v>
      </c>
      <c r="K1566">
        <v>406252</v>
      </c>
      <c r="L1566" t="s">
        <v>32</v>
      </c>
      <c r="M1566" t="s">
        <v>1605</v>
      </c>
      <c r="N1566" t="s">
        <v>26</v>
      </c>
      <c r="O1566" t="s">
        <v>34</v>
      </c>
      <c r="P1566" t="s">
        <v>31</v>
      </c>
      <c r="Q1566" t="s">
        <v>23</v>
      </c>
      <c r="R1566" t="b">
        <f>OR(Таблица1[[#This Row],[Ежемесячный платеж]]&lt;$AC$5, Таблица1[[#This Row],[Ежемесячный платеж]]&gt;$AC$6)</f>
        <v>0</v>
      </c>
      <c r="S1566" s="9">
        <f>(Таблица1[[#This Row],[Размер кредита]]-21824)/(789096-21824)</f>
        <v>0.25613602477348318</v>
      </c>
      <c r="T1566" s="9">
        <f>(Таблица1[[#This Row],[Кредитный рейтинг]]-586)/(751-586)</f>
        <v>0.54545454545454541</v>
      </c>
      <c r="U1566" s="9">
        <f>Таблица1[[#This Row],[Ежемесячный платеж]]/(Таблица1[[#This Row],[Годовой доход]]/12)</f>
        <v>6.5700400059268027E-2</v>
      </c>
    </row>
    <row r="1567" spans="1:21" x14ac:dyDescent="0.3">
      <c r="A1567">
        <v>1566</v>
      </c>
      <c r="B1567">
        <v>0</v>
      </c>
      <c r="D1567">
        <v>703</v>
      </c>
      <c r="E1567" s="1">
        <v>844056</v>
      </c>
      <c r="F1567">
        <v>0</v>
      </c>
      <c r="G1567">
        <v>13927</v>
      </c>
      <c r="H1567">
        <v>28.6</v>
      </c>
      <c r="I1567">
        <v>13</v>
      </c>
      <c r="J1567">
        <v>368353</v>
      </c>
      <c r="K1567">
        <v>478676</v>
      </c>
      <c r="L1567" t="s">
        <v>24</v>
      </c>
      <c r="M1567" t="s">
        <v>1606</v>
      </c>
      <c r="N1567" t="s">
        <v>26</v>
      </c>
      <c r="O1567" t="s">
        <v>21</v>
      </c>
      <c r="P1567" t="s">
        <v>22</v>
      </c>
      <c r="Q1567" t="s">
        <v>23</v>
      </c>
      <c r="R1567" t="b">
        <f>OR(Таблица1[[#This Row],[Ежемесячный платеж]]&lt;$AC$5, Таблица1[[#This Row],[Ежемесячный платеж]]&gt;$AC$6)</f>
        <v>0</v>
      </c>
      <c r="T1567" s="9">
        <f>(Таблица1[[#This Row],[Кредитный рейтинг]]-586)/(751-586)</f>
        <v>0.70909090909090911</v>
      </c>
      <c r="U1567" s="9">
        <f>Таблица1[[#This Row],[Ежемесячный платеж]]/(Таблица1[[#This Row],[Годовой доход]]/12)</f>
        <v>0.19800108049702864</v>
      </c>
    </row>
    <row r="1568" spans="1:21" x14ac:dyDescent="0.3">
      <c r="A1568">
        <v>1567</v>
      </c>
      <c r="B1568">
        <v>0</v>
      </c>
      <c r="C1568" s="9">
        <v>112904</v>
      </c>
      <c r="D1568">
        <v>749</v>
      </c>
      <c r="E1568" s="1">
        <v>1337353</v>
      </c>
      <c r="F1568">
        <v>0</v>
      </c>
      <c r="G1568">
        <v>12259.18</v>
      </c>
      <c r="H1568">
        <v>11.5</v>
      </c>
      <c r="I1568">
        <v>5</v>
      </c>
      <c r="J1568">
        <v>67735</v>
      </c>
      <c r="K1568">
        <v>122540</v>
      </c>
      <c r="L1568" t="s">
        <v>32</v>
      </c>
      <c r="M1568" t="s">
        <v>1607</v>
      </c>
      <c r="N1568" t="s">
        <v>26</v>
      </c>
      <c r="O1568" t="s">
        <v>21</v>
      </c>
      <c r="P1568" t="s">
        <v>22</v>
      </c>
      <c r="Q1568" t="s">
        <v>23</v>
      </c>
      <c r="R1568" t="b">
        <f>OR(Таблица1[[#This Row],[Ежемесячный платеж]]&lt;$AC$5, Таблица1[[#This Row],[Ежемесячный платеж]]&gt;$AC$6)</f>
        <v>0</v>
      </c>
      <c r="S1568" s="9">
        <f>(Таблица1[[#This Row],[Размер кредита]]-21824)/(789096-21824)</f>
        <v>0.11870627365523569</v>
      </c>
      <c r="T1568" s="9">
        <f>(Таблица1[[#This Row],[Кредитный рейтинг]]-586)/(751-586)</f>
        <v>0.98787878787878791</v>
      </c>
      <c r="U1568" s="9">
        <f>Таблица1[[#This Row],[Ежемесячный платеж]]/(Таблица1[[#This Row],[Годовой доход]]/12)</f>
        <v>0.11000099450182563</v>
      </c>
    </row>
    <row r="1569" spans="1:21" x14ac:dyDescent="0.3">
      <c r="A1569">
        <v>1568</v>
      </c>
      <c r="B1569">
        <v>0</v>
      </c>
      <c r="D1569">
        <v>743</v>
      </c>
      <c r="E1569" s="1">
        <v>920626</v>
      </c>
      <c r="F1569">
        <v>0</v>
      </c>
      <c r="G1569">
        <v>10126.81</v>
      </c>
      <c r="H1569">
        <v>30.2</v>
      </c>
      <c r="I1569">
        <v>5</v>
      </c>
      <c r="J1569">
        <v>197752</v>
      </c>
      <c r="K1569">
        <v>429616</v>
      </c>
      <c r="L1569" t="s">
        <v>24</v>
      </c>
      <c r="M1569" t="s">
        <v>1608</v>
      </c>
      <c r="N1569" t="s">
        <v>20</v>
      </c>
      <c r="O1569" t="s">
        <v>34</v>
      </c>
      <c r="P1569" t="s">
        <v>22</v>
      </c>
      <c r="Q1569" t="s">
        <v>23</v>
      </c>
      <c r="R1569" t="b">
        <f>OR(Таблица1[[#This Row],[Ежемесячный платеж]]&lt;$AC$5, Таблица1[[#This Row],[Ежемесячный платеж]]&gt;$AC$6)</f>
        <v>0</v>
      </c>
      <c r="T1569" s="9">
        <f>(Таблица1[[#This Row],[Кредитный рейтинг]]-586)/(751-586)</f>
        <v>0.95151515151515154</v>
      </c>
      <c r="U1569" s="9">
        <f>Таблица1[[#This Row],[Ежемесячный платеж]]/(Таблица1[[#This Row],[Годовой доход]]/12)</f>
        <v>0.13199900936971148</v>
      </c>
    </row>
    <row r="1570" spans="1:21" x14ac:dyDescent="0.3">
      <c r="A1570">
        <v>1569</v>
      </c>
      <c r="B1570">
        <v>0</v>
      </c>
      <c r="C1570" s="9">
        <v>244310</v>
      </c>
      <c r="D1570">
        <v>743</v>
      </c>
      <c r="E1570" s="1">
        <v>1216361</v>
      </c>
      <c r="F1570">
        <v>44</v>
      </c>
      <c r="G1570">
        <v>24732.49</v>
      </c>
      <c r="H1570">
        <v>28</v>
      </c>
      <c r="I1570">
        <v>19</v>
      </c>
      <c r="J1570">
        <v>334267</v>
      </c>
      <c r="K1570">
        <v>716760</v>
      </c>
      <c r="L1570" t="s">
        <v>69</v>
      </c>
      <c r="M1570" t="s">
        <v>1609</v>
      </c>
      <c r="N1570" t="s">
        <v>26</v>
      </c>
      <c r="O1570" t="s">
        <v>34</v>
      </c>
      <c r="P1570" t="s">
        <v>22</v>
      </c>
      <c r="Q1570" t="s">
        <v>23</v>
      </c>
      <c r="R1570" t="b">
        <f>OR(Таблица1[[#This Row],[Ежемесячный платеж]]&lt;$AC$5, Таблица1[[#This Row],[Ежемесячный платеж]]&gt;$AC$6)</f>
        <v>0</v>
      </c>
      <c r="S1570" s="9">
        <f>(Таблица1[[#This Row],[Размер кредита]]-21824)/(789096-21824)</f>
        <v>0.28997018006652137</v>
      </c>
      <c r="T1570" s="9">
        <f>(Таблица1[[#This Row],[Кредитный рейтинг]]-586)/(751-586)</f>
        <v>0.95151515151515154</v>
      </c>
      <c r="U1570" s="9">
        <f>Таблица1[[#This Row],[Ежемесячный платеж]]/(Таблица1[[#This Row],[Годовой доход]]/12)</f>
        <v>0.24399818803792625</v>
      </c>
    </row>
    <row r="1571" spans="1:21" x14ac:dyDescent="0.3">
      <c r="A1571">
        <v>1570</v>
      </c>
      <c r="B1571">
        <v>0</v>
      </c>
      <c r="C1571" s="9">
        <v>118184</v>
      </c>
      <c r="D1571">
        <v>704</v>
      </c>
      <c r="E1571" s="1">
        <v>286330</v>
      </c>
      <c r="F1571">
        <v>38</v>
      </c>
      <c r="G1571">
        <v>7349.01</v>
      </c>
      <c r="H1571">
        <v>13</v>
      </c>
      <c r="I1571">
        <v>6</v>
      </c>
      <c r="J1571">
        <v>164483</v>
      </c>
      <c r="K1571">
        <v>278454</v>
      </c>
      <c r="L1571" t="s">
        <v>37</v>
      </c>
      <c r="M1571" t="s">
        <v>1610</v>
      </c>
      <c r="N1571" t="s">
        <v>26</v>
      </c>
      <c r="O1571" t="s">
        <v>34</v>
      </c>
      <c r="P1571" t="s">
        <v>22</v>
      </c>
      <c r="Q1571" t="s">
        <v>23</v>
      </c>
      <c r="R1571" t="b">
        <f>OR(Таблица1[[#This Row],[Ежемесячный платеж]]&lt;$AC$5, Таблица1[[#This Row],[Ежемесячный платеж]]&gt;$AC$6)</f>
        <v>0</v>
      </c>
      <c r="S1571" s="9">
        <f>(Таблица1[[#This Row],[Размер кредита]]-21824)/(789096-21824)</f>
        <v>0.12558779676568413</v>
      </c>
      <c r="T1571" s="9">
        <f>(Таблица1[[#This Row],[Кредитный рейтинг]]-586)/(751-586)</f>
        <v>0.7151515151515152</v>
      </c>
      <c r="U1571" s="9">
        <f>Таблица1[[#This Row],[Ежемесячный платеж]]/(Таблица1[[#This Row],[Годовой доход]]/12)</f>
        <v>0.30799469143994695</v>
      </c>
    </row>
    <row r="1572" spans="1:21" x14ac:dyDescent="0.3">
      <c r="A1572">
        <v>1571</v>
      </c>
      <c r="B1572">
        <v>1</v>
      </c>
      <c r="C1572" s="9">
        <v>68244</v>
      </c>
      <c r="D1572">
        <v>740</v>
      </c>
      <c r="E1572" s="1">
        <v>1871310</v>
      </c>
      <c r="F1572">
        <v>14</v>
      </c>
      <c r="G1572">
        <v>2744.74</v>
      </c>
      <c r="H1572">
        <v>20.7</v>
      </c>
      <c r="I1572">
        <v>6</v>
      </c>
      <c r="J1572">
        <v>64125</v>
      </c>
      <c r="K1572">
        <v>160380</v>
      </c>
      <c r="L1572" t="s">
        <v>52</v>
      </c>
      <c r="M1572" t="s">
        <v>1611</v>
      </c>
      <c r="N1572" t="s">
        <v>26</v>
      </c>
      <c r="O1572" t="s">
        <v>28</v>
      </c>
      <c r="P1572" t="s">
        <v>22</v>
      </c>
      <c r="Q1572" t="s">
        <v>23</v>
      </c>
      <c r="R1572" t="b">
        <f>OR(Таблица1[[#This Row],[Ежемесячный платеж]]&lt;$AC$5, Таблица1[[#This Row],[Ежемесячный платеж]]&gt;$AC$6)</f>
        <v>0</v>
      </c>
      <c r="S1572" s="9">
        <f>(Таблица1[[#This Row],[Размер кредита]]-21824)/(789096-21824)</f>
        <v>6.0500057346025919E-2</v>
      </c>
      <c r="T1572" s="9">
        <f>(Таблица1[[#This Row],[Кредитный рейтинг]]-586)/(751-586)</f>
        <v>0.93333333333333335</v>
      </c>
      <c r="U1572" s="9">
        <f>Таблица1[[#This Row],[Ежемесячный платеж]]/(Таблица1[[#This Row],[Годовой доход]]/12)</f>
        <v>1.7600974718245507E-2</v>
      </c>
    </row>
    <row r="1573" spans="1:21" x14ac:dyDescent="0.3">
      <c r="A1573">
        <v>1572</v>
      </c>
      <c r="B1573">
        <v>1</v>
      </c>
      <c r="C1573" s="9">
        <v>319572</v>
      </c>
      <c r="D1573">
        <f>$Y$13</f>
        <v>723</v>
      </c>
      <c r="E1573">
        <f>$AB$13</f>
        <v>1168044</v>
      </c>
      <c r="F1573">
        <v>0</v>
      </c>
      <c r="G1573">
        <v>33020.86</v>
      </c>
      <c r="H1573">
        <v>19.100000000000001</v>
      </c>
      <c r="I1573">
        <v>16</v>
      </c>
      <c r="J1573">
        <v>178600</v>
      </c>
      <c r="K1573">
        <v>408672</v>
      </c>
      <c r="L1573" t="s">
        <v>24</v>
      </c>
      <c r="M1573" t="s">
        <v>1612</v>
      </c>
      <c r="N1573" t="s">
        <v>26</v>
      </c>
      <c r="O1573" t="s">
        <v>21</v>
      </c>
      <c r="P1573" t="s">
        <v>31</v>
      </c>
      <c r="Q1573" t="s">
        <v>23</v>
      </c>
      <c r="R1573" t="b">
        <f>OR(Таблица1[[#This Row],[Ежемесячный платеж]]&lt;$AC$5, Таблица1[[#This Row],[Ежемесячный платеж]]&gt;$AC$6)</f>
        <v>0</v>
      </c>
      <c r="S1573" s="9">
        <f>(Таблица1[[#This Row],[Размер кредита]]-21824)/(789096-21824)</f>
        <v>0.38806055740337192</v>
      </c>
      <c r="T1573" s="9">
        <f>(Таблица1[[#This Row],[Кредитный рейтинг]]-586)/(751-586)</f>
        <v>0.83030303030303032</v>
      </c>
      <c r="U1573" s="9">
        <f>Таблица1[[#This Row],[Ежемесячный платеж]]/(Таблица1[[#This Row],[Годовой доход]]/12)</f>
        <v>0.33924263127073978</v>
      </c>
    </row>
    <row r="1574" spans="1:21" x14ac:dyDescent="0.3">
      <c r="A1574">
        <v>1573</v>
      </c>
      <c r="B1574">
        <v>0</v>
      </c>
      <c r="C1574" s="9">
        <v>422092</v>
      </c>
      <c r="D1574">
        <v>723</v>
      </c>
      <c r="E1574" s="1">
        <v>1013384</v>
      </c>
      <c r="F1574">
        <v>65</v>
      </c>
      <c r="G1574">
        <v>11653.84</v>
      </c>
      <c r="H1574">
        <v>29</v>
      </c>
      <c r="I1574">
        <v>9</v>
      </c>
      <c r="J1574">
        <v>412680</v>
      </c>
      <c r="K1574">
        <v>651882</v>
      </c>
      <c r="L1574" t="s">
        <v>24</v>
      </c>
      <c r="M1574" t="s">
        <v>1613</v>
      </c>
      <c r="N1574" t="s">
        <v>26</v>
      </c>
      <c r="O1574" t="s">
        <v>34</v>
      </c>
      <c r="P1574" t="s">
        <v>22</v>
      </c>
      <c r="Q1574" t="s">
        <v>23</v>
      </c>
      <c r="R1574" t="b">
        <f>OR(Таблица1[[#This Row],[Ежемесячный платеж]]&lt;$AC$5, Таблица1[[#This Row],[Ежемесячный платеж]]&gt;$AC$6)</f>
        <v>0</v>
      </c>
      <c r="S1574" s="9">
        <f>(Таблица1[[#This Row],[Размер кредита]]-21824)/(789096-21824)</f>
        <v>0.52167679779791265</v>
      </c>
      <c r="T1574" s="9">
        <f>(Таблица1[[#This Row],[Кредитный рейтинг]]-586)/(751-586)</f>
        <v>0.83030303030303032</v>
      </c>
      <c r="U1574" s="9">
        <f>Таблица1[[#This Row],[Ежемесячный платеж]]/(Таблица1[[#This Row],[Годовой доход]]/12)</f>
        <v>0.13799910004499774</v>
      </c>
    </row>
    <row r="1575" spans="1:21" x14ac:dyDescent="0.3">
      <c r="A1575">
        <v>1574</v>
      </c>
      <c r="B1575">
        <v>1</v>
      </c>
      <c r="C1575" s="9">
        <v>67320</v>
      </c>
      <c r="D1575">
        <f>$Y$13</f>
        <v>723</v>
      </c>
      <c r="E1575">
        <f>$AB$13</f>
        <v>1168044</v>
      </c>
      <c r="F1575">
        <v>0</v>
      </c>
      <c r="G1575">
        <v>7031.9</v>
      </c>
      <c r="H1575">
        <v>16.7</v>
      </c>
      <c r="I1575">
        <v>8</v>
      </c>
      <c r="J1575">
        <v>95</v>
      </c>
      <c r="K1575">
        <v>112222</v>
      </c>
      <c r="L1575" t="s">
        <v>52</v>
      </c>
      <c r="M1575" t="s">
        <v>1614</v>
      </c>
      <c r="N1575" t="s">
        <v>68</v>
      </c>
      <c r="O1575" t="s">
        <v>34</v>
      </c>
      <c r="P1575" t="s">
        <v>22</v>
      </c>
      <c r="Q1575" t="s">
        <v>36</v>
      </c>
      <c r="R1575" t="b">
        <f>OR(Таблица1[[#This Row],[Ежемесячный платеж]]&lt;$AC$5, Таблица1[[#This Row],[Ежемесячный платеж]]&gt;$AC$6)</f>
        <v>0</v>
      </c>
      <c r="S1575" s="9">
        <f>(Таблица1[[#This Row],[Размер кредита]]-21824)/(789096-21824)</f>
        <v>5.9295790801697446E-2</v>
      </c>
      <c r="T1575" s="9">
        <f>(Таблица1[[#This Row],[Кредитный рейтинг]]-586)/(751-586)</f>
        <v>0.83030303030303032</v>
      </c>
      <c r="U1575" s="9">
        <f>Таблица1[[#This Row],[Ежемесячный платеж]]/(Таблица1[[#This Row],[Годовой доход]]/12)</f>
        <v>7.2242826468865901E-2</v>
      </c>
    </row>
    <row r="1576" spans="1:21" x14ac:dyDescent="0.3">
      <c r="A1576">
        <v>1575</v>
      </c>
      <c r="B1576">
        <v>0</v>
      </c>
      <c r="C1576" s="9">
        <v>343486</v>
      </c>
      <c r="D1576">
        <v>751</v>
      </c>
      <c r="E1576" s="1">
        <v>6489070</v>
      </c>
      <c r="F1576">
        <v>0</v>
      </c>
      <c r="G1576">
        <v>3785.37</v>
      </c>
      <c r="H1576">
        <v>15.4</v>
      </c>
      <c r="I1576">
        <v>11</v>
      </c>
      <c r="J1576">
        <v>38019</v>
      </c>
      <c r="K1576">
        <v>285912</v>
      </c>
      <c r="L1576" t="s">
        <v>32</v>
      </c>
      <c r="M1576" t="s">
        <v>1615</v>
      </c>
      <c r="N1576" t="s">
        <v>68</v>
      </c>
      <c r="O1576" t="s">
        <v>21</v>
      </c>
      <c r="P1576" t="s">
        <v>22</v>
      </c>
      <c r="Q1576" t="s">
        <v>23</v>
      </c>
      <c r="R1576" t="b">
        <f>OR(Таблица1[[#This Row],[Ежемесячный платеж]]&lt;$AC$5, Таблица1[[#This Row],[Ежемесячный платеж]]&gt;$AC$6)</f>
        <v>0</v>
      </c>
      <c r="S1576" s="9">
        <f>(Таблица1[[#This Row],[Размер кредита]]-21824)/(789096-21824)</f>
        <v>0.41922812249111135</v>
      </c>
      <c r="T1576" s="9">
        <f>(Таблица1[[#This Row],[Кредитный рейтинг]]-586)/(751-586)</f>
        <v>1</v>
      </c>
      <c r="U1576" s="9">
        <f>Таблица1[[#This Row],[Ежемесячный платеж]]/(Таблица1[[#This Row],[Годовой доход]]/12)</f>
        <v>7.0001464000234229E-3</v>
      </c>
    </row>
    <row r="1577" spans="1:21" x14ac:dyDescent="0.3">
      <c r="A1577">
        <v>1576</v>
      </c>
      <c r="B1577">
        <v>0</v>
      </c>
      <c r="C1577" s="9">
        <v>132814</v>
      </c>
      <c r="D1577">
        <v>717</v>
      </c>
      <c r="E1577" s="1">
        <v>1022523</v>
      </c>
      <c r="F1577">
        <v>25</v>
      </c>
      <c r="G1577">
        <v>26074.27</v>
      </c>
      <c r="H1577">
        <v>14.9</v>
      </c>
      <c r="I1577">
        <v>12</v>
      </c>
      <c r="J1577">
        <v>94411</v>
      </c>
      <c r="K1577">
        <v>153098</v>
      </c>
      <c r="L1577" t="s">
        <v>24</v>
      </c>
      <c r="M1577" t="s">
        <v>1616</v>
      </c>
      <c r="N1577" t="s">
        <v>20</v>
      </c>
      <c r="O1577" t="s">
        <v>21</v>
      </c>
      <c r="P1577" t="s">
        <v>22</v>
      </c>
      <c r="Q1577" t="s">
        <v>36</v>
      </c>
      <c r="R1577" t="b">
        <f>OR(Таблица1[[#This Row],[Ежемесячный платеж]]&lt;$AC$5, Таблица1[[#This Row],[Ежемесячный платеж]]&gt;$AC$6)</f>
        <v>0</v>
      </c>
      <c r="S1577" s="9">
        <f>(Таблица1[[#This Row],[Размер кредита]]-21824)/(789096-21824)</f>
        <v>0.14465535038421837</v>
      </c>
      <c r="T1577" s="9">
        <f>(Таблица1[[#This Row],[Кредитный рейтинг]]-586)/(751-586)</f>
        <v>0.79393939393939394</v>
      </c>
      <c r="U1577" s="9">
        <f>Таблица1[[#This Row],[Ежемесячный платеж]]/(Таблица1[[#This Row],[Годовой доход]]/12)</f>
        <v>0.30599921957745696</v>
      </c>
    </row>
    <row r="1578" spans="1:21" x14ac:dyDescent="0.3">
      <c r="A1578">
        <v>1577</v>
      </c>
      <c r="B1578">
        <v>0</v>
      </c>
      <c r="C1578" s="9">
        <v>218416</v>
      </c>
      <c r="D1578">
        <v>716</v>
      </c>
      <c r="E1578" s="1">
        <v>867711</v>
      </c>
      <c r="F1578">
        <v>31</v>
      </c>
      <c r="G1578">
        <v>12798.59</v>
      </c>
      <c r="H1578">
        <v>12.4</v>
      </c>
      <c r="I1578">
        <v>12</v>
      </c>
      <c r="J1578">
        <v>93138</v>
      </c>
      <c r="K1578">
        <v>194326</v>
      </c>
      <c r="L1578" t="s">
        <v>47</v>
      </c>
      <c r="M1578" t="s">
        <v>1617</v>
      </c>
      <c r="N1578" t="s">
        <v>26</v>
      </c>
      <c r="O1578" t="s">
        <v>21</v>
      </c>
      <c r="P1578" t="s">
        <v>22</v>
      </c>
      <c r="Q1578" t="s">
        <v>23</v>
      </c>
      <c r="R1578" t="b">
        <f>OR(Таблица1[[#This Row],[Ежемесячный платеж]]&lt;$AC$5, Таблица1[[#This Row],[Ежемесячный платеж]]&gt;$AC$6)</f>
        <v>0</v>
      </c>
      <c r="S1578" s="9">
        <f>(Таблица1[[#This Row],[Размер кредита]]-21824)/(789096-21824)</f>
        <v>0.2562220438123638</v>
      </c>
      <c r="T1578" s="9">
        <f>(Таблица1[[#This Row],[Кредитный рейтинг]]-586)/(751-586)</f>
        <v>0.78787878787878785</v>
      </c>
      <c r="U1578" s="9">
        <f>Таблица1[[#This Row],[Ежемесячный платеж]]/(Таблица1[[#This Row],[Годовой доход]]/12)</f>
        <v>0.17699796360769887</v>
      </c>
    </row>
    <row r="1579" spans="1:21" x14ac:dyDescent="0.3">
      <c r="A1579">
        <v>1578</v>
      </c>
      <c r="B1579">
        <v>0</v>
      </c>
      <c r="C1579" s="9">
        <v>436788</v>
      </c>
      <c r="D1579">
        <v>720</v>
      </c>
      <c r="E1579" s="1">
        <v>980780</v>
      </c>
      <c r="F1579">
        <v>29</v>
      </c>
      <c r="G1579">
        <v>7691.01</v>
      </c>
      <c r="H1579">
        <v>18</v>
      </c>
      <c r="I1579">
        <v>6</v>
      </c>
      <c r="J1579">
        <v>343748</v>
      </c>
      <c r="K1579">
        <v>510928</v>
      </c>
      <c r="L1579" t="s">
        <v>63</v>
      </c>
      <c r="M1579" t="s">
        <v>1618</v>
      </c>
      <c r="N1579" t="s">
        <v>26</v>
      </c>
      <c r="O1579" t="s">
        <v>34</v>
      </c>
      <c r="P1579" t="s">
        <v>31</v>
      </c>
      <c r="Q1579" t="s">
        <v>23</v>
      </c>
      <c r="R1579" t="b">
        <f>OR(Таблица1[[#This Row],[Ежемесячный платеж]]&lt;$AC$5, Таблица1[[#This Row],[Ежемесячный платеж]]&gt;$AC$6)</f>
        <v>0</v>
      </c>
      <c r="S1579" s="9">
        <f>(Таблица1[[#This Row],[Размер кредита]]-21824)/(789096-21824)</f>
        <v>0.54083037045532745</v>
      </c>
      <c r="T1579" s="9">
        <f>(Таблица1[[#This Row],[Кредитный рейтинг]]-586)/(751-586)</f>
        <v>0.81212121212121213</v>
      </c>
      <c r="U1579" s="9">
        <f>Таблица1[[#This Row],[Ежемесячный платеж]]/(Таблица1[[#This Row],[Годовой доход]]/12)</f>
        <v>9.4100736148779535E-2</v>
      </c>
    </row>
    <row r="1580" spans="1:21" x14ac:dyDescent="0.3">
      <c r="A1580">
        <v>1579</v>
      </c>
      <c r="B1580">
        <v>0</v>
      </c>
      <c r="D1580">
        <v>738</v>
      </c>
      <c r="E1580" s="1">
        <v>792490</v>
      </c>
      <c r="F1580">
        <v>0</v>
      </c>
      <c r="G1580">
        <v>7990.83</v>
      </c>
      <c r="H1580">
        <v>11.6</v>
      </c>
      <c r="I1580">
        <v>6</v>
      </c>
      <c r="J1580">
        <v>238925</v>
      </c>
      <c r="K1580">
        <v>366894</v>
      </c>
      <c r="L1580" t="s">
        <v>69</v>
      </c>
      <c r="M1580" t="s">
        <v>1619</v>
      </c>
      <c r="N1580" t="s">
        <v>26</v>
      </c>
      <c r="O1580" t="s">
        <v>34</v>
      </c>
      <c r="P1580" t="s">
        <v>22</v>
      </c>
      <c r="Q1580" t="s">
        <v>23</v>
      </c>
      <c r="R1580" t="b">
        <f>OR(Таблица1[[#This Row],[Ежемесячный платеж]]&lt;$AC$5, Таблица1[[#This Row],[Ежемесячный платеж]]&gt;$AC$6)</f>
        <v>0</v>
      </c>
      <c r="T1580" s="9">
        <f>(Таблица1[[#This Row],[Кредитный рейтинг]]-586)/(751-586)</f>
        <v>0.92121212121212126</v>
      </c>
      <c r="U1580" s="9">
        <f>Таблица1[[#This Row],[Ежемесячный платеж]]/(Таблица1[[#This Row],[Годовой доход]]/12)</f>
        <v>0.1209983217453848</v>
      </c>
    </row>
    <row r="1581" spans="1:21" x14ac:dyDescent="0.3">
      <c r="A1581">
        <v>1580</v>
      </c>
      <c r="B1581">
        <v>0</v>
      </c>
      <c r="C1581" s="9">
        <v>43890</v>
      </c>
      <c r="D1581">
        <v>749</v>
      </c>
      <c r="E1581" s="1">
        <v>1326808</v>
      </c>
      <c r="F1581">
        <v>0</v>
      </c>
      <c r="G1581">
        <v>6269.24</v>
      </c>
      <c r="H1581">
        <v>33.5</v>
      </c>
      <c r="I1581">
        <v>19</v>
      </c>
      <c r="J1581">
        <v>92625</v>
      </c>
      <c r="K1581">
        <v>957638</v>
      </c>
      <c r="L1581" t="s">
        <v>63</v>
      </c>
      <c r="M1581" t="s">
        <v>1620</v>
      </c>
      <c r="N1581" t="s">
        <v>68</v>
      </c>
      <c r="O1581" t="s">
        <v>21</v>
      </c>
      <c r="P1581" t="s">
        <v>22</v>
      </c>
      <c r="Q1581" t="s">
        <v>23</v>
      </c>
      <c r="R1581" t="b">
        <f>OR(Таблица1[[#This Row],[Ежемесячный платеж]]&lt;$AC$5, Таблица1[[#This Row],[Ежемесячный платеж]]&gt;$AC$6)</f>
        <v>0</v>
      </c>
      <c r="S1581" s="9">
        <f>(Таблица1[[#This Row],[Размер кредита]]-21824)/(789096-21824)</f>
        <v>2.8759031999082463E-2</v>
      </c>
      <c r="T1581" s="9">
        <f>(Таблица1[[#This Row],[Кредитный рейтинг]]-586)/(751-586)</f>
        <v>0.98787878787878791</v>
      </c>
      <c r="U1581" s="9">
        <f>Таблица1[[#This Row],[Ежемесячный платеж]]/(Таблица1[[#This Row],[Годовой доход]]/12)</f>
        <v>5.6700652995761255E-2</v>
      </c>
    </row>
    <row r="1582" spans="1:21" x14ac:dyDescent="0.3">
      <c r="A1582">
        <v>1581</v>
      </c>
      <c r="B1582">
        <v>0</v>
      </c>
      <c r="C1582" s="9">
        <v>173646</v>
      </c>
      <c r="D1582">
        <v>710</v>
      </c>
      <c r="E1582" s="1">
        <v>875026</v>
      </c>
      <c r="F1582">
        <v>19</v>
      </c>
      <c r="G1582">
        <v>13949.61</v>
      </c>
      <c r="H1582">
        <v>21.4</v>
      </c>
      <c r="I1582">
        <v>11</v>
      </c>
      <c r="J1582">
        <v>112176</v>
      </c>
      <c r="K1582">
        <v>195294</v>
      </c>
      <c r="L1582" t="s">
        <v>69</v>
      </c>
      <c r="M1582" t="s">
        <v>1621</v>
      </c>
      <c r="N1582" t="s">
        <v>26</v>
      </c>
      <c r="O1582" t="s">
        <v>21</v>
      </c>
      <c r="P1582" t="s">
        <v>22</v>
      </c>
      <c r="Q1582" t="s">
        <v>23</v>
      </c>
      <c r="R1582" t="b">
        <f>OR(Таблица1[[#This Row],[Ежемесячный платеж]]&lt;$AC$5, Таблица1[[#This Row],[Ежемесячный платеж]]&gt;$AC$6)</f>
        <v>0</v>
      </c>
      <c r="S1582" s="9">
        <f>(Таблица1[[#This Row],[Размер кредита]]-21824)/(789096-21824)</f>
        <v>0.19787246243835302</v>
      </c>
      <c r="T1582" s="9">
        <f>(Таблица1[[#This Row],[Кредитный рейтинг]]-586)/(751-586)</f>
        <v>0.75151515151515147</v>
      </c>
      <c r="U1582" s="9">
        <f>Таблица1[[#This Row],[Ежемесячный платеж]]/(Таблица1[[#This Row],[Годовой доход]]/12)</f>
        <v>0.19130325270334828</v>
      </c>
    </row>
    <row r="1583" spans="1:21" x14ac:dyDescent="0.3">
      <c r="A1583">
        <v>1582</v>
      </c>
      <c r="B1583">
        <v>0</v>
      </c>
      <c r="C1583" s="9">
        <v>438372</v>
      </c>
      <c r="D1583">
        <v>737</v>
      </c>
      <c r="E1583" s="1">
        <v>1703673</v>
      </c>
      <c r="F1583">
        <v>14</v>
      </c>
      <c r="G1583">
        <v>18314.48</v>
      </c>
      <c r="H1583">
        <v>18</v>
      </c>
      <c r="I1583">
        <v>17</v>
      </c>
      <c r="J1583">
        <v>287527</v>
      </c>
      <c r="K1583">
        <v>545776</v>
      </c>
      <c r="L1583" t="s">
        <v>24</v>
      </c>
      <c r="M1583" t="s">
        <v>1622</v>
      </c>
      <c r="N1583" t="s">
        <v>26</v>
      </c>
      <c r="O1583" t="s">
        <v>21</v>
      </c>
      <c r="P1583" t="s">
        <v>22</v>
      </c>
      <c r="Q1583" t="s">
        <v>23</v>
      </c>
      <c r="R1583" t="b">
        <f>OR(Таблица1[[#This Row],[Ежемесячный платеж]]&lt;$AC$5, Таблица1[[#This Row],[Ежемесячный платеж]]&gt;$AC$6)</f>
        <v>0</v>
      </c>
      <c r="S1583" s="9">
        <f>(Таблица1[[#This Row],[Размер кредита]]-21824)/(789096-21824)</f>
        <v>0.54289482738846195</v>
      </c>
      <c r="T1583" s="9">
        <f>(Таблица1[[#This Row],[Кредитный рейтинг]]-586)/(751-586)</f>
        <v>0.91515151515151516</v>
      </c>
      <c r="U1583" s="9">
        <f>Таблица1[[#This Row],[Ежемесячный платеж]]/(Таблица1[[#This Row],[Годовой доход]]/12)</f>
        <v>0.12899996654287529</v>
      </c>
    </row>
    <row r="1584" spans="1:21" x14ac:dyDescent="0.3">
      <c r="A1584">
        <v>1583</v>
      </c>
      <c r="B1584">
        <v>0</v>
      </c>
      <c r="C1584" s="9">
        <v>44924</v>
      </c>
      <c r="D1584">
        <v>647</v>
      </c>
      <c r="E1584" s="1">
        <v>582027</v>
      </c>
      <c r="F1584">
        <v>0</v>
      </c>
      <c r="G1584">
        <v>1668.39</v>
      </c>
      <c r="H1584">
        <v>6.4</v>
      </c>
      <c r="I1584">
        <v>5</v>
      </c>
      <c r="J1584">
        <v>52839</v>
      </c>
      <c r="K1584">
        <v>179982</v>
      </c>
      <c r="L1584" t="s">
        <v>37</v>
      </c>
      <c r="M1584" t="s">
        <v>1623</v>
      </c>
      <c r="N1584" t="s">
        <v>68</v>
      </c>
      <c r="O1584" t="s">
        <v>34</v>
      </c>
      <c r="P1584" t="s">
        <v>22</v>
      </c>
      <c r="Q1584" t="s">
        <v>23</v>
      </c>
      <c r="R1584" t="b">
        <f>OR(Таблица1[[#This Row],[Ежемесячный платеж]]&lt;$AC$5, Таблица1[[#This Row],[Ежемесячный платеж]]&gt;$AC$6)</f>
        <v>0</v>
      </c>
      <c r="S1584" s="9">
        <f>(Таблица1[[#This Row],[Размер кредита]]-21824)/(789096-21824)</f>
        <v>3.0106663608211952E-2</v>
      </c>
      <c r="T1584" s="9">
        <f>(Таблица1[[#This Row],[Кредитный рейтинг]]-586)/(751-586)</f>
        <v>0.36969696969696969</v>
      </c>
      <c r="U1584" s="9">
        <f>Таблица1[[#This Row],[Ежемесячный платеж]]/(Таблица1[[#This Row],[Годовой доход]]/12)</f>
        <v>3.4398198021741259E-2</v>
      </c>
    </row>
    <row r="1585" spans="1:21" x14ac:dyDescent="0.3">
      <c r="A1585">
        <v>1584</v>
      </c>
      <c r="B1585">
        <v>0</v>
      </c>
      <c r="C1585" s="9">
        <v>257840</v>
      </c>
      <c r="D1585">
        <v>741</v>
      </c>
      <c r="E1585" s="1">
        <v>835088</v>
      </c>
      <c r="F1585">
        <v>34</v>
      </c>
      <c r="G1585">
        <v>15448.9</v>
      </c>
      <c r="H1585">
        <v>27.2</v>
      </c>
      <c r="I1585">
        <v>12</v>
      </c>
      <c r="J1585">
        <v>193325</v>
      </c>
      <c r="K1585">
        <v>328724</v>
      </c>
      <c r="L1585" t="s">
        <v>52</v>
      </c>
      <c r="M1585" t="s">
        <v>1624</v>
      </c>
      <c r="N1585" t="s">
        <v>26</v>
      </c>
      <c r="O1585" t="s">
        <v>21</v>
      </c>
      <c r="P1585" t="s">
        <v>22</v>
      </c>
      <c r="Q1585" t="s">
        <v>23</v>
      </c>
      <c r="R1585" t="b">
        <f>OR(Таблица1[[#This Row],[Ежемесячный платеж]]&lt;$AC$5, Таблица1[[#This Row],[Ежемесячный платеж]]&gt;$AC$6)</f>
        <v>0</v>
      </c>
      <c r="S1585" s="9">
        <f>(Таблица1[[#This Row],[Размер кредита]]-21824)/(789096-21824)</f>
        <v>0.30760408303704551</v>
      </c>
      <c r="T1585" s="9">
        <f>(Таблица1[[#This Row],[Кредитный рейтинг]]-586)/(751-586)</f>
        <v>0.93939393939393945</v>
      </c>
      <c r="U1585" s="9">
        <f>Таблица1[[#This Row],[Ежемесячный платеж]]/(Таблица1[[#This Row],[Годовой доход]]/12)</f>
        <v>0.22199672369858026</v>
      </c>
    </row>
    <row r="1586" spans="1:21" x14ac:dyDescent="0.3">
      <c r="A1586">
        <v>1585</v>
      </c>
      <c r="B1586">
        <v>1</v>
      </c>
      <c r="C1586" s="9">
        <v>757152</v>
      </c>
      <c r="D1586">
        <f>$Y$13</f>
        <v>723</v>
      </c>
      <c r="E1586">
        <f>$AB$13</f>
        <v>1168044</v>
      </c>
      <c r="F1586">
        <v>13</v>
      </c>
      <c r="G1586">
        <v>26778.41</v>
      </c>
      <c r="H1586">
        <v>32.5</v>
      </c>
      <c r="I1586">
        <v>11</v>
      </c>
      <c r="J1586">
        <v>131879</v>
      </c>
      <c r="K1586">
        <v>445192</v>
      </c>
      <c r="L1586" t="s">
        <v>69</v>
      </c>
      <c r="M1586" t="s">
        <v>1625</v>
      </c>
      <c r="N1586" t="s">
        <v>26</v>
      </c>
      <c r="O1586" t="s">
        <v>21</v>
      </c>
      <c r="P1586" t="s">
        <v>31</v>
      </c>
      <c r="Q1586" t="s">
        <v>36</v>
      </c>
      <c r="R1586" t="b">
        <f>OR(Таблица1[[#This Row],[Ежемесячный платеж]]&lt;$AC$5, Таблица1[[#This Row],[Ежемесячный платеж]]&gt;$AC$6)</f>
        <v>0</v>
      </c>
      <c r="S1586" s="9">
        <f>(Таблица1[[#This Row],[Размер кредита]]-21824)/(789096-21824)</f>
        <v>0.95836678518178686</v>
      </c>
      <c r="T1586" s="9">
        <f>(Таблица1[[#This Row],[Кредитный рейтинг]]-586)/(751-586)</f>
        <v>0.83030303030303032</v>
      </c>
      <c r="U1586" s="9">
        <f>Таблица1[[#This Row],[Ежемесячный платеж]]/(Таблица1[[#This Row],[Годовой доход]]/12)</f>
        <v>0.27511028694124534</v>
      </c>
    </row>
    <row r="1587" spans="1:21" x14ac:dyDescent="0.3">
      <c r="A1587">
        <v>1586</v>
      </c>
      <c r="B1587">
        <v>0</v>
      </c>
      <c r="C1587" s="9">
        <v>522456</v>
      </c>
      <c r="D1587">
        <v>735</v>
      </c>
      <c r="E1587" s="1">
        <v>2068055</v>
      </c>
      <c r="F1587">
        <v>39</v>
      </c>
      <c r="G1587">
        <v>44290.71</v>
      </c>
      <c r="H1587">
        <v>24.5</v>
      </c>
      <c r="I1587">
        <v>16</v>
      </c>
      <c r="J1587">
        <v>392502</v>
      </c>
      <c r="K1587">
        <v>598774</v>
      </c>
      <c r="L1587" t="s">
        <v>50</v>
      </c>
      <c r="M1587" t="s">
        <v>1626</v>
      </c>
      <c r="N1587" t="s">
        <v>26</v>
      </c>
      <c r="O1587" t="s">
        <v>21</v>
      </c>
      <c r="P1587" t="s">
        <v>22</v>
      </c>
      <c r="Q1587" t="s">
        <v>23</v>
      </c>
      <c r="R1587" t="b">
        <f>OR(Таблица1[[#This Row],[Ежемесячный платеж]]&lt;$AC$5, Таблица1[[#This Row],[Ежемесячный платеж]]&gt;$AC$6)</f>
        <v>1</v>
      </c>
      <c r="S1587" s="9">
        <f>(Таблица1[[#This Row],[Размер кредита]]-21824)/(789096-21824)</f>
        <v>0.65248308292235346</v>
      </c>
      <c r="T1587" s="9">
        <f>(Таблица1[[#This Row],[Кредитный рейтинг]]-586)/(751-586)</f>
        <v>0.90303030303030307</v>
      </c>
      <c r="U1587" s="9">
        <f>Таблица1[[#This Row],[Ежемесячный платеж]]/(Таблица1[[#This Row],[Годовой доход]]/12)</f>
        <v>0.25699921907299372</v>
      </c>
    </row>
    <row r="1588" spans="1:21" x14ac:dyDescent="0.3">
      <c r="A1588">
        <v>1587</v>
      </c>
      <c r="B1588">
        <v>0</v>
      </c>
      <c r="C1588" s="9">
        <v>337766</v>
      </c>
      <c r="D1588">
        <v>746</v>
      </c>
      <c r="E1588" s="1">
        <v>1050111</v>
      </c>
      <c r="F1588">
        <v>0</v>
      </c>
      <c r="G1588">
        <v>16276.73</v>
      </c>
      <c r="H1588">
        <v>19.2</v>
      </c>
      <c r="I1588">
        <v>10</v>
      </c>
      <c r="J1588">
        <v>334704</v>
      </c>
      <c r="K1588">
        <v>1203598</v>
      </c>
      <c r="L1588" t="s">
        <v>52</v>
      </c>
      <c r="M1588" t="s">
        <v>1627</v>
      </c>
      <c r="N1588" t="s">
        <v>26</v>
      </c>
      <c r="O1588" t="s">
        <v>21</v>
      </c>
      <c r="P1588" t="s">
        <v>22</v>
      </c>
      <c r="Q1588" t="s">
        <v>23</v>
      </c>
      <c r="R1588" t="b">
        <f>OR(Таблица1[[#This Row],[Ежемесячный платеж]]&lt;$AC$5, Таблица1[[#This Row],[Ежемесячный платеж]]&gt;$AC$6)</f>
        <v>0</v>
      </c>
      <c r="S1588" s="9">
        <f>(Таблица1[[#This Row],[Размер кредита]]-21824)/(789096-21824)</f>
        <v>0.41177313912145891</v>
      </c>
      <c r="T1588" s="9">
        <f>(Таблица1[[#This Row],[Кредитный рейтинг]]-586)/(751-586)</f>
        <v>0.96969696969696972</v>
      </c>
      <c r="U1588" s="9">
        <f>Таблица1[[#This Row],[Ежемесячный платеж]]/(Таблица1[[#This Row],[Годовой доход]]/12)</f>
        <v>0.18600010855995222</v>
      </c>
    </row>
    <row r="1589" spans="1:21" x14ac:dyDescent="0.3">
      <c r="A1589">
        <v>1588</v>
      </c>
      <c r="B1589">
        <v>0</v>
      </c>
      <c r="C1589" s="9">
        <v>440836</v>
      </c>
      <c r="D1589">
        <f>$Y$13</f>
        <v>723</v>
      </c>
      <c r="E1589">
        <f>$AB$13</f>
        <v>1168044</v>
      </c>
      <c r="F1589">
        <v>18</v>
      </c>
      <c r="G1589">
        <v>28338.880000000001</v>
      </c>
      <c r="H1589">
        <v>18.8</v>
      </c>
      <c r="I1589">
        <v>12</v>
      </c>
      <c r="J1589">
        <v>596258</v>
      </c>
      <c r="K1589">
        <v>838882</v>
      </c>
      <c r="L1589" t="s">
        <v>24</v>
      </c>
      <c r="M1589" t="s">
        <v>1628</v>
      </c>
      <c r="N1589" t="s">
        <v>26</v>
      </c>
      <c r="O1589" t="s">
        <v>21</v>
      </c>
      <c r="P1589" t="s">
        <v>31</v>
      </c>
      <c r="Q1589" t="s">
        <v>36</v>
      </c>
      <c r="R1589" t="b">
        <f>OR(Таблица1[[#This Row],[Ежемесячный платеж]]&lt;$AC$5, Таблица1[[#This Row],[Ежемесячный платеж]]&gt;$AC$6)</f>
        <v>0</v>
      </c>
      <c r="S1589" s="9">
        <f>(Таблица1[[#This Row],[Размер кредита]]-21824)/(789096-21824)</f>
        <v>0.54610620484000461</v>
      </c>
      <c r="T1589" s="9">
        <f>(Таблица1[[#This Row],[Кредитный рейтинг]]-586)/(751-586)</f>
        <v>0.83030303030303032</v>
      </c>
      <c r="U1589" s="9">
        <f>Таблица1[[#This Row],[Ежемесячный платеж]]/(Таблица1[[#This Row],[Годовой доход]]/12)</f>
        <v>0.29114190903767323</v>
      </c>
    </row>
    <row r="1590" spans="1:21" x14ac:dyDescent="0.3">
      <c r="A1590">
        <v>1589</v>
      </c>
      <c r="B1590">
        <v>0</v>
      </c>
      <c r="C1590" s="9">
        <v>324104</v>
      </c>
      <c r="D1590">
        <v>721</v>
      </c>
      <c r="E1590" s="1">
        <v>3358782</v>
      </c>
      <c r="F1590">
        <v>0</v>
      </c>
      <c r="G1590">
        <v>22084.080000000002</v>
      </c>
      <c r="H1590">
        <v>13.4</v>
      </c>
      <c r="I1590">
        <v>12</v>
      </c>
      <c r="J1590">
        <v>292429</v>
      </c>
      <c r="K1590">
        <v>538340</v>
      </c>
      <c r="L1590" t="s">
        <v>24</v>
      </c>
      <c r="M1590" t="s">
        <v>1629</v>
      </c>
      <c r="N1590" t="s">
        <v>26</v>
      </c>
      <c r="O1590" t="s">
        <v>21</v>
      </c>
      <c r="P1590" t="s">
        <v>22</v>
      </c>
      <c r="Q1590" t="s">
        <v>23</v>
      </c>
      <c r="R1590" t="b">
        <f>OR(Таблица1[[#This Row],[Ежемесячный платеж]]&lt;$AC$5, Таблица1[[#This Row],[Ежемесячный платеж]]&gt;$AC$6)</f>
        <v>0</v>
      </c>
      <c r="S1590" s="9">
        <f>(Таблица1[[#This Row],[Размер кредита]]-21824)/(789096-21824)</f>
        <v>0.39396719807317354</v>
      </c>
      <c r="T1590" s="9">
        <f>(Таблица1[[#This Row],[Кредитный рейтинг]]-586)/(751-586)</f>
        <v>0.81818181818181823</v>
      </c>
      <c r="U1590" s="9">
        <f>Таблица1[[#This Row],[Ежемесячный платеж]]/(Таблица1[[#This Row],[Годовой доход]]/12)</f>
        <v>7.890031565013747E-2</v>
      </c>
    </row>
    <row r="1591" spans="1:21" x14ac:dyDescent="0.3">
      <c r="A1591">
        <v>1590</v>
      </c>
      <c r="B1591">
        <v>0</v>
      </c>
      <c r="C1591" s="9">
        <v>116138</v>
      </c>
      <c r="D1591">
        <v>718</v>
      </c>
      <c r="E1591" s="1">
        <v>361399</v>
      </c>
      <c r="F1591">
        <v>0</v>
      </c>
      <c r="G1591">
        <v>5421.08</v>
      </c>
      <c r="H1591">
        <v>24.5</v>
      </c>
      <c r="I1591">
        <v>7</v>
      </c>
      <c r="J1591">
        <v>180481</v>
      </c>
      <c r="K1591">
        <v>257048</v>
      </c>
      <c r="L1591" t="s">
        <v>24</v>
      </c>
      <c r="M1591" t="s">
        <v>1630</v>
      </c>
      <c r="N1591" t="s">
        <v>26</v>
      </c>
      <c r="O1591" t="s">
        <v>34</v>
      </c>
      <c r="P1591" t="s">
        <v>22</v>
      </c>
      <c r="Q1591" t="s">
        <v>23</v>
      </c>
      <c r="R1591" t="b">
        <f>OR(Таблица1[[#This Row],[Ежемесячный платеж]]&lt;$AC$5, Таблица1[[#This Row],[Ежемесячный платеж]]&gt;$AC$6)</f>
        <v>0</v>
      </c>
      <c r="S1591" s="9">
        <f>(Таблица1[[#This Row],[Размер кредита]]-21824)/(789096-21824)</f>
        <v>0.12292120656038537</v>
      </c>
      <c r="T1591" s="9">
        <f>(Таблица1[[#This Row],[Кредитный рейтинг]]-586)/(751-586)</f>
        <v>0.8</v>
      </c>
      <c r="U1591" s="9">
        <f>Таблица1[[#This Row],[Ежемесячный платеж]]/(Таблица1[[#This Row],[Годовой доход]]/12)</f>
        <v>0.18000315440828557</v>
      </c>
    </row>
    <row r="1592" spans="1:21" x14ac:dyDescent="0.3">
      <c r="A1592">
        <v>1591</v>
      </c>
      <c r="B1592">
        <v>0</v>
      </c>
      <c r="C1592" s="9">
        <v>558866</v>
      </c>
      <c r="D1592">
        <v>685</v>
      </c>
      <c r="E1592" s="1">
        <v>1835989</v>
      </c>
      <c r="F1592">
        <v>0</v>
      </c>
      <c r="G1592">
        <v>27233.84</v>
      </c>
      <c r="H1592">
        <v>26.6</v>
      </c>
      <c r="I1592">
        <v>12</v>
      </c>
      <c r="J1592">
        <v>427177</v>
      </c>
      <c r="K1592">
        <v>635778</v>
      </c>
      <c r="L1592" t="s">
        <v>29</v>
      </c>
      <c r="M1592" t="s">
        <v>1631</v>
      </c>
      <c r="N1592" t="s">
        <v>26</v>
      </c>
      <c r="O1592" t="s">
        <v>21</v>
      </c>
      <c r="P1592" t="s">
        <v>31</v>
      </c>
      <c r="Q1592" t="s">
        <v>23</v>
      </c>
      <c r="R1592" t="b">
        <f>OR(Таблица1[[#This Row],[Ежемесячный платеж]]&lt;$AC$5, Таблица1[[#This Row],[Ежемесячный платеж]]&gt;$AC$6)</f>
        <v>0</v>
      </c>
      <c r="S1592" s="9">
        <f>(Таблица1[[#This Row],[Размер кредита]]-21824)/(789096-21824)</f>
        <v>0.69993691937148761</v>
      </c>
      <c r="T1592" s="9">
        <f>(Таблица1[[#This Row],[Кредитный рейтинг]]-586)/(751-586)</f>
        <v>0.6</v>
      </c>
      <c r="U1592" s="9">
        <f>Таблица1[[#This Row],[Ежемесячный платеж]]/(Таблица1[[#This Row],[Годовой доход]]/12)</f>
        <v>0.17800002069729176</v>
      </c>
    </row>
    <row r="1593" spans="1:21" x14ac:dyDescent="0.3">
      <c r="A1593">
        <v>1592</v>
      </c>
      <c r="B1593">
        <v>1</v>
      </c>
      <c r="C1593" s="9">
        <v>529496</v>
      </c>
      <c r="D1593">
        <v>721</v>
      </c>
      <c r="E1593" s="1">
        <v>1043024</v>
      </c>
      <c r="F1593">
        <v>66</v>
      </c>
      <c r="G1593">
        <v>13646.37</v>
      </c>
      <c r="H1593">
        <v>17.899999999999999</v>
      </c>
      <c r="I1593">
        <v>7</v>
      </c>
      <c r="J1593">
        <v>141037</v>
      </c>
      <c r="K1593">
        <v>174460</v>
      </c>
      <c r="L1593" t="s">
        <v>52</v>
      </c>
      <c r="M1593" t="s">
        <v>1632</v>
      </c>
      <c r="N1593" t="s">
        <v>26</v>
      </c>
      <c r="O1593" t="s">
        <v>21</v>
      </c>
      <c r="P1593" t="s">
        <v>31</v>
      </c>
      <c r="Q1593" t="s">
        <v>23</v>
      </c>
      <c r="R1593" t="b">
        <f>OR(Таблица1[[#This Row],[Ежемесячный платеж]]&lt;$AC$5, Таблица1[[#This Row],[Ежемесячный платеж]]&gt;$AC$6)</f>
        <v>0</v>
      </c>
      <c r="S1593" s="9">
        <f>(Таблица1[[#This Row],[Размер кредита]]-21824)/(789096-21824)</f>
        <v>0.66165844706961807</v>
      </c>
      <c r="T1593" s="9">
        <f>(Таблица1[[#This Row],[Кредитный рейтинг]]-586)/(751-586)</f>
        <v>0.81818181818181823</v>
      </c>
      <c r="U1593" s="9">
        <f>Таблица1[[#This Row],[Ежемесячный платеж]]/(Таблица1[[#This Row],[Годовой доход]]/12)</f>
        <v>0.15700160303118624</v>
      </c>
    </row>
    <row r="1594" spans="1:21" x14ac:dyDescent="0.3">
      <c r="A1594">
        <v>1593</v>
      </c>
      <c r="B1594">
        <v>1</v>
      </c>
      <c r="C1594" s="9">
        <v>189244</v>
      </c>
      <c r="D1594">
        <v>645</v>
      </c>
      <c r="E1594" s="1">
        <v>482125</v>
      </c>
      <c r="F1594">
        <v>0</v>
      </c>
      <c r="G1594">
        <v>6106.98</v>
      </c>
      <c r="H1594">
        <v>15.2</v>
      </c>
      <c r="I1594">
        <v>11</v>
      </c>
      <c r="J1594">
        <v>92416</v>
      </c>
      <c r="K1594">
        <v>321332</v>
      </c>
      <c r="L1594" t="s">
        <v>24</v>
      </c>
      <c r="M1594" t="s">
        <v>1633</v>
      </c>
      <c r="N1594" t="s">
        <v>26</v>
      </c>
      <c r="O1594" t="s">
        <v>28</v>
      </c>
      <c r="P1594" t="s">
        <v>22</v>
      </c>
      <c r="Q1594" t="s">
        <v>23</v>
      </c>
      <c r="R1594" t="b">
        <f>OR(Таблица1[[#This Row],[Ежемесячный платеж]]&lt;$AC$5, Таблица1[[#This Row],[Ежемесячный платеж]]&gt;$AC$6)</f>
        <v>0</v>
      </c>
      <c r="S1594" s="9">
        <f>(Таблица1[[#This Row],[Размер кредита]]-21824)/(789096-21824)</f>
        <v>0.21820162862713613</v>
      </c>
      <c r="T1594" s="9">
        <f>(Таблица1[[#This Row],[Кредитный рейтинг]]-586)/(751-586)</f>
        <v>0.3575757575757576</v>
      </c>
      <c r="U1594" s="9">
        <f>Таблица1[[#This Row],[Ежемесячный платеж]]/(Таблица1[[#This Row],[Годовой доход]]/12)</f>
        <v>0.15200157635467978</v>
      </c>
    </row>
    <row r="1595" spans="1:21" x14ac:dyDescent="0.3">
      <c r="A1595">
        <v>1594</v>
      </c>
      <c r="B1595">
        <v>0</v>
      </c>
      <c r="C1595" s="9">
        <v>131538</v>
      </c>
      <c r="D1595">
        <v>737</v>
      </c>
      <c r="E1595" s="1">
        <v>1098143</v>
      </c>
      <c r="F1595">
        <v>0</v>
      </c>
      <c r="G1595">
        <v>26538.44</v>
      </c>
      <c r="H1595">
        <v>21.8</v>
      </c>
      <c r="I1595">
        <v>8</v>
      </c>
      <c r="J1595">
        <v>690042</v>
      </c>
      <c r="K1595">
        <v>861916</v>
      </c>
      <c r="L1595" t="s">
        <v>24</v>
      </c>
      <c r="M1595" t="s">
        <v>1634</v>
      </c>
      <c r="N1595" t="s">
        <v>20</v>
      </c>
      <c r="O1595" t="s">
        <v>21</v>
      </c>
      <c r="P1595" t="s">
        <v>22</v>
      </c>
      <c r="Q1595" t="s">
        <v>36</v>
      </c>
      <c r="R1595" t="b">
        <f>OR(Таблица1[[#This Row],[Ежемесячный платеж]]&lt;$AC$5, Таблица1[[#This Row],[Ежемесячный платеж]]&gt;$AC$6)</f>
        <v>0</v>
      </c>
      <c r="S1595" s="9">
        <f>(Таблица1[[#This Row],[Размер кредита]]-21824)/(789096-21824)</f>
        <v>0.14299231563252668</v>
      </c>
      <c r="T1595" s="9">
        <f>(Таблица1[[#This Row],[Кредитный рейтинг]]-586)/(751-586)</f>
        <v>0.91515151515151516</v>
      </c>
      <c r="U1595" s="9">
        <f>Таблица1[[#This Row],[Ежемесячный платеж]]/(Таблица1[[#This Row],[Годовой доход]]/12)</f>
        <v>0.28999982698063909</v>
      </c>
    </row>
    <row r="1596" spans="1:21" x14ac:dyDescent="0.3">
      <c r="A1596">
        <v>1595</v>
      </c>
      <c r="B1596">
        <v>0</v>
      </c>
      <c r="D1596">
        <v>738</v>
      </c>
      <c r="E1596" s="1">
        <v>1576620</v>
      </c>
      <c r="F1596">
        <v>0</v>
      </c>
      <c r="G1596">
        <v>24384.98</v>
      </c>
      <c r="H1596">
        <v>12.6</v>
      </c>
      <c r="I1596">
        <v>11</v>
      </c>
      <c r="J1596">
        <v>87970</v>
      </c>
      <c r="K1596">
        <v>499290</v>
      </c>
      <c r="L1596" t="s">
        <v>69</v>
      </c>
      <c r="M1596" t="s">
        <v>1635</v>
      </c>
      <c r="N1596" t="s">
        <v>26</v>
      </c>
      <c r="O1596" t="s">
        <v>34</v>
      </c>
      <c r="P1596" t="s">
        <v>31</v>
      </c>
      <c r="Q1596" t="s">
        <v>23</v>
      </c>
      <c r="R1596" t="b">
        <f>OR(Таблица1[[#This Row],[Ежемесячный платеж]]&lt;$AC$5, Таблица1[[#This Row],[Ежемесячный платеж]]&gt;$AC$6)</f>
        <v>0</v>
      </c>
      <c r="T1596" s="9">
        <f>(Таблица1[[#This Row],[Кредитный рейтинг]]-586)/(751-586)</f>
        <v>0.92121212121212126</v>
      </c>
      <c r="U1596" s="9">
        <f>Таблица1[[#This Row],[Ежемесячный платеж]]/(Таблица1[[#This Row],[Годовой доход]]/12)</f>
        <v>0.18559942154736081</v>
      </c>
    </row>
    <row r="1597" spans="1:21" x14ac:dyDescent="0.3">
      <c r="A1597">
        <v>1596</v>
      </c>
      <c r="B1597">
        <v>0</v>
      </c>
      <c r="C1597" s="9">
        <v>239360</v>
      </c>
      <c r="D1597">
        <v>730</v>
      </c>
      <c r="E1597" s="1">
        <v>563787</v>
      </c>
      <c r="F1597">
        <v>0</v>
      </c>
      <c r="G1597">
        <v>9819.2000000000007</v>
      </c>
      <c r="H1597">
        <v>9</v>
      </c>
      <c r="I1597">
        <v>23</v>
      </c>
      <c r="J1597">
        <v>145578</v>
      </c>
      <c r="K1597">
        <v>581218</v>
      </c>
      <c r="L1597" t="s">
        <v>37</v>
      </c>
      <c r="M1597" t="s">
        <v>1636</v>
      </c>
      <c r="N1597" t="s">
        <v>26</v>
      </c>
      <c r="O1597" t="s">
        <v>21</v>
      </c>
      <c r="P1597" t="s">
        <v>31</v>
      </c>
      <c r="Q1597" t="s">
        <v>36</v>
      </c>
      <c r="R1597" t="b">
        <f>OR(Таблица1[[#This Row],[Ежемесячный платеж]]&lt;$AC$5, Таблица1[[#This Row],[Ежемесячный платеж]]&gt;$AC$6)</f>
        <v>0</v>
      </c>
      <c r="S1597" s="9">
        <f>(Таблица1[[#This Row],[Размер кредита]]-21824)/(789096-21824)</f>
        <v>0.28351875215047595</v>
      </c>
      <c r="T1597" s="9">
        <f>(Таблица1[[#This Row],[Кредитный рейтинг]]-586)/(751-586)</f>
        <v>0.87272727272727268</v>
      </c>
      <c r="U1597" s="9">
        <f>Таблица1[[#This Row],[Ежемесячный платеж]]/(Таблица1[[#This Row],[Годовой доход]]/12)</f>
        <v>0.20899807906177334</v>
      </c>
    </row>
    <row r="1598" spans="1:21" x14ac:dyDescent="0.3">
      <c r="A1598">
        <v>1597</v>
      </c>
      <c r="B1598">
        <v>0</v>
      </c>
      <c r="C1598" s="9">
        <v>519178</v>
      </c>
      <c r="D1598">
        <v>715</v>
      </c>
      <c r="E1598" s="1">
        <v>1120962</v>
      </c>
      <c r="F1598">
        <v>16</v>
      </c>
      <c r="G1598">
        <v>17281.45</v>
      </c>
      <c r="H1598">
        <v>27.1</v>
      </c>
      <c r="I1598">
        <v>5</v>
      </c>
      <c r="J1598">
        <v>272137</v>
      </c>
      <c r="K1598">
        <v>361350</v>
      </c>
      <c r="L1598" t="s">
        <v>24</v>
      </c>
      <c r="M1598" t="s">
        <v>1637</v>
      </c>
      <c r="N1598" t="s">
        <v>26</v>
      </c>
      <c r="O1598" t="s">
        <v>21</v>
      </c>
      <c r="P1598" t="s">
        <v>31</v>
      </c>
      <c r="Q1598" t="s">
        <v>23</v>
      </c>
      <c r="R1598" t="b">
        <f>OR(Таблица1[[#This Row],[Ежемесячный платеж]]&lt;$AC$5, Таблица1[[#This Row],[Ежемесячный платеж]]&gt;$AC$6)</f>
        <v>0</v>
      </c>
      <c r="S1598" s="9">
        <f>(Таблица1[[#This Row],[Размер кредита]]-21824)/(789096-21824)</f>
        <v>0.64821080399128339</v>
      </c>
      <c r="T1598" s="9">
        <f>(Таблица1[[#This Row],[Кредитный рейтинг]]-586)/(751-586)</f>
        <v>0.78181818181818186</v>
      </c>
      <c r="U1598" s="9">
        <f>Таблица1[[#This Row],[Ежемесячный платеж]]/(Таблица1[[#This Row],[Годовой доход]]/12)</f>
        <v>0.18499949150818673</v>
      </c>
    </row>
    <row r="1599" spans="1:21" x14ac:dyDescent="0.3">
      <c r="A1599">
        <v>1598</v>
      </c>
      <c r="B1599">
        <v>1</v>
      </c>
      <c r="C1599" s="9">
        <v>187726</v>
      </c>
      <c r="D1599">
        <v>725</v>
      </c>
      <c r="E1599" s="1">
        <v>694811</v>
      </c>
      <c r="F1599">
        <v>0</v>
      </c>
      <c r="G1599">
        <v>16964.91</v>
      </c>
      <c r="H1599">
        <v>22.5</v>
      </c>
      <c r="I1599">
        <v>12</v>
      </c>
      <c r="J1599">
        <v>184186</v>
      </c>
      <c r="K1599">
        <v>318296</v>
      </c>
      <c r="L1599" t="s">
        <v>24</v>
      </c>
      <c r="M1599" t="s">
        <v>1638</v>
      </c>
      <c r="N1599" t="s">
        <v>26</v>
      </c>
      <c r="O1599" t="s">
        <v>21</v>
      </c>
      <c r="P1599" t="s">
        <v>22</v>
      </c>
      <c r="Q1599" t="s">
        <v>23</v>
      </c>
      <c r="R1599" t="b">
        <f>OR(Таблица1[[#This Row],[Ежемесячный платеж]]&lt;$AC$5, Таблица1[[#This Row],[Ежемесячный платеж]]&gt;$AC$6)</f>
        <v>0</v>
      </c>
      <c r="S1599" s="9">
        <f>(Таблица1[[#This Row],[Размер кредита]]-21824)/(789096-21824)</f>
        <v>0.21622319073288221</v>
      </c>
      <c r="T1599" s="9">
        <f>(Таблица1[[#This Row],[Кредитный рейтинг]]-586)/(751-586)</f>
        <v>0.84242424242424241</v>
      </c>
      <c r="U1599" s="9">
        <f>Таблица1[[#This Row],[Ежемесячный платеж]]/(Таблица1[[#This Row],[Годовой доход]]/12)</f>
        <v>0.29299898821406112</v>
      </c>
    </row>
    <row r="1600" spans="1:21" x14ac:dyDescent="0.3">
      <c r="A1600">
        <v>1599</v>
      </c>
      <c r="B1600">
        <v>0</v>
      </c>
      <c r="C1600" s="9">
        <v>78452</v>
      </c>
      <c r="D1600">
        <v>724</v>
      </c>
      <c r="E1600" s="1">
        <v>941070</v>
      </c>
      <c r="F1600">
        <v>38</v>
      </c>
      <c r="G1600">
        <v>22507.21</v>
      </c>
      <c r="H1600">
        <v>22.4</v>
      </c>
      <c r="I1600">
        <v>13</v>
      </c>
      <c r="J1600">
        <v>43738</v>
      </c>
      <c r="K1600">
        <v>267960</v>
      </c>
      <c r="L1600" t="s">
        <v>32</v>
      </c>
      <c r="M1600" t="s">
        <v>1639</v>
      </c>
      <c r="N1600" t="s">
        <v>68</v>
      </c>
      <c r="O1600" t="s">
        <v>28</v>
      </c>
      <c r="P1600" t="s">
        <v>22</v>
      </c>
      <c r="Q1600" t="s">
        <v>23</v>
      </c>
      <c r="R1600" t="b">
        <f>OR(Таблица1[[#This Row],[Ежемесячный платеж]]&lt;$AC$5, Таблица1[[#This Row],[Ежемесячный платеж]]&gt;$AC$6)</f>
        <v>0</v>
      </c>
      <c r="S1600" s="9">
        <f>(Таблица1[[#This Row],[Размер кредита]]-21824)/(789096-21824)</f>
        <v>7.3804335359559589E-2</v>
      </c>
      <c r="T1600" s="9">
        <f>(Таблица1[[#This Row],[Кредитный рейтинг]]-586)/(751-586)</f>
        <v>0.83636363636363631</v>
      </c>
      <c r="U1600" s="9">
        <f>Таблица1[[#This Row],[Ежемесячный платеж]]/(Таблица1[[#This Row],[Годовой доход]]/12)</f>
        <v>0.28699939430648091</v>
      </c>
    </row>
    <row r="1601" spans="1:21" x14ac:dyDescent="0.3">
      <c r="A1601">
        <v>1600</v>
      </c>
      <c r="B1601">
        <v>1</v>
      </c>
      <c r="C1601" s="9">
        <v>427328</v>
      </c>
      <c r="D1601">
        <v>710</v>
      </c>
      <c r="E1601" s="1">
        <v>1029895</v>
      </c>
      <c r="F1601">
        <v>33</v>
      </c>
      <c r="G1601">
        <v>23172.78</v>
      </c>
      <c r="H1601">
        <v>19.7</v>
      </c>
      <c r="I1601">
        <v>11</v>
      </c>
      <c r="J1601">
        <v>79192</v>
      </c>
      <c r="K1601">
        <v>203302</v>
      </c>
      <c r="L1601" t="s">
        <v>69</v>
      </c>
      <c r="M1601" t="s">
        <v>1640</v>
      </c>
      <c r="N1601" t="s">
        <v>26</v>
      </c>
      <c r="O1601" t="s">
        <v>21</v>
      </c>
      <c r="P1601" t="s">
        <v>22</v>
      </c>
      <c r="Q1601" t="s">
        <v>23</v>
      </c>
      <c r="R1601" t="b">
        <f>OR(Таблица1[[#This Row],[Ежемесячный платеж]]&lt;$AC$5, Таблица1[[#This Row],[Ежемесячный платеж]]&gt;$AC$6)</f>
        <v>0</v>
      </c>
      <c r="S1601" s="9">
        <f>(Таблица1[[#This Row],[Размер кредита]]-21824)/(789096-21824)</f>
        <v>0.52850097488244063</v>
      </c>
      <c r="T1601" s="9">
        <f>(Таблица1[[#This Row],[Кредитный рейтинг]]-586)/(751-586)</f>
        <v>0.75151515151515147</v>
      </c>
      <c r="U1601" s="9">
        <f>Таблица1[[#This Row],[Ежемесячный платеж]]/(Таблица1[[#This Row],[Годовой доход]]/12)</f>
        <v>0.27000166036343509</v>
      </c>
    </row>
    <row r="1602" spans="1:21" x14ac:dyDescent="0.3">
      <c r="A1602">
        <v>1601</v>
      </c>
      <c r="B1602">
        <v>0</v>
      </c>
      <c r="C1602" s="9">
        <v>105798</v>
      </c>
      <c r="D1602">
        <v>689</v>
      </c>
      <c r="E1602" s="1">
        <v>228437</v>
      </c>
      <c r="F1602">
        <v>33</v>
      </c>
      <c r="G1602">
        <v>7138.49</v>
      </c>
      <c r="H1602">
        <v>12.5</v>
      </c>
      <c r="I1602">
        <v>12</v>
      </c>
      <c r="J1602">
        <v>197809</v>
      </c>
      <c r="K1602">
        <v>235862</v>
      </c>
      <c r="L1602" t="s">
        <v>32</v>
      </c>
      <c r="M1602" t="s">
        <v>1641</v>
      </c>
      <c r="N1602" t="s">
        <v>26</v>
      </c>
      <c r="O1602" t="s">
        <v>34</v>
      </c>
      <c r="P1602" t="s">
        <v>22</v>
      </c>
      <c r="Q1602" t="s">
        <v>23</v>
      </c>
      <c r="R1602" t="b">
        <f>OR(Таблица1[[#This Row],[Ежемесячный платеж]]&lt;$AC$5, Таблица1[[#This Row],[Ежемесячный платеж]]&gt;$AC$6)</f>
        <v>0</v>
      </c>
      <c r="S1602" s="9">
        <f>(Таблица1[[#This Row],[Размер кредита]]-21824)/(789096-21824)</f>
        <v>0.10944489046909049</v>
      </c>
      <c r="T1602" s="9">
        <f>(Таблица1[[#This Row],[Кредитный рейтинг]]-586)/(751-586)</f>
        <v>0.62424242424242427</v>
      </c>
      <c r="U1602" s="9">
        <f>Таблица1[[#This Row],[Ежемесячный платеж]]/(Таблица1[[#This Row],[Годовой доход]]/12)</f>
        <v>0.37499126673875072</v>
      </c>
    </row>
    <row r="1603" spans="1:21" x14ac:dyDescent="0.3">
      <c r="A1603">
        <v>1602</v>
      </c>
      <c r="B1603">
        <v>0</v>
      </c>
      <c r="C1603" s="9">
        <v>326744</v>
      </c>
      <c r="D1603">
        <v>724</v>
      </c>
      <c r="E1603" s="1">
        <v>1693071</v>
      </c>
      <c r="F1603">
        <v>4</v>
      </c>
      <c r="G1603">
        <v>27653.55</v>
      </c>
      <c r="H1603">
        <v>15.2</v>
      </c>
      <c r="I1603">
        <v>9</v>
      </c>
      <c r="J1603">
        <v>333621</v>
      </c>
      <c r="K1603">
        <v>568106</v>
      </c>
      <c r="L1603" t="s">
        <v>37</v>
      </c>
      <c r="M1603" t="s">
        <v>1642</v>
      </c>
      <c r="N1603" t="s">
        <v>26</v>
      </c>
      <c r="O1603" t="s">
        <v>34</v>
      </c>
      <c r="P1603" t="s">
        <v>31</v>
      </c>
      <c r="Q1603" t="s">
        <v>23</v>
      </c>
      <c r="R1603" t="b">
        <f>OR(Таблица1[[#This Row],[Ежемесячный платеж]]&lt;$AC$5, Таблица1[[#This Row],[Ежемесячный платеж]]&gt;$AC$6)</f>
        <v>0</v>
      </c>
      <c r="S1603" s="9">
        <f>(Таблица1[[#This Row],[Размер кредита]]-21824)/(789096-21824)</f>
        <v>0.39740795962839776</v>
      </c>
      <c r="T1603" s="9">
        <f>(Таблица1[[#This Row],[Кредитный рейтинг]]-586)/(751-586)</f>
        <v>0.83636363636363631</v>
      </c>
      <c r="U1603" s="9">
        <f>Таблица1[[#This Row],[Ежемесячный платеж]]/(Таблица1[[#This Row],[Годовой доход]]/12)</f>
        <v>0.19600040399959601</v>
      </c>
    </row>
    <row r="1604" spans="1:21" x14ac:dyDescent="0.3">
      <c r="A1604">
        <v>1603</v>
      </c>
      <c r="B1604">
        <v>0</v>
      </c>
      <c r="C1604" s="9">
        <v>43824</v>
      </c>
      <c r="D1604">
        <f>$Y$13</f>
        <v>723</v>
      </c>
      <c r="E1604">
        <f>$AB$13</f>
        <v>1168044</v>
      </c>
      <c r="F1604">
        <v>80</v>
      </c>
      <c r="G1604">
        <v>12111.36</v>
      </c>
      <c r="H1604">
        <v>16.600000000000001</v>
      </c>
      <c r="I1604">
        <v>4</v>
      </c>
      <c r="J1604">
        <v>102106</v>
      </c>
      <c r="K1604">
        <v>131516</v>
      </c>
      <c r="L1604" t="s">
        <v>52</v>
      </c>
      <c r="M1604" t="s">
        <v>1643</v>
      </c>
      <c r="N1604" t="s">
        <v>68</v>
      </c>
      <c r="O1604" t="s">
        <v>28</v>
      </c>
      <c r="P1604" t="s">
        <v>22</v>
      </c>
      <c r="Q1604" t="s">
        <v>23</v>
      </c>
      <c r="R1604" t="b">
        <f>OR(Таблица1[[#This Row],[Ежемесячный платеж]]&lt;$AC$5, Таблица1[[#This Row],[Ежемесячный платеж]]&gt;$AC$6)</f>
        <v>0</v>
      </c>
      <c r="S1604" s="9">
        <f>(Таблица1[[#This Row],[Размер кредита]]-21824)/(789096-21824)</f>
        <v>2.8673012960201857E-2</v>
      </c>
      <c r="T1604" s="9">
        <f>(Таблица1[[#This Row],[Кредитный рейтинг]]-586)/(751-586)</f>
        <v>0.83030303030303032</v>
      </c>
      <c r="U1604" s="9">
        <f>Таблица1[[#This Row],[Ежемесячный платеж]]/(Таблица1[[#This Row],[Годовой доход]]/12)</f>
        <v>0.12442709349990241</v>
      </c>
    </row>
    <row r="1605" spans="1:21" x14ac:dyDescent="0.3">
      <c r="A1605">
        <v>1604</v>
      </c>
      <c r="B1605">
        <v>0</v>
      </c>
      <c r="C1605" s="9">
        <v>336006</v>
      </c>
      <c r="D1605">
        <v>739</v>
      </c>
      <c r="E1605" s="1">
        <v>2321496</v>
      </c>
      <c r="F1605">
        <v>0</v>
      </c>
      <c r="G1605">
        <v>9111.83</v>
      </c>
      <c r="H1605">
        <v>24.1</v>
      </c>
      <c r="I1605">
        <v>6</v>
      </c>
      <c r="J1605">
        <v>502170</v>
      </c>
      <c r="K1605">
        <v>1321518</v>
      </c>
      <c r="L1605" t="s">
        <v>24</v>
      </c>
      <c r="M1605" t="s">
        <v>1644</v>
      </c>
      <c r="N1605" t="s">
        <v>68</v>
      </c>
      <c r="O1605" t="s">
        <v>21</v>
      </c>
      <c r="P1605" t="s">
        <v>22</v>
      </c>
      <c r="Q1605" t="s">
        <v>23</v>
      </c>
      <c r="R1605" t="b">
        <f>OR(Таблица1[[#This Row],[Ежемесячный платеж]]&lt;$AC$5, Таблица1[[#This Row],[Ежемесячный платеж]]&gt;$AC$6)</f>
        <v>0</v>
      </c>
      <c r="S1605" s="9">
        <f>(Таблица1[[#This Row],[Размер кредита]]-21824)/(789096-21824)</f>
        <v>0.40947929808464273</v>
      </c>
      <c r="T1605" s="9">
        <f>(Таблица1[[#This Row],[Кредитный рейтинг]]-586)/(751-586)</f>
        <v>0.92727272727272725</v>
      </c>
      <c r="U1605" s="9">
        <f>Таблица1[[#This Row],[Ежемесячный платеж]]/(Таблица1[[#This Row],[Годовой доход]]/12)</f>
        <v>4.7099783932429778E-2</v>
      </c>
    </row>
    <row r="1606" spans="1:21" x14ac:dyDescent="0.3">
      <c r="A1606">
        <v>1605</v>
      </c>
      <c r="B1606">
        <v>0</v>
      </c>
      <c r="C1606" s="9">
        <v>213664</v>
      </c>
      <c r="D1606">
        <v>736</v>
      </c>
      <c r="E1606" s="1">
        <v>776948</v>
      </c>
      <c r="F1606">
        <v>20</v>
      </c>
      <c r="G1606">
        <v>8028.45</v>
      </c>
      <c r="H1606">
        <v>8</v>
      </c>
      <c r="I1606">
        <v>5</v>
      </c>
      <c r="J1606">
        <v>124203</v>
      </c>
      <c r="K1606">
        <v>191246</v>
      </c>
      <c r="L1606" t="s">
        <v>41</v>
      </c>
      <c r="M1606" t="s">
        <v>1645</v>
      </c>
      <c r="N1606" t="s">
        <v>26</v>
      </c>
      <c r="O1606" t="s">
        <v>34</v>
      </c>
      <c r="P1606" t="s">
        <v>22</v>
      </c>
      <c r="Q1606" t="s">
        <v>23</v>
      </c>
      <c r="R1606" t="b">
        <f>OR(Таблица1[[#This Row],[Ежемесячный платеж]]&lt;$AC$5, Таблица1[[#This Row],[Ежемесячный платеж]]&gt;$AC$6)</f>
        <v>0</v>
      </c>
      <c r="S1606" s="9">
        <f>(Таблица1[[#This Row],[Размер кредита]]-21824)/(789096-21824)</f>
        <v>0.25002867301296022</v>
      </c>
      <c r="T1606" s="9">
        <f>(Таблица1[[#This Row],[Кредитный рейтинг]]-586)/(751-586)</f>
        <v>0.90909090909090906</v>
      </c>
      <c r="U1606" s="9">
        <f>Таблица1[[#This Row],[Ежемесячный платеж]]/(Таблица1[[#This Row],[Годовой доход]]/12)</f>
        <v>0.12399980436271153</v>
      </c>
    </row>
    <row r="1607" spans="1:21" x14ac:dyDescent="0.3">
      <c r="A1607">
        <v>1606</v>
      </c>
      <c r="B1607">
        <v>0</v>
      </c>
      <c r="C1607" s="9">
        <v>64460</v>
      </c>
      <c r="D1607">
        <v>725</v>
      </c>
      <c r="E1607" s="1">
        <v>280706</v>
      </c>
      <c r="F1607">
        <v>0</v>
      </c>
      <c r="G1607">
        <v>3508.73</v>
      </c>
      <c r="H1607">
        <v>7</v>
      </c>
      <c r="I1607">
        <v>6</v>
      </c>
      <c r="J1607">
        <v>69597</v>
      </c>
      <c r="K1607">
        <v>125906</v>
      </c>
      <c r="L1607" t="s">
        <v>24</v>
      </c>
      <c r="M1607" t="s">
        <v>1646</v>
      </c>
      <c r="N1607" t="s">
        <v>26</v>
      </c>
      <c r="O1607" t="s">
        <v>34</v>
      </c>
      <c r="P1607" t="s">
        <v>22</v>
      </c>
      <c r="Q1607" t="s">
        <v>36</v>
      </c>
      <c r="R1607" t="b">
        <f>OR(Таблица1[[#This Row],[Ежемесячный платеж]]&lt;$AC$5, Таблица1[[#This Row],[Ежемесячный платеж]]&gt;$AC$6)</f>
        <v>0</v>
      </c>
      <c r="S1607" s="9">
        <f>(Таблица1[[#This Row],[Размер кредита]]-21824)/(789096-21824)</f>
        <v>5.5568299116871202E-2</v>
      </c>
      <c r="T1607" s="9">
        <f>(Таблица1[[#This Row],[Кредитный рейтинг]]-586)/(751-586)</f>
        <v>0.84242424242424241</v>
      </c>
      <c r="U1607" s="9">
        <f>Таблица1[[#This Row],[Ежемесячный платеж]]/(Таблица1[[#This Row],[Годовой доход]]/12)</f>
        <v>0.14999593881142548</v>
      </c>
    </row>
    <row r="1608" spans="1:21" x14ac:dyDescent="0.3">
      <c r="A1608">
        <v>1607</v>
      </c>
      <c r="B1608">
        <v>0</v>
      </c>
      <c r="D1608">
        <v>714</v>
      </c>
      <c r="E1608" s="1">
        <v>556263</v>
      </c>
      <c r="F1608">
        <v>0</v>
      </c>
      <c r="G1608">
        <v>3504.55</v>
      </c>
      <c r="H1608">
        <v>9.8000000000000007</v>
      </c>
      <c r="I1608">
        <v>4</v>
      </c>
      <c r="J1608">
        <v>102866</v>
      </c>
      <c r="K1608">
        <v>255618</v>
      </c>
      <c r="L1608" t="s">
        <v>24</v>
      </c>
      <c r="M1608" t="s">
        <v>1647</v>
      </c>
      <c r="N1608" t="s">
        <v>26</v>
      </c>
      <c r="O1608" t="s">
        <v>34</v>
      </c>
      <c r="P1608" t="s">
        <v>22</v>
      </c>
      <c r="Q1608" t="s">
        <v>23</v>
      </c>
      <c r="R1608" t="b">
        <f>OR(Таблица1[[#This Row],[Ежемесячный платеж]]&lt;$AC$5, Таблица1[[#This Row],[Ежемесячный платеж]]&gt;$AC$6)</f>
        <v>0</v>
      </c>
      <c r="T1608" s="9">
        <f>(Таблица1[[#This Row],[Кредитный рейтинг]]-586)/(751-586)</f>
        <v>0.77575757575757576</v>
      </c>
      <c r="U1608" s="9">
        <f>Таблица1[[#This Row],[Ежемесячный платеж]]/(Таблица1[[#This Row],[Годовой доход]]/12)</f>
        <v>7.5602008402500254E-2</v>
      </c>
    </row>
    <row r="1609" spans="1:21" x14ac:dyDescent="0.3">
      <c r="A1609">
        <v>1608</v>
      </c>
      <c r="B1609">
        <v>0</v>
      </c>
      <c r="C1609" s="9">
        <v>76670</v>
      </c>
      <c r="D1609">
        <f>$Y$13</f>
        <v>723</v>
      </c>
      <c r="E1609">
        <f>$AB$13</f>
        <v>1168044</v>
      </c>
      <c r="F1609">
        <v>38</v>
      </c>
      <c r="G1609">
        <v>6487.17</v>
      </c>
      <c r="H1609">
        <v>16.2</v>
      </c>
      <c r="I1609">
        <v>6</v>
      </c>
      <c r="J1609">
        <v>24890</v>
      </c>
      <c r="K1609">
        <v>48444</v>
      </c>
      <c r="L1609" t="s">
        <v>52</v>
      </c>
      <c r="M1609" t="s">
        <v>1648</v>
      </c>
      <c r="N1609" t="s">
        <v>26</v>
      </c>
      <c r="O1609" t="s">
        <v>34</v>
      </c>
      <c r="P1609" t="s">
        <v>22</v>
      </c>
      <c r="Q1609" t="s">
        <v>23</v>
      </c>
      <c r="R1609" t="b">
        <f>OR(Таблица1[[#This Row],[Ежемесячный платеж]]&lt;$AC$5, Таблица1[[#This Row],[Ежемесячный платеж]]&gt;$AC$6)</f>
        <v>0</v>
      </c>
      <c r="S1609" s="9">
        <f>(Таблица1[[#This Row],[Размер кредита]]-21824)/(789096-21824)</f>
        <v>7.1481821309783228E-2</v>
      </c>
      <c r="T1609" s="9">
        <f>(Таблица1[[#This Row],[Кредитный рейтинг]]-586)/(751-586)</f>
        <v>0.83030303030303032</v>
      </c>
      <c r="U1609" s="9">
        <f>Таблица1[[#This Row],[Ежемесячный платеж]]/(Таблица1[[#This Row],[Годовой доход]]/12)</f>
        <v>6.6646496193636537E-2</v>
      </c>
    </row>
    <row r="1610" spans="1:21" x14ac:dyDescent="0.3">
      <c r="A1610">
        <v>1609</v>
      </c>
      <c r="B1610">
        <v>0</v>
      </c>
      <c r="C1610" s="9">
        <v>200706</v>
      </c>
      <c r="D1610">
        <v>701</v>
      </c>
      <c r="E1610" s="1">
        <v>655899</v>
      </c>
      <c r="F1610">
        <v>0</v>
      </c>
      <c r="G1610">
        <v>12352.66</v>
      </c>
      <c r="H1610">
        <v>8.1999999999999993</v>
      </c>
      <c r="I1610">
        <v>9</v>
      </c>
      <c r="J1610">
        <v>50996</v>
      </c>
      <c r="K1610">
        <v>164934</v>
      </c>
      <c r="L1610" t="s">
        <v>41</v>
      </c>
      <c r="M1610" t="s">
        <v>1649</v>
      </c>
      <c r="N1610" t="s">
        <v>26</v>
      </c>
      <c r="O1610" t="s">
        <v>34</v>
      </c>
      <c r="P1610" t="s">
        <v>22</v>
      </c>
      <c r="Q1610" t="s">
        <v>23</v>
      </c>
      <c r="R1610" t="b">
        <f>OR(Таблица1[[#This Row],[Ежемесячный платеж]]&lt;$AC$5, Таблица1[[#This Row],[Ежемесячный платеж]]&gt;$AC$6)</f>
        <v>0</v>
      </c>
      <c r="S1610" s="9">
        <f>(Таблица1[[#This Row],[Размер кредита]]-21824)/(789096-21824)</f>
        <v>0.2331402683794013</v>
      </c>
      <c r="T1610" s="9">
        <f>(Таблица1[[#This Row],[Кредитный рейтинг]]-586)/(751-586)</f>
        <v>0.69696969696969702</v>
      </c>
      <c r="U1610" s="9">
        <f>Таблица1[[#This Row],[Ежемесячный платеж]]/(Таблица1[[#This Row],[Годовой доход]]/12)</f>
        <v>0.22599808812027461</v>
      </c>
    </row>
    <row r="1611" spans="1:21" x14ac:dyDescent="0.3">
      <c r="A1611">
        <v>1610</v>
      </c>
      <c r="B1611">
        <v>0</v>
      </c>
      <c r="C1611" s="9">
        <v>208582</v>
      </c>
      <c r="D1611">
        <v>691</v>
      </c>
      <c r="E1611" s="1">
        <v>1262797</v>
      </c>
      <c r="F1611">
        <v>0</v>
      </c>
      <c r="G1611">
        <v>26150.65</v>
      </c>
      <c r="H1611">
        <v>20</v>
      </c>
      <c r="I1611">
        <v>8</v>
      </c>
      <c r="J1611">
        <v>982566</v>
      </c>
      <c r="K1611">
        <v>1182654</v>
      </c>
      <c r="L1611" t="s">
        <v>32</v>
      </c>
      <c r="M1611" t="s">
        <v>1650</v>
      </c>
      <c r="N1611" t="s">
        <v>26</v>
      </c>
      <c r="O1611" t="s">
        <v>21</v>
      </c>
      <c r="P1611" t="s">
        <v>31</v>
      </c>
      <c r="Q1611" t="s">
        <v>23</v>
      </c>
      <c r="R1611" t="b">
        <f>OR(Таблица1[[#This Row],[Ежемесячный платеж]]&lt;$AC$5, Таблица1[[#This Row],[Ежемесячный платеж]]&gt;$AC$6)</f>
        <v>0</v>
      </c>
      <c r="S1611" s="9">
        <f>(Таблица1[[#This Row],[Размер кредита]]-21824)/(789096-21824)</f>
        <v>0.24340520701915358</v>
      </c>
      <c r="T1611" s="9">
        <f>(Таблица1[[#This Row],[Кредитный рейтинг]]-586)/(751-586)</f>
        <v>0.63636363636363635</v>
      </c>
      <c r="U1611" s="9">
        <f>Таблица1[[#This Row],[Ежемесячный платеж]]/(Таблица1[[#This Row],[Годовой доход]]/12)</f>
        <v>0.24850217414200385</v>
      </c>
    </row>
    <row r="1612" spans="1:21" x14ac:dyDescent="0.3">
      <c r="A1612">
        <v>1611</v>
      </c>
      <c r="B1612">
        <v>0</v>
      </c>
      <c r="C1612" s="9">
        <v>137610</v>
      </c>
      <c r="D1612">
        <v>735</v>
      </c>
      <c r="E1612" s="1">
        <v>1114122</v>
      </c>
      <c r="F1612">
        <v>0</v>
      </c>
      <c r="G1612">
        <v>8615.93</v>
      </c>
      <c r="H1612">
        <v>10.7</v>
      </c>
      <c r="I1612">
        <v>10</v>
      </c>
      <c r="J1612">
        <v>119738</v>
      </c>
      <c r="K1612">
        <v>298804</v>
      </c>
      <c r="L1612" t="s">
        <v>52</v>
      </c>
      <c r="M1612" t="s">
        <v>1651</v>
      </c>
      <c r="N1612" t="s">
        <v>26</v>
      </c>
      <c r="O1612" t="s">
        <v>21</v>
      </c>
      <c r="P1612" t="s">
        <v>22</v>
      </c>
      <c r="Q1612" t="s">
        <v>23</v>
      </c>
      <c r="R1612" t="b">
        <f>OR(Таблица1[[#This Row],[Ежемесячный платеж]]&lt;$AC$5, Таблица1[[#This Row],[Ежемесячный платеж]]&gt;$AC$6)</f>
        <v>0</v>
      </c>
      <c r="S1612" s="9">
        <f>(Таблица1[[#This Row],[Размер кредита]]-21824)/(789096-21824)</f>
        <v>0.15090606720954239</v>
      </c>
      <c r="T1612" s="9">
        <f>(Таблица1[[#This Row],[Кредитный рейтинг]]-586)/(751-586)</f>
        <v>0.90303030303030307</v>
      </c>
      <c r="U1612" s="9">
        <f>Таблица1[[#This Row],[Ежемесячный платеж]]/(Таблица1[[#This Row],[Годовой доход]]/12)</f>
        <v>9.2800573007264922E-2</v>
      </c>
    </row>
    <row r="1613" spans="1:21" x14ac:dyDescent="0.3">
      <c r="A1613">
        <v>1612</v>
      </c>
      <c r="B1613">
        <v>1</v>
      </c>
      <c r="C1613" s="9">
        <v>206690</v>
      </c>
      <c r="D1613">
        <v>655</v>
      </c>
      <c r="E1613" s="1">
        <v>1499176</v>
      </c>
      <c r="F1613">
        <v>13</v>
      </c>
      <c r="G1613">
        <v>22737.49</v>
      </c>
      <c r="H1613">
        <v>15.7</v>
      </c>
      <c r="I1613">
        <v>10</v>
      </c>
      <c r="J1613">
        <v>65683</v>
      </c>
      <c r="K1613">
        <v>140844</v>
      </c>
      <c r="L1613" t="s">
        <v>47</v>
      </c>
      <c r="M1613" t="s">
        <v>1652</v>
      </c>
      <c r="N1613" t="s">
        <v>26</v>
      </c>
      <c r="O1613" t="s">
        <v>21</v>
      </c>
      <c r="P1613" t="s">
        <v>22</v>
      </c>
      <c r="Q1613" t="s">
        <v>23</v>
      </c>
      <c r="R1613" t="b">
        <f>OR(Таблица1[[#This Row],[Ежемесячный платеж]]&lt;$AC$5, Таблица1[[#This Row],[Ежемесячный платеж]]&gt;$AC$6)</f>
        <v>0</v>
      </c>
      <c r="S1613" s="9">
        <f>(Таблица1[[#This Row],[Размер кредита]]-21824)/(789096-21824)</f>
        <v>0.2409393279045762</v>
      </c>
      <c r="T1613" s="9">
        <f>(Таблица1[[#This Row],[Кредитный рейтинг]]-586)/(751-586)</f>
        <v>0.41818181818181815</v>
      </c>
      <c r="U1613" s="9">
        <f>Таблица1[[#This Row],[Ежемесячный платеж]]/(Таблица1[[#This Row],[Годовой доход]]/12)</f>
        <v>0.18199989861097032</v>
      </c>
    </row>
    <row r="1614" spans="1:21" x14ac:dyDescent="0.3">
      <c r="A1614">
        <v>1613</v>
      </c>
      <c r="B1614">
        <v>0</v>
      </c>
      <c r="D1614">
        <v>743</v>
      </c>
      <c r="E1614" s="1">
        <v>518111</v>
      </c>
      <c r="F1614">
        <v>0</v>
      </c>
      <c r="G1614">
        <v>9442.43</v>
      </c>
      <c r="H1614">
        <v>11.2</v>
      </c>
      <c r="I1614">
        <v>6</v>
      </c>
      <c r="J1614">
        <v>98629</v>
      </c>
      <c r="K1614">
        <v>189090</v>
      </c>
      <c r="L1614" t="s">
        <v>52</v>
      </c>
      <c r="M1614" t="s">
        <v>1653</v>
      </c>
      <c r="N1614" t="s">
        <v>71</v>
      </c>
      <c r="O1614" t="s">
        <v>34</v>
      </c>
      <c r="P1614" t="s">
        <v>22</v>
      </c>
      <c r="Q1614" t="s">
        <v>23</v>
      </c>
      <c r="R1614" t="b">
        <f>OR(Таблица1[[#This Row],[Ежемесячный платеж]]&lt;$AC$5, Таблица1[[#This Row],[Ежемесячный платеж]]&gt;$AC$6)</f>
        <v>0</v>
      </c>
      <c r="T1614" s="9">
        <f>(Таблица1[[#This Row],[Кредитный рейтинг]]-586)/(751-586)</f>
        <v>0.95151515151515154</v>
      </c>
      <c r="U1614" s="9">
        <f>Таблица1[[#This Row],[Ежемесячный платеж]]/(Таблица1[[#This Row],[Годовой доход]]/12)</f>
        <v>0.21869668854743485</v>
      </c>
    </row>
    <row r="1615" spans="1:21" x14ac:dyDescent="0.3">
      <c r="A1615">
        <v>1614</v>
      </c>
      <c r="B1615">
        <v>0</v>
      </c>
      <c r="C1615" s="9">
        <v>540518</v>
      </c>
      <c r="D1615">
        <v>687</v>
      </c>
      <c r="E1615" s="1">
        <v>1556024</v>
      </c>
      <c r="F1615">
        <v>0</v>
      </c>
      <c r="G1615">
        <v>27360.19</v>
      </c>
      <c r="H1615">
        <v>14.6</v>
      </c>
      <c r="I1615">
        <v>10</v>
      </c>
      <c r="J1615">
        <v>2114738</v>
      </c>
      <c r="K1615">
        <v>2817760</v>
      </c>
      <c r="L1615" t="s">
        <v>24</v>
      </c>
      <c r="M1615" t="s">
        <v>1654</v>
      </c>
      <c r="N1615" t="s">
        <v>26</v>
      </c>
      <c r="O1615" t="s">
        <v>21</v>
      </c>
      <c r="P1615" t="s">
        <v>31</v>
      </c>
      <c r="Q1615" t="s">
        <v>23</v>
      </c>
      <c r="R1615" t="b">
        <f>OR(Таблица1[[#This Row],[Ежемесячный платеж]]&lt;$AC$5, Таблица1[[#This Row],[Ежемесячный платеж]]&gt;$AC$6)</f>
        <v>0</v>
      </c>
      <c r="S1615" s="9">
        <f>(Таблица1[[#This Row],[Размер кредита]]-21824)/(789096-21824)</f>
        <v>0.67602362656267923</v>
      </c>
      <c r="T1615" s="9">
        <f>(Таблица1[[#This Row],[Кредитный рейтинг]]-586)/(751-586)</f>
        <v>0.61212121212121207</v>
      </c>
      <c r="U1615" s="9">
        <f>Таблица1[[#This Row],[Ежемесячный платеж]]/(Таблица1[[#This Row],[Годовой доход]]/12)</f>
        <v>0.21100078147894891</v>
      </c>
    </row>
    <row r="1616" spans="1:21" x14ac:dyDescent="0.3">
      <c r="A1616">
        <v>1615</v>
      </c>
      <c r="B1616">
        <v>2</v>
      </c>
      <c r="C1616" s="9">
        <v>347688</v>
      </c>
      <c r="D1616">
        <v>703</v>
      </c>
      <c r="E1616" s="1">
        <v>1058699</v>
      </c>
      <c r="F1616">
        <v>48</v>
      </c>
      <c r="G1616">
        <v>9439.9599999999991</v>
      </c>
      <c r="H1616">
        <v>15.2</v>
      </c>
      <c r="I1616">
        <v>8</v>
      </c>
      <c r="J1616">
        <v>100111</v>
      </c>
      <c r="K1616">
        <v>287650</v>
      </c>
      <c r="L1616" t="s">
        <v>18</v>
      </c>
      <c r="M1616" t="s">
        <v>1655</v>
      </c>
      <c r="N1616" t="s">
        <v>26</v>
      </c>
      <c r="O1616" t="s">
        <v>21</v>
      </c>
      <c r="P1616" t="s">
        <v>31</v>
      </c>
      <c r="Q1616" t="s">
        <v>36</v>
      </c>
      <c r="R1616" t="b">
        <f>OR(Таблица1[[#This Row],[Ежемесячный платеж]]&lt;$AC$5, Таблица1[[#This Row],[Ежемесячный платеж]]&gt;$AC$6)</f>
        <v>0</v>
      </c>
      <c r="S1616" s="9">
        <f>(Таблица1[[#This Row],[Размер кредита]]-21824)/(789096-21824)</f>
        <v>0.42470466796650991</v>
      </c>
      <c r="T1616" s="9">
        <f>(Таблица1[[#This Row],[Кредитный рейтинг]]-586)/(751-586)</f>
        <v>0.70909090909090911</v>
      </c>
      <c r="U1616" s="9">
        <f>Таблица1[[#This Row],[Ежемесячный платеж]]/(Таблица1[[#This Row],[Годовой доход]]/12)</f>
        <v>0.10699879758080436</v>
      </c>
    </row>
    <row r="1617" spans="1:21" x14ac:dyDescent="0.3">
      <c r="A1617">
        <v>1616</v>
      </c>
      <c r="B1617">
        <v>0</v>
      </c>
      <c r="C1617" s="9">
        <v>134464</v>
      </c>
      <c r="D1617">
        <f>$Y$13</f>
        <v>723</v>
      </c>
      <c r="E1617">
        <f>$AB$13</f>
        <v>1168044</v>
      </c>
      <c r="F1617">
        <v>30</v>
      </c>
      <c r="G1617">
        <v>26965.75</v>
      </c>
      <c r="H1617">
        <v>8.3000000000000007</v>
      </c>
      <c r="I1617">
        <v>10</v>
      </c>
      <c r="J1617">
        <v>86298</v>
      </c>
      <c r="K1617">
        <v>167926</v>
      </c>
      <c r="L1617" t="s">
        <v>63</v>
      </c>
      <c r="M1617" t="s">
        <v>1656</v>
      </c>
      <c r="N1617" t="s">
        <v>68</v>
      </c>
      <c r="O1617" t="s">
        <v>28</v>
      </c>
      <c r="P1617" t="s">
        <v>22</v>
      </c>
      <c r="Q1617" t="s">
        <v>36</v>
      </c>
      <c r="R1617" t="b">
        <f>OR(Таблица1[[#This Row],[Ежемесячный платеж]]&lt;$AC$5, Таблица1[[#This Row],[Ежемесячный платеж]]&gt;$AC$6)</f>
        <v>0</v>
      </c>
      <c r="S1617" s="9">
        <f>(Таблица1[[#This Row],[Размер кредита]]-21824)/(789096-21824)</f>
        <v>0.14680582635623352</v>
      </c>
      <c r="T1617" s="9">
        <f>(Таблица1[[#This Row],[Кредитный рейтинг]]-586)/(751-586)</f>
        <v>0.83030303030303032</v>
      </c>
      <c r="U1617" s="9">
        <f>Таблица1[[#This Row],[Ежемесячный платеж]]/(Таблица1[[#This Row],[Годовой доход]]/12)</f>
        <v>0.27703494046457156</v>
      </c>
    </row>
    <row r="1618" spans="1:21" x14ac:dyDescent="0.3">
      <c r="A1618">
        <v>1617</v>
      </c>
      <c r="B1618">
        <v>0</v>
      </c>
      <c r="C1618" s="9">
        <v>211508</v>
      </c>
      <c r="D1618">
        <v>722</v>
      </c>
      <c r="E1618" s="1">
        <v>908010</v>
      </c>
      <c r="F1618">
        <v>18</v>
      </c>
      <c r="G1618">
        <v>13090.62</v>
      </c>
      <c r="H1618">
        <v>12.5</v>
      </c>
      <c r="I1618">
        <v>13</v>
      </c>
      <c r="J1618">
        <v>68989</v>
      </c>
      <c r="K1618">
        <v>108526</v>
      </c>
      <c r="L1618" t="s">
        <v>69</v>
      </c>
      <c r="M1618" t="s">
        <v>1657</v>
      </c>
      <c r="N1618" t="s">
        <v>26</v>
      </c>
      <c r="O1618" t="s">
        <v>21</v>
      </c>
      <c r="P1618" t="s">
        <v>22</v>
      </c>
      <c r="Q1618" t="s">
        <v>23</v>
      </c>
      <c r="R1618" t="b">
        <f>OR(Таблица1[[#This Row],[Ежемесячный платеж]]&lt;$AC$5, Таблица1[[#This Row],[Ежемесячный платеж]]&gt;$AC$6)</f>
        <v>0</v>
      </c>
      <c r="S1618" s="9">
        <f>(Таблица1[[#This Row],[Размер кредита]]-21824)/(789096-21824)</f>
        <v>0.24721871774286042</v>
      </c>
      <c r="T1618" s="9">
        <f>(Таблица1[[#This Row],[Кредитный рейтинг]]-586)/(751-586)</f>
        <v>0.82424242424242422</v>
      </c>
      <c r="U1618" s="9">
        <f>Таблица1[[#This Row],[Ежемесячный платеж]]/(Таблица1[[#This Row],[Годовой доход]]/12)</f>
        <v>0.17300188323917137</v>
      </c>
    </row>
    <row r="1619" spans="1:21" x14ac:dyDescent="0.3">
      <c r="A1619">
        <v>1618</v>
      </c>
      <c r="B1619">
        <v>0</v>
      </c>
      <c r="C1619" s="9">
        <v>175934</v>
      </c>
      <c r="D1619">
        <v>739</v>
      </c>
      <c r="E1619" s="1">
        <v>816677</v>
      </c>
      <c r="F1619">
        <v>12</v>
      </c>
      <c r="G1619">
        <v>3763.52</v>
      </c>
      <c r="H1619">
        <v>13.5</v>
      </c>
      <c r="I1619">
        <v>5</v>
      </c>
      <c r="J1619">
        <v>149055</v>
      </c>
      <c r="K1619">
        <v>221540</v>
      </c>
      <c r="L1619" t="s">
        <v>29</v>
      </c>
      <c r="M1619" t="s">
        <v>1658</v>
      </c>
      <c r="N1619" t="s">
        <v>26</v>
      </c>
      <c r="O1619" t="s">
        <v>34</v>
      </c>
      <c r="P1619" t="s">
        <v>22</v>
      </c>
      <c r="Q1619" t="s">
        <v>23</v>
      </c>
      <c r="R1619" t="b">
        <f>OR(Таблица1[[#This Row],[Ежемесячный платеж]]&lt;$AC$5, Таблица1[[#This Row],[Ежемесячный платеж]]&gt;$AC$6)</f>
        <v>0</v>
      </c>
      <c r="S1619" s="9">
        <f>(Таблица1[[#This Row],[Размер кредита]]-21824)/(789096-21824)</f>
        <v>0.20085445578621403</v>
      </c>
      <c r="T1619" s="9">
        <f>(Таблица1[[#This Row],[Кредитный рейтинг]]-586)/(751-586)</f>
        <v>0.92727272727272725</v>
      </c>
      <c r="U1619" s="9">
        <f>Таблица1[[#This Row],[Ежемесячный платеж]]/(Таблица1[[#This Row],[Годовой доход]]/12)</f>
        <v>5.5300002326501167E-2</v>
      </c>
    </row>
    <row r="1620" spans="1:21" x14ac:dyDescent="0.3">
      <c r="A1620">
        <v>1619</v>
      </c>
      <c r="B1620">
        <v>0</v>
      </c>
      <c r="C1620" s="9">
        <v>396506</v>
      </c>
      <c r="D1620">
        <v>721</v>
      </c>
      <c r="E1620" s="1">
        <v>1750280</v>
      </c>
      <c r="F1620">
        <v>41</v>
      </c>
      <c r="G1620">
        <v>13491.71</v>
      </c>
      <c r="H1620">
        <v>25.8</v>
      </c>
      <c r="I1620">
        <v>11</v>
      </c>
      <c r="J1620">
        <v>48013</v>
      </c>
      <c r="K1620">
        <v>96866</v>
      </c>
      <c r="L1620" t="s">
        <v>24</v>
      </c>
      <c r="M1620" t="s">
        <v>1659</v>
      </c>
      <c r="N1620" t="s">
        <v>26</v>
      </c>
      <c r="O1620" t="s">
        <v>21</v>
      </c>
      <c r="P1620" t="s">
        <v>31</v>
      </c>
      <c r="Q1620" t="s">
        <v>23</v>
      </c>
      <c r="R1620" t="b">
        <f>OR(Таблица1[[#This Row],[Ежемесячный платеж]]&lt;$AC$5, Таблица1[[#This Row],[Ежемесячный платеж]]&gt;$AC$6)</f>
        <v>0</v>
      </c>
      <c r="S1620" s="9">
        <f>(Таблица1[[#This Row],[Размер кредита]]-21824)/(789096-21824)</f>
        <v>0.48833008372519782</v>
      </c>
      <c r="T1620" s="9">
        <f>(Таблица1[[#This Row],[Кредитный рейтинг]]-586)/(751-586)</f>
        <v>0.81818181818181823</v>
      </c>
      <c r="U1620" s="9">
        <f>Таблица1[[#This Row],[Ежемесячный платеж]]/(Таблица1[[#This Row],[Годовой доход]]/12)</f>
        <v>9.2499782891880156E-2</v>
      </c>
    </row>
    <row r="1621" spans="1:21" x14ac:dyDescent="0.3">
      <c r="A1621">
        <v>1620</v>
      </c>
      <c r="B1621">
        <v>0</v>
      </c>
      <c r="C1621" s="9">
        <v>770616</v>
      </c>
      <c r="D1621">
        <v>694</v>
      </c>
      <c r="E1621" s="1">
        <v>1996596</v>
      </c>
      <c r="F1621">
        <v>0</v>
      </c>
      <c r="G1621">
        <v>50414.03</v>
      </c>
      <c r="H1621">
        <v>15.4</v>
      </c>
      <c r="I1621">
        <v>10</v>
      </c>
      <c r="J1621">
        <v>455031</v>
      </c>
      <c r="K1621">
        <v>1039214</v>
      </c>
      <c r="L1621" t="s">
        <v>41</v>
      </c>
      <c r="M1621" t="s">
        <v>1660</v>
      </c>
      <c r="N1621" t="s">
        <v>26</v>
      </c>
      <c r="O1621" t="s">
        <v>34</v>
      </c>
      <c r="P1621" t="s">
        <v>31</v>
      </c>
      <c r="Q1621" t="s">
        <v>36</v>
      </c>
      <c r="R1621" t="b">
        <f>OR(Таблица1[[#This Row],[Ежемесячный платеж]]&lt;$AC$5, Таблица1[[#This Row],[Ежемесячный платеж]]&gt;$AC$6)</f>
        <v>1</v>
      </c>
      <c r="S1621" s="9">
        <f>(Таблица1[[#This Row],[Размер кредита]]-21824)/(789096-21824)</f>
        <v>0.97591466911343039</v>
      </c>
      <c r="T1621" s="9">
        <f>(Таблица1[[#This Row],[Кредитный рейтинг]]-586)/(751-586)</f>
        <v>0.65454545454545454</v>
      </c>
      <c r="U1621" s="9">
        <f>Таблица1[[#This Row],[Ежемесячный платеж]]/(Таблица1[[#This Row],[Годовой доход]]/12)</f>
        <v>0.30299988580564119</v>
      </c>
    </row>
    <row r="1622" spans="1:21" x14ac:dyDescent="0.3">
      <c r="A1622">
        <v>1621</v>
      </c>
      <c r="B1622">
        <v>0</v>
      </c>
      <c r="C1622" s="9">
        <v>143352</v>
      </c>
      <c r="D1622">
        <v>699</v>
      </c>
      <c r="E1622" s="1">
        <v>671783</v>
      </c>
      <c r="F1622">
        <v>0</v>
      </c>
      <c r="G1622">
        <v>11868.16</v>
      </c>
      <c r="H1622">
        <v>9.9</v>
      </c>
      <c r="I1622">
        <v>7</v>
      </c>
      <c r="J1622">
        <v>236531</v>
      </c>
      <c r="K1622">
        <v>377740</v>
      </c>
      <c r="L1622" t="s">
        <v>37</v>
      </c>
      <c r="M1622" t="s">
        <v>1661</v>
      </c>
      <c r="N1622" t="s">
        <v>26</v>
      </c>
      <c r="O1622" t="s">
        <v>34</v>
      </c>
      <c r="P1622" t="s">
        <v>22</v>
      </c>
      <c r="Q1622" t="s">
        <v>23</v>
      </c>
      <c r="R1622" t="b">
        <f>OR(Таблица1[[#This Row],[Ежемесячный платеж]]&lt;$AC$5, Таблица1[[#This Row],[Ежемесячный платеж]]&gt;$AC$6)</f>
        <v>0</v>
      </c>
      <c r="S1622" s="9">
        <f>(Таблица1[[#This Row],[Размер кредита]]-21824)/(789096-21824)</f>
        <v>0.15838972359215506</v>
      </c>
      <c r="T1622" s="9">
        <f>(Таблица1[[#This Row],[Кредитный рейтинг]]-586)/(751-586)</f>
        <v>0.68484848484848482</v>
      </c>
      <c r="U1622" s="9">
        <f>Таблица1[[#This Row],[Ежемесячный платеж]]/(Таблица1[[#This Row],[Годовой доход]]/12)</f>
        <v>0.21199988686822976</v>
      </c>
    </row>
    <row r="1623" spans="1:21" x14ac:dyDescent="0.3">
      <c r="A1623">
        <v>1622</v>
      </c>
      <c r="B1623">
        <v>1</v>
      </c>
      <c r="C1623" s="9">
        <v>242748</v>
      </c>
      <c r="D1623">
        <v>680</v>
      </c>
      <c r="E1623" s="1">
        <v>795910</v>
      </c>
      <c r="F1623">
        <v>28</v>
      </c>
      <c r="G1623">
        <v>8887.44</v>
      </c>
      <c r="H1623">
        <v>11.3</v>
      </c>
      <c r="I1623">
        <v>6</v>
      </c>
      <c r="J1623">
        <v>111169</v>
      </c>
      <c r="K1623">
        <v>242880</v>
      </c>
      <c r="L1623" t="s">
        <v>24</v>
      </c>
      <c r="M1623" t="s">
        <v>1662</v>
      </c>
      <c r="N1623" t="s">
        <v>26</v>
      </c>
      <c r="O1623" t="s">
        <v>21</v>
      </c>
      <c r="P1623" t="s">
        <v>31</v>
      </c>
      <c r="Q1623" t="s">
        <v>36</v>
      </c>
      <c r="R1623" t="b">
        <f>OR(Таблица1[[#This Row],[Ежемесячный платеж]]&lt;$AC$5, Таблица1[[#This Row],[Ежемесячный платеж]]&gt;$AC$6)</f>
        <v>0</v>
      </c>
      <c r="S1623" s="9">
        <f>(Таблица1[[#This Row],[Размер кредита]]-21824)/(789096-21824)</f>
        <v>0.28793439614634708</v>
      </c>
      <c r="T1623" s="9">
        <f>(Таблица1[[#This Row],[Кредитный рейтинг]]-586)/(751-586)</f>
        <v>0.5696969696969697</v>
      </c>
      <c r="U1623" s="9">
        <f>Таблица1[[#This Row],[Ежемесячный платеж]]/(Таблица1[[#This Row],[Годовой доход]]/12)</f>
        <v>0.1339966579135832</v>
      </c>
    </row>
    <row r="1624" spans="1:21" x14ac:dyDescent="0.3">
      <c r="A1624">
        <v>1623</v>
      </c>
      <c r="B1624">
        <v>0</v>
      </c>
      <c r="C1624" s="9">
        <v>65230</v>
      </c>
      <c r="D1624">
        <v>741</v>
      </c>
      <c r="E1624" s="1">
        <v>1107776</v>
      </c>
      <c r="F1624">
        <v>0</v>
      </c>
      <c r="G1624">
        <v>5686.7</v>
      </c>
      <c r="H1624">
        <v>18.2</v>
      </c>
      <c r="I1624">
        <v>7</v>
      </c>
      <c r="J1624">
        <v>36347</v>
      </c>
      <c r="K1624">
        <v>243298</v>
      </c>
      <c r="L1624" t="s">
        <v>24</v>
      </c>
      <c r="M1624" t="s">
        <v>1663</v>
      </c>
      <c r="N1624" t="s">
        <v>76</v>
      </c>
      <c r="O1624" t="s">
        <v>34</v>
      </c>
      <c r="P1624" t="s">
        <v>22</v>
      </c>
      <c r="Q1624" t="s">
        <v>23</v>
      </c>
      <c r="R1624" t="b">
        <f>OR(Таблица1[[#This Row],[Ежемесячный платеж]]&lt;$AC$5, Таблица1[[#This Row],[Ежемесячный платеж]]&gt;$AC$6)</f>
        <v>0</v>
      </c>
      <c r="S1624" s="9">
        <f>(Таблица1[[#This Row],[Размер кредита]]-21824)/(789096-21824)</f>
        <v>5.6571854570478267E-2</v>
      </c>
      <c r="T1624" s="9">
        <f>(Таблица1[[#This Row],[Кредитный рейтинг]]-586)/(751-586)</f>
        <v>0.93939393939393945</v>
      </c>
      <c r="U1624" s="9">
        <f>Таблица1[[#This Row],[Ежемесячный платеж]]/(Таблица1[[#This Row],[Годовой доход]]/12)</f>
        <v>6.1601262349066953E-2</v>
      </c>
    </row>
    <row r="1625" spans="1:21" x14ac:dyDescent="0.3">
      <c r="A1625">
        <v>1624</v>
      </c>
      <c r="B1625">
        <v>0</v>
      </c>
      <c r="C1625" s="9">
        <v>265716</v>
      </c>
      <c r="D1625">
        <v>719</v>
      </c>
      <c r="E1625" s="1">
        <v>658312</v>
      </c>
      <c r="F1625">
        <v>0</v>
      </c>
      <c r="G1625">
        <v>11959.36</v>
      </c>
      <c r="H1625">
        <v>27.5</v>
      </c>
      <c r="I1625">
        <v>9</v>
      </c>
      <c r="J1625">
        <v>397119</v>
      </c>
      <c r="K1625">
        <v>594858</v>
      </c>
      <c r="L1625" t="s">
        <v>52</v>
      </c>
      <c r="M1625" t="s">
        <v>1664</v>
      </c>
      <c r="N1625" t="s">
        <v>26</v>
      </c>
      <c r="O1625" t="s">
        <v>34</v>
      </c>
      <c r="P1625" t="s">
        <v>22</v>
      </c>
      <c r="Q1625" t="s">
        <v>36</v>
      </c>
      <c r="R1625" t="b">
        <f>OR(Таблица1[[#This Row],[Ежемесячный платеж]]&lt;$AC$5, Таблица1[[#This Row],[Ежемесячный платеж]]&gt;$AC$6)</f>
        <v>0</v>
      </c>
      <c r="S1625" s="9">
        <f>(Таблица1[[#This Row],[Размер кредита]]-21824)/(789096-21824)</f>
        <v>0.31786902167679781</v>
      </c>
      <c r="T1625" s="9">
        <f>(Таблица1[[#This Row],[Кредитный рейтинг]]-586)/(751-586)</f>
        <v>0.80606060606060603</v>
      </c>
      <c r="U1625" s="9">
        <f>Таблица1[[#This Row],[Ежемесячный платеж]]/(Таблица1[[#This Row],[Годовой доход]]/12)</f>
        <v>0.21800046178711613</v>
      </c>
    </row>
    <row r="1626" spans="1:21" x14ac:dyDescent="0.3">
      <c r="A1626">
        <v>1625</v>
      </c>
      <c r="B1626">
        <v>2</v>
      </c>
      <c r="D1626">
        <v>680</v>
      </c>
      <c r="E1626" s="1">
        <v>870561</v>
      </c>
      <c r="F1626">
        <v>0</v>
      </c>
      <c r="G1626">
        <v>6993.52</v>
      </c>
      <c r="H1626">
        <v>30.5</v>
      </c>
      <c r="I1626">
        <v>10</v>
      </c>
      <c r="J1626">
        <v>261934</v>
      </c>
      <c r="K1626">
        <v>421256</v>
      </c>
      <c r="L1626" t="s">
        <v>32</v>
      </c>
      <c r="M1626" t="s">
        <v>1665</v>
      </c>
      <c r="N1626" t="s">
        <v>26</v>
      </c>
      <c r="O1626" t="s">
        <v>34</v>
      </c>
      <c r="P1626" t="s">
        <v>31</v>
      </c>
      <c r="Q1626" t="s">
        <v>23</v>
      </c>
      <c r="R1626" t="b">
        <f>OR(Таблица1[[#This Row],[Ежемесячный платеж]]&lt;$AC$5, Таблица1[[#This Row],[Ежемесячный платеж]]&gt;$AC$6)</f>
        <v>0</v>
      </c>
      <c r="T1626" s="9">
        <f>(Таблица1[[#This Row],[Кредитный рейтинг]]-586)/(751-586)</f>
        <v>0.5696969696969697</v>
      </c>
      <c r="U1626" s="9">
        <f>Таблица1[[#This Row],[Ежемесячный платеж]]/(Таблица1[[#This Row],[Годовой доход]]/12)</f>
        <v>9.6400183330059591E-2</v>
      </c>
    </row>
    <row r="1627" spans="1:21" x14ac:dyDescent="0.3">
      <c r="A1627">
        <v>1626</v>
      </c>
      <c r="B1627">
        <v>0</v>
      </c>
      <c r="C1627" s="9">
        <v>387244</v>
      </c>
      <c r="D1627">
        <v>725</v>
      </c>
      <c r="E1627" s="1">
        <v>2316480</v>
      </c>
      <c r="F1627">
        <v>0</v>
      </c>
      <c r="G1627">
        <v>4285.45</v>
      </c>
      <c r="H1627">
        <v>7.1</v>
      </c>
      <c r="I1627">
        <v>6</v>
      </c>
      <c r="J1627">
        <v>75544</v>
      </c>
      <c r="K1627">
        <v>403062</v>
      </c>
      <c r="L1627" t="s">
        <v>41</v>
      </c>
      <c r="M1627" t="s">
        <v>1666</v>
      </c>
      <c r="N1627" t="s">
        <v>68</v>
      </c>
      <c r="O1627" t="s">
        <v>34</v>
      </c>
      <c r="P1627" t="s">
        <v>22</v>
      </c>
      <c r="Q1627" t="s">
        <v>23</v>
      </c>
      <c r="R1627" t="b">
        <f>OR(Таблица1[[#This Row],[Ежемесячный платеж]]&lt;$AC$5, Таблица1[[#This Row],[Ежемесячный платеж]]&gt;$AC$6)</f>
        <v>0</v>
      </c>
      <c r="S1627" s="9">
        <f>(Таблица1[[#This Row],[Размер кредита]]-21824)/(789096-21824)</f>
        <v>0.47625874526895284</v>
      </c>
      <c r="T1627" s="9">
        <f>(Таблица1[[#This Row],[Кредитный рейтинг]]-586)/(751-586)</f>
        <v>0.84242424242424241</v>
      </c>
      <c r="U1627" s="9">
        <f>Таблица1[[#This Row],[Ежемесячный платеж]]/(Таблица1[[#This Row],[Годовой доход]]/12)</f>
        <v>2.2199803149606297E-2</v>
      </c>
    </row>
    <row r="1628" spans="1:21" x14ac:dyDescent="0.3">
      <c r="A1628">
        <v>1627</v>
      </c>
      <c r="B1628">
        <v>0</v>
      </c>
      <c r="C1628" s="9">
        <v>304678</v>
      </c>
      <c r="D1628">
        <f>$Y$13</f>
        <v>723</v>
      </c>
      <c r="E1628">
        <f>$AB$13</f>
        <v>1168044</v>
      </c>
      <c r="F1628">
        <v>3</v>
      </c>
      <c r="G1628">
        <v>28972.34</v>
      </c>
      <c r="H1628">
        <v>18.5</v>
      </c>
      <c r="I1628">
        <v>15</v>
      </c>
      <c r="J1628">
        <v>239020</v>
      </c>
      <c r="K1628">
        <v>685014</v>
      </c>
      <c r="L1628" t="s">
        <v>52</v>
      </c>
      <c r="M1628" t="s">
        <v>1667</v>
      </c>
      <c r="N1628" t="s">
        <v>26</v>
      </c>
      <c r="O1628" t="s">
        <v>34</v>
      </c>
      <c r="P1628" t="s">
        <v>22</v>
      </c>
      <c r="Q1628" t="s">
        <v>23</v>
      </c>
      <c r="R1628" t="b">
        <f>OR(Таблица1[[#This Row],[Ежемесячный платеж]]&lt;$AC$5, Таблица1[[#This Row],[Ежемесячный платеж]]&gt;$AC$6)</f>
        <v>0</v>
      </c>
      <c r="S1628" s="9">
        <f>(Таблица1[[#This Row],[Размер кредита]]-21824)/(789096-21824)</f>
        <v>0.36864892762931528</v>
      </c>
      <c r="T1628" s="9">
        <f>(Таблица1[[#This Row],[Кредитный рейтинг]]-586)/(751-586)</f>
        <v>0.83030303030303032</v>
      </c>
      <c r="U1628" s="9">
        <f>Таблица1[[#This Row],[Ежемесячный платеж]]/(Таблица1[[#This Row],[Годовой доход]]/12)</f>
        <v>0.29764981456178019</v>
      </c>
    </row>
    <row r="1629" spans="1:21" x14ac:dyDescent="0.3">
      <c r="A1629">
        <v>1628</v>
      </c>
      <c r="B1629">
        <v>0</v>
      </c>
      <c r="C1629" s="9">
        <v>751300</v>
      </c>
      <c r="D1629">
        <v>716</v>
      </c>
      <c r="E1629" s="1">
        <v>3614978</v>
      </c>
      <c r="F1629">
        <v>69</v>
      </c>
      <c r="G1629">
        <v>72600.710000000006</v>
      </c>
      <c r="H1629">
        <v>11.9</v>
      </c>
      <c r="I1629">
        <v>29</v>
      </c>
      <c r="J1629">
        <v>957752</v>
      </c>
      <c r="K1629">
        <v>2128522</v>
      </c>
      <c r="L1629" t="s">
        <v>69</v>
      </c>
      <c r="M1629" t="s">
        <v>1065</v>
      </c>
      <c r="N1629" t="s">
        <v>26</v>
      </c>
      <c r="O1629" t="s">
        <v>21</v>
      </c>
      <c r="P1629" t="s">
        <v>22</v>
      </c>
      <c r="Q1629" t="s">
        <v>23</v>
      </c>
      <c r="R1629" t="b">
        <f>OR(Таблица1[[#This Row],[Ежемесячный платеж]]&lt;$AC$5, Таблица1[[#This Row],[Ежемесячный платеж]]&gt;$AC$6)</f>
        <v>1</v>
      </c>
      <c r="S1629" s="9">
        <f>(Таблица1[[#This Row],[Размер кредита]]-21824)/(789096-21824)</f>
        <v>0.95073976373437319</v>
      </c>
      <c r="T1629" s="9">
        <f>(Таблица1[[#This Row],[Кредитный рейтинг]]-586)/(751-586)</f>
        <v>0.78787878787878785</v>
      </c>
      <c r="U1629" s="9">
        <f>Таблица1[[#This Row],[Ежемесячный платеж]]/(Таблица1[[#This Row],[Годовой доход]]/12)</f>
        <v>0.24099967413356319</v>
      </c>
    </row>
    <row r="1630" spans="1:21" x14ac:dyDescent="0.3">
      <c r="A1630">
        <v>1629</v>
      </c>
      <c r="B1630">
        <v>0</v>
      </c>
      <c r="D1630">
        <v>733</v>
      </c>
      <c r="E1630" s="1">
        <v>1503280</v>
      </c>
      <c r="F1630">
        <v>74</v>
      </c>
      <c r="G1630">
        <v>31694.28</v>
      </c>
      <c r="H1630">
        <v>15.5</v>
      </c>
      <c r="I1630">
        <v>11</v>
      </c>
      <c r="J1630">
        <v>497344</v>
      </c>
      <c r="K1630">
        <v>1225268</v>
      </c>
      <c r="L1630" t="s">
        <v>41</v>
      </c>
      <c r="M1630" t="s">
        <v>1668</v>
      </c>
      <c r="N1630" t="s">
        <v>26</v>
      </c>
      <c r="O1630" t="s">
        <v>21</v>
      </c>
      <c r="P1630" t="s">
        <v>31</v>
      </c>
      <c r="Q1630" t="s">
        <v>23</v>
      </c>
      <c r="R1630" t="b">
        <f>OR(Таблица1[[#This Row],[Ежемесячный платеж]]&lt;$AC$5, Таблица1[[#This Row],[Ежемесячный платеж]]&gt;$AC$6)</f>
        <v>0</v>
      </c>
      <c r="T1630" s="9">
        <f>(Таблица1[[#This Row],[Кредитный рейтинг]]-586)/(751-586)</f>
        <v>0.89090909090909087</v>
      </c>
      <c r="U1630" s="9">
        <f>Таблица1[[#This Row],[Ежемесячный платеж]]/(Таблица1[[#This Row],[Годовой доход]]/12)</f>
        <v>0.2530010111223458</v>
      </c>
    </row>
    <row r="1631" spans="1:21" x14ac:dyDescent="0.3">
      <c r="A1631">
        <v>1630</v>
      </c>
      <c r="B1631">
        <v>0</v>
      </c>
      <c r="C1631" s="9">
        <v>334158</v>
      </c>
      <c r="D1631">
        <v>674</v>
      </c>
      <c r="E1631" s="1">
        <v>1074013</v>
      </c>
      <c r="F1631">
        <v>0</v>
      </c>
      <c r="G1631">
        <v>9003.91</v>
      </c>
      <c r="H1631">
        <v>10.7</v>
      </c>
      <c r="I1631">
        <v>11</v>
      </c>
      <c r="J1631">
        <v>261155</v>
      </c>
      <c r="K1631">
        <v>316316</v>
      </c>
      <c r="L1631" t="s">
        <v>32</v>
      </c>
      <c r="M1631" t="s">
        <v>1669</v>
      </c>
      <c r="N1631" t="s">
        <v>26</v>
      </c>
      <c r="O1631" t="s">
        <v>28</v>
      </c>
      <c r="P1631" t="s">
        <v>31</v>
      </c>
      <c r="Q1631" t="s">
        <v>23</v>
      </c>
      <c r="R1631" t="b">
        <f>OR(Таблица1[[#This Row],[Ежемесячный платеж]]&lt;$AC$5, Таблица1[[#This Row],[Ежемесячный платеж]]&gt;$AC$6)</f>
        <v>0</v>
      </c>
      <c r="S1631" s="9">
        <f>(Таблица1[[#This Row],[Размер кредита]]-21824)/(789096-21824)</f>
        <v>0.40707076499598577</v>
      </c>
      <c r="T1631" s="9">
        <f>(Таблица1[[#This Row],[Кредитный рейтинг]]-586)/(751-586)</f>
        <v>0.53333333333333333</v>
      </c>
      <c r="U1631" s="9">
        <f>Таблица1[[#This Row],[Ежемесячный платеж]]/(Таблица1[[#This Row],[Годовой доход]]/12)</f>
        <v>0.10060112866417818</v>
      </c>
    </row>
    <row r="1632" spans="1:21" x14ac:dyDescent="0.3">
      <c r="A1632">
        <v>1631</v>
      </c>
      <c r="B1632">
        <v>0</v>
      </c>
      <c r="C1632" s="9">
        <v>213378</v>
      </c>
      <c r="D1632">
        <f>$Y$13</f>
        <v>723</v>
      </c>
      <c r="E1632">
        <f>$AB$13</f>
        <v>1168044</v>
      </c>
      <c r="F1632">
        <v>0</v>
      </c>
      <c r="G1632">
        <v>10135.36</v>
      </c>
      <c r="H1632">
        <v>9.3000000000000007</v>
      </c>
      <c r="I1632">
        <v>10</v>
      </c>
      <c r="J1632">
        <v>231686</v>
      </c>
      <c r="K1632">
        <v>379984</v>
      </c>
      <c r="L1632" t="s">
        <v>24</v>
      </c>
      <c r="M1632" t="s">
        <v>1670</v>
      </c>
      <c r="N1632" t="s">
        <v>26</v>
      </c>
      <c r="O1632" t="s">
        <v>21</v>
      </c>
      <c r="P1632" t="s">
        <v>22</v>
      </c>
      <c r="Q1632" t="s">
        <v>36</v>
      </c>
      <c r="R1632" t="b">
        <f>OR(Таблица1[[#This Row],[Ежемесячный платеж]]&lt;$AC$5, Таблица1[[#This Row],[Ежемесячный платеж]]&gt;$AC$6)</f>
        <v>0</v>
      </c>
      <c r="S1632" s="9">
        <f>(Таблица1[[#This Row],[Размер кредита]]-21824)/(789096-21824)</f>
        <v>0.24965592384447757</v>
      </c>
      <c r="T1632" s="9">
        <f>(Таблица1[[#This Row],[Кредитный рейтинг]]-586)/(751-586)</f>
        <v>0.83030303030303032</v>
      </c>
      <c r="U1632" s="9">
        <f>Таблица1[[#This Row],[Ежемесячный платеж]]/(Таблица1[[#This Row],[Годовой доход]]/12)</f>
        <v>0.10412648838571151</v>
      </c>
    </row>
    <row r="1633" spans="1:21" x14ac:dyDescent="0.3">
      <c r="A1633">
        <v>1632</v>
      </c>
      <c r="B1633">
        <v>0</v>
      </c>
      <c r="C1633" s="9">
        <v>314688</v>
      </c>
      <c r="D1633">
        <f>$Y$13</f>
        <v>723</v>
      </c>
      <c r="E1633">
        <f>$AB$13</f>
        <v>1168044</v>
      </c>
      <c r="F1633">
        <v>0</v>
      </c>
      <c r="G1633">
        <v>8736.01</v>
      </c>
      <c r="H1633">
        <v>18.600000000000001</v>
      </c>
      <c r="I1633">
        <v>13</v>
      </c>
      <c r="J1633">
        <v>188480</v>
      </c>
      <c r="K1633">
        <v>808258</v>
      </c>
      <c r="L1633" t="s">
        <v>41</v>
      </c>
      <c r="M1633" t="s">
        <v>1671</v>
      </c>
      <c r="N1633" t="s">
        <v>68</v>
      </c>
      <c r="O1633" t="s">
        <v>21</v>
      </c>
      <c r="P1633" t="s">
        <v>22</v>
      </c>
      <c r="Q1633" t="s">
        <v>23</v>
      </c>
      <c r="R1633" t="b">
        <f>OR(Таблица1[[#This Row],[Ежемесячный платеж]]&lt;$AC$5, Таблица1[[#This Row],[Ежемесячный платеж]]&gt;$AC$6)</f>
        <v>0</v>
      </c>
      <c r="S1633" s="9">
        <f>(Таблица1[[#This Row],[Размер кредита]]-21824)/(789096-21824)</f>
        <v>0.38169514852620712</v>
      </c>
      <c r="T1633" s="9">
        <f>(Таблица1[[#This Row],[Кредитный рейтинг]]-586)/(751-586)</f>
        <v>0.83030303030303032</v>
      </c>
      <c r="U1633" s="9">
        <f>Таблица1[[#This Row],[Ежемесячный платеж]]/(Таблица1[[#This Row],[Годовой доход]]/12)</f>
        <v>8.9750146398594577E-2</v>
      </c>
    </row>
    <row r="1634" spans="1:21" x14ac:dyDescent="0.3">
      <c r="A1634">
        <v>1633</v>
      </c>
      <c r="B1634">
        <v>0</v>
      </c>
      <c r="C1634" s="9">
        <v>191686</v>
      </c>
      <c r="D1634">
        <v>710</v>
      </c>
      <c r="E1634" s="1">
        <v>1166334</v>
      </c>
      <c r="F1634">
        <v>16</v>
      </c>
      <c r="G1634">
        <v>13510.14</v>
      </c>
      <c r="H1634">
        <v>23.4</v>
      </c>
      <c r="I1634">
        <v>5</v>
      </c>
      <c r="J1634">
        <v>423282</v>
      </c>
      <c r="K1634">
        <v>527010</v>
      </c>
      <c r="L1634" t="s">
        <v>63</v>
      </c>
      <c r="M1634" t="s">
        <v>1672</v>
      </c>
      <c r="N1634" t="s">
        <v>68</v>
      </c>
      <c r="O1634" t="s">
        <v>21</v>
      </c>
      <c r="P1634" t="s">
        <v>22</v>
      </c>
      <c r="Q1634" t="s">
        <v>36</v>
      </c>
      <c r="R1634" t="b">
        <f>OR(Таблица1[[#This Row],[Ежемесячный платеж]]&lt;$AC$5, Таблица1[[#This Row],[Ежемесячный платеж]]&gt;$AC$6)</f>
        <v>0</v>
      </c>
      <c r="S1634" s="9">
        <f>(Таблица1[[#This Row],[Размер кредита]]-21824)/(789096-21824)</f>
        <v>0.22138433306571856</v>
      </c>
      <c r="T1634" s="9">
        <f>(Таблица1[[#This Row],[Кредитный рейтинг]]-586)/(751-586)</f>
        <v>0.75151515151515147</v>
      </c>
      <c r="U1634" s="9">
        <f>Таблица1[[#This Row],[Ежемесячный платеж]]/(Таблица1[[#This Row],[Годовой доход]]/12)</f>
        <v>0.1390010751637181</v>
      </c>
    </row>
    <row r="1635" spans="1:21" x14ac:dyDescent="0.3">
      <c r="A1635">
        <v>1634</v>
      </c>
      <c r="B1635">
        <v>0</v>
      </c>
      <c r="D1635">
        <v>737</v>
      </c>
      <c r="E1635" s="1">
        <v>898358</v>
      </c>
      <c r="F1635">
        <v>69</v>
      </c>
      <c r="G1635">
        <v>16919.12</v>
      </c>
      <c r="H1635">
        <v>28.9</v>
      </c>
      <c r="I1635">
        <v>12</v>
      </c>
      <c r="J1635">
        <v>607886</v>
      </c>
      <c r="K1635">
        <v>889834</v>
      </c>
      <c r="L1635" t="s">
        <v>29</v>
      </c>
      <c r="M1635" t="s">
        <v>1673</v>
      </c>
      <c r="N1635" t="s">
        <v>26</v>
      </c>
      <c r="O1635" t="s">
        <v>21</v>
      </c>
      <c r="P1635" t="s">
        <v>22</v>
      </c>
      <c r="Q1635" t="s">
        <v>23</v>
      </c>
      <c r="R1635" t="b">
        <f>OR(Таблица1[[#This Row],[Ежемесячный платеж]]&lt;$AC$5, Таблица1[[#This Row],[Ежемесячный платеж]]&gt;$AC$6)</f>
        <v>0</v>
      </c>
      <c r="T1635" s="9">
        <f>(Таблица1[[#This Row],[Кредитный рейтинг]]-586)/(751-586)</f>
        <v>0.91515151515151516</v>
      </c>
      <c r="U1635" s="9">
        <f>Таблица1[[#This Row],[Ежемесячный платеж]]/(Таблица1[[#This Row],[Годовой доход]]/12)</f>
        <v>0.22600059219153162</v>
      </c>
    </row>
    <row r="1636" spans="1:21" x14ac:dyDescent="0.3">
      <c r="A1636">
        <v>1635</v>
      </c>
      <c r="B1636">
        <v>0</v>
      </c>
      <c r="C1636" s="9">
        <v>323840</v>
      </c>
      <c r="D1636">
        <v>672</v>
      </c>
      <c r="E1636" s="1">
        <v>1277161</v>
      </c>
      <c r="F1636">
        <v>0</v>
      </c>
      <c r="G1636">
        <v>15112.98</v>
      </c>
      <c r="H1636">
        <v>8.5</v>
      </c>
      <c r="I1636">
        <v>10</v>
      </c>
      <c r="J1636">
        <v>292220</v>
      </c>
      <c r="K1636">
        <v>716870</v>
      </c>
      <c r="L1636" t="s">
        <v>52</v>
      </c>
      <c r="M1636" t="s">
        <v>1674</v>
      </c>
      <c r="N1636" t="s">
        <v>68</v>
      </c>
      <c r="O1636" t="s">
        <v>34</v>
      </c>
      <c r="P1636" t="s">
        <v>31</v>
      </c>
      <c r="Q1636" t="s">
        <v>23</v>
      </c>
      <c r="R1636" t="b">
        <f>OR(Таблица1[[#This Row],[Ежемесячный платеж]]&lt;$AC$5, Таблица1[[#This Row],[Ежемесячный платеж]]&gt;$AC$6)</f>
        <v>0</v>
      </c>
      <c r="S1636" s="9">
        <f>(Таблица1[[#This Row],[Размер кредита]]-21824)/(789096-21824)</f>
        <v>0.39362312191765109</v>
      </c>
      <c r="T1636" s="9">
        <f>(Таблица1[[#This Row],[Кредитный рейтинг]]-586)/(751-586)</f>
        <v>0.52121212121212124</v>
      </c>
      <c r="U1636" s="9">
        <f>Таблица1[[#This Row],[Ежемесячный платеж]]/(Таблица1[[#This Row],[Годовой доход]]/12)</f>
        <v>0.14199913714872284</v>
      </c>
    </row>
    <row r="1637" spans="1:21" x14ac:dyDescent="0.3">
      <c r="A1637">
        <v>1636</v>
      </c>
      <c r="B1637">
        <v>0</v>
      </c>
      <c r="C1637" s="9">
        <v>348612</v>
      </c>
      <c r="D1637">
        <v>719</v>
      </c>
      <c r="E1637" s="1">
        <v>715065</v>
      </c>
      <c r="F1637">
        <v>0</v>
      </c>
      <c r="G1637">
        <v>19247.189999999999</v>
      </c>
      <c r="H1637">
        <v>12</v>
      </c>
      <c r="I1637">
        <v>12</v>
      </c>
      <c r="J1637">
        <v>288895</v>
      </c>
      <c r="K1637">
        <v>427218</v>
      </c>
      <c r="L1637" t="s">
        <v>24</v>
      </c>
      <c r="M1637" t="s">
        <v>1675</v>
      </c>
      <c r="N1637" t="s">
        <v>26</v>
      </c>
      <c r="O1637" t="s">
        <v>34</v>
      </c>
      <c r="P1637" t="s">
        <v>22</v>
      </c>
      <c r="Q1637" t="s">
        <v>23</v>
      </c>
      <c r="R1637" t="b">
        <f>OR(Таблица1[[#This Row],[Ежемесячный платеж]]&lt;$AC$5, Таблица1[[#This Row],[Ежемесячный платеж]]&gt;$AC$6)</f>
        <v>0</v>
      </c>
      <c r="S1637" s="9">
        <f>(Таблица1[[#This Row],[Размер кредита]]-21824)/(789096-21824)</f>
        <v>0.42590893451083839</v>
      </c>
      <c r="T1637" s="9">
        <f>(Таблица1[[#This Row],[Кредитный рейтинг]]-586)/(751-586)</f>
        <v>0.80606060606060603</v>
      </c>
      <c r="U1637" s="9">
        <f>Таблица1[[#This Row],[Ежемесячный платеж]]/(Таблица1[[#This Row],[Годовой доход]]/12)</f>
        <v>0.32300039856516538</v>
      </c>
    </row>
    <row r="1638" spans="1:21" x14ac:dyDescent="0.3">
      <c r="A1638">
        <v>1637</v>
      </c>
      <c r="B1638">
        <v>0</v>
      </c>
      <c r="D1638">
        <v>730</v>
      </c>
      <c r="E1638" s="1">
        <v>758328</v>
      </c>
      <c r="F1638">
        <v>14</v>
      </c>
      <c r="G1638">
        <v>9416.02</v>
      </c>
      <c r="H1638">
        <v>12.7</v>
      </c>
      <c r="I1638">
        <v>21</v>
      </c>
      <c r="J1638">
        <v>147079</v>
      </c>
      <c r="K1638">
        <v>743666</v>
      </c>
      <c r="L1638" t="s">
        <v>41</v>
      </c>
      <c r="M1638" t="s">
        <v>1676</v>
      </c>
      <c r="N1638" t="s">
        <v>26</v>
      </c>
      <c r="O1638" t="s">
        <v>34</v>
      </c>
      <c r="P1638" t="s">
        <v>22</v>
      </c>
      <c r="Q1638" t="s">
        <v>23</v>
      </c>
      <c r="R1638" t="b">
        <f>OR(Таблица1[[#This Row],[Ежемесячный платеж]]&lt;$AC$5, Таблица1[[#This Row],[Ежемесячный платеж]]&gt;$AC$6)</f>
        <v>0</v>
      </c>
      <c r="T1638" s="9">
        <f>(Таблица1[[#This Row],[Кредитный рейтинг]]-586)/(751-586)</f>
        <v>0.87272727272727268</v>
      </c>
      <c r="U1638" s="9">
        <f>Таблица1[[#This Row],[Ежемесячный платеж]]/(Таблица1[[#This Row],[Годовой доход]]/12)</f>
        <v>0.14900180396873122</v>
      </c>
    </row>
    <row r="1639" spans="1:21" x14ac:dyDescent="0.3">
      <c r="A1639">
        <v>1638</v>
      </c>
      <c r="B1639">
        <v>0</v>
      </c>
      <c r="C1639" s="9">
        <v>265760</v>
      </c>
      <c r="D1639">
        <v>711</v>
      </c>
      <c r="E1639" s="1">
        <v>994612</v>
      </c>
      <c r="F1639">
        <v>11</v>
      </c>
      <c r="G1639">
        <v>15002.21</v>
      </c>
      <c r="H1639">
        <v>34.200000000000003</v>
      </c>
      <c r="I1639">
        <v>10</v>
      </c>
      <c r="J1639">
        <v>350854</v>
      </c>
      <c r="K1639">
        <v>766502</v>
      </c>
      <c r="L1639" t="s">
        <v>29</v>
      </c>
      <c r="M1639" t="s">
        <v>1677</v>
      </c>
      <c r="N1639" t="s">
        <v>68</v>
      </c>
      <c r="O1639" t="s">
        <v>21</v>
      </c>
      <c r="P1639" t="s">
        <v>31</v>
      </c>
      <c r="Q1639" t="s">
        <v>36</v>
      </c>
      <c r="R1639" t="b">
        <f>OR(Таблица1[[#This Row],[Ежемесячный платеж]]&lt;$AC$5, Таблица1[[#This Row],[Ежемесячный платеж]]&gt;$AC$6)</f>
        <v>0</v>
      </c>
      <c r="S1639" s="9">
        <f>(Таблица1[[#This Row],[Размер кредита]]-21824)/(789096-21824)</f>
        <v>0.3179263677027182</v>
      </c>
      <c r="T1639" s="9">
        <f>(Таблица1[[#This Row],[Кредитный рейтинг]]-586)/(751-586)</f>
        <v>0.75757575757575757</v>
      </c>
      <c r="U1639" s="9">
        <f>Таблица1[[#This Row],[Ежемесячный платеж]]/(Таблица1[[#This Row],[Годовой доход]]/12)</f>
        <v>0.1810017574692443</v>
      </c>
    </row>
    <row r="1640" spans="1:21" x14ac:dyDescent="0.3">
      <c r="A1640">
        <v>1639</v>
      </c>
      <c r="B1640">
        <v>0</v>
      </c>
      <c r="C1640" s="9">
        <v>106766</v>
      </c>
      <c r="D1640">
        <v>728</v>
      </c>
      <c r="E1640" s="1">
        <v>1786608</v>
      </c>
      <c r="F1640">
        <v>6</v>
      </c>
      <c r="G1640">
        <v>22034.87</v>
      </c>
      <c r="H1640">
        <v>11.9</v>
      </c>
      <c r="I1640">
        <v>10</v>
      </c>
      <c r="J1640">
        <v>82346</v>
      </c>
      <c r="K1640">
        <v>226996</v>
      </c>
      <c r="L1640" t="s">
        <v>37</v>
      </c>
      <c r="M1640" t="s">
        <v>1678</v>
      </c>
      <c r="N1640" t="s">
        <v>26</v>
      </c>
      <c r="O1640" t="s">
        <v>34</v>
      </c>
      <c r="P1640" t="s">
        <v>22</v>
      </c>
      <c r="Q1640" t="s">
        <v>23</v>
      </c>
      <c r="R1640" t="b">
        <f>OR(Таблица1[[#This Row],[Ежемесячный платеж]]&lt;$AC$5, Таблица1[[#This Row],[Ежемесячный платеж]]&gt;$AC$6)</f>
        <v>0</v>
      </c>
      <c r="S1640" s="9">
        <f>(Таблица1[[#This Row],[Размер кредита]]-21824)/(789096-21824)</f>
        <v>0.11070650303933938</v>
      </c>
      <c r="T1640" s="9">
        <f>(Таблица1[[#This Row],[Кредитный рейтинг]]-586)/(751-586)</f>
        <v>0.8606060606060606</v>
      </c>
      <c r="U1640" s="9">
        <f>Таблица1[[#This Row],[Ежемесячный платеж]]/(Таблица1[[#This Row],[Годовой доход]]/12)</f>
        <v>0.14800025523226135</v>
      </c>
    </row>
    <row r="1641" spans="1:21" x14ac:dyDescent="0.3">
      <c r="A1641">
        <v>1640</v>
      </c>
      <c r="B1641">
        <v>0</v>
      </c>
      <c r="C1641" s="9">
        <v>109890</v>
      </c>
      <c r="D1641">
        <v>718</v>
      </c>
      <c r="E1641" s="1">
        <v>778145</v>
      </c>
      <c r="F1641">
        <v>8</v>
      </c>
      <c r="G1641">
        <v>6056.63</v>
      </c>
      <c r="H1641">
        <v>15.1</v>
      </c>
      <c r="I1641">
        <v>8</v>
      </c>
      <c r="J1641">
        <v>75962</v>
      </c>
      <c r="K1641">
        <v>158180</v>
      </c>
      <c r="L1641" t="s">
        <v>47</v>
      </c>
      <c r="M1641" t="s">
        <v>1679</v>
      </c>
      <c r="N1641" t="s">
        <v>26</v>
      </c>
      <c r="O1641" t="s">
        <v>21</v>
      </c>
      <c r="P1641" t="s">
        <v>22</v>
      </c>
      <c r="Q1641" t="s">
        <v>23</v>
      </c>
      <c r="R1641" t="b">
        <f>OR(Таблица1[[#This Row],[Ежемесячный платеж]]&lt;$AC$5, Таблица1[[#This Row],[Ежемесячный платеж]]&gt;$AC$6)</f>
        <v>0</v>
      </c>
      <c r="S1641" s="9">
        <f>(Таблица1[[#This Row],[Размер кредита]]-21824)/(789096-21824)</f>
        <v>0.11477807087968804</v>
      </c>
      <c r="T1641" s="9">
        <f>(Таблица1[[#This Row],[Кредитный рейтинг]]-586)/(751-586)</f>
        <v>0.8</v>
      </c>
      <c r="U1641" s="9">
        <f>Таблица1[[#This Row],[Ежемесячный платеж]]/(Таблица1[[#This Row],[Годовой доход]]/12)</f>
        <v>9.3401049932853142E-2</v>
      </c>
    </row>
    <row r="1642" spans="1:21" x14ac:dyDescent="0.3">
      <c r="A1642">
        <v>1641</v>
      </c>
      <c r="B1642">
        <v>0</v>
      </c>
      <c r="C1642" s="9">
        <v>356444</v>
      </c>
      <c r="D1642">
        <f>$Y$13</f>
        <v>723</v>
      </c>
      <c r="E1642">
        <f>$AB$13</f>
        <v>1168044</v>
      </c>
      <c r="F1642">
        <v>0</v>
      </c>
      <c r="G1642">
        <v>4368.67</v>
      </c>
      <c r="H1642">
        <v>14.9</v>
      </c>
      <c r="I1642">
        <v>8</v>
      </c>
      <c r="J1642">
        <v>155306</v>
      </c>
      <c r="K1642">
        <v>222816</v>
      </c>
      <c r="L1642" t="s">
        <v>24</v>
      </c>
      <c r="M1642" t="s">
        <v>1680</v>
      </c>
      <c r="N1642" t="s">
        <v>26</v>
      </c>
      <c r="O1642" t="s">
        <v>21</v>
      </c>
      <c r="P1642" t="s">
        <v>22</v>
      </c>
      <c r="Q1642" t="s">
        <v>36</v>
      </c>
      <c r="R1642" t="b">
        <f>OR(Таблица1[[#This Row],[Ежемесячный платеж]]&lt;$AC$5, Таблица1[[#This Row],[Ежемесячный платеж]]&gt;$AC$6)</f>
        <v>0</v>
      </c>
      <c r="S1642" s="9">
        <f>(Таблица1[[#This Row],[Размер кредита]]-21824)/(789096-21824)</f>
        <v>0.43611652712467025</v>
      </c>
      <c r="T1642" s="9">
        <f>(Таблица1[[#This Row],[Кредитный рейтинг]]-586)/(751-586)</f>
        <v>0.83030303030303032</v>
      </c>
      <c r="U1642" s="9">
        <f>Таблица1[[#This Row],[Ежемесячный платеж]]/(Таблица1[[#This Row],[Годовой доход]]/12)</f>
        <v>4.4881905133710716E-2</v>
      </c>
    </row>
    <row r="1643" spans="1:21" x14ac:dyDescent="0.3">
      <c r="A1643">
        <v>1642</v>
      </c>
      <c r="B1643">
        <v>0</v>
      </c>
      <c r="C1643" s="9">
        <v>221716</v>
      </c>
      <c r="D1643">
        <v>719</v>
      </c>
      <c r="E1643" s="1">
        <v>1131906</v>
      </c>
      <c r="F1643">
        <v>27</v>
      </c>
      <c r="G1643">
        <v>20940.28</v>
      </c>
      <c r="H1643">
        <v>14.7</v>
      </c>
      <c r="I1643">
        <v>13</v>
      </c>
      <c r="J1643">
        <v>111150</v>
      </c>
      <c r="K1643">
        <v>262130</v>
      </c>
      <c r="L1643" t="s">
        <v>24</v>
      </c>
      <c r="M1643" t="s">
        <v>1681</v>
      </c>
      <c r="N1643" t="s">
        <v>26</v>
      </c>
      <c r="O1643" t="s">
        <v>34</v>
      </c>
      <c r="P1643" t="s">
        <v>31</v>
      </c>
      <c r="Q1643" t="s">
        <v>23</v>
      </c>
      <c r="R1643" t="b">
        <f>OR(Таблица1[[#This Row],[Ежемесячный платеж]]&lt;$AC$5, Таблица1[[#This Row],[Ежемесячный платеж]]&gt;$AC$6)</f>
        <v>0</v>
      </c>
      <c r="S1643" s="9">
        <f>(Таблица1[[#This Row],[Размер кредита]]-21824)/(789096-21824)</f>
        <v>0.26052299575639409</v>
      </c>
      <c r="T1643" s="9">
        <f>(Таблица1[[#This Row],[Кредитный рейтинг]]-586)/(751-586)</f>
        <v>0.80606060606060603</v>
      </c>
      <c r="U1643" s="9">
        <f>Таблица1[[#This Row],[Ежемесячный платеж]]/(Таблица1[[#This Row],[Годовой доход]]/12)</f>
        <v>0.22200020143015409</v>
      </c>
    </row>
    <row r="1644" spans="1:21" x14ac:dyDescent="0.3">
      <c r="A1644">
        <v>1643</v>
      </c>
      <c r="B1644">
        <v>0</v>
      </c>
      <c r="C1644" s="9">
        <v>510488</v>
      </c>
      <c r="D1644">
        <v>685</v>
      </c>
      <c r="E1644" s="1">
        <v>1102171</v>
      </c>
      <c r="F1644">
        <v>15</v>
      </c>
      <c r="G1644">
        <v>14971.05</v>
      </c>
      <c r="H1644">
        <v>26</v>
      </c>
      <c r="I1644">
        <v>9</v>
      </c>
      <c r="J1644">
        <v>428906</v>
      </c>
      <c r="K1644">
        <v>1232308</v>
      </c>
      <c r="L1644" t="s">
        <v>18</v>
      </c>
      <c r="M1644" t="s">
        <v>1682</v>
      </c>
      <c r="N1644" t="s">
        <v>26</v>
      </c>
      <c r="O1644" t="s">
        <v>34</v>
      </c>
      <c r="P1644" t="s">
        <v>31</v>
      </c>
      <c r="Q1644" t="s">
        <v>23</v>
      </c>
      <c r="R1644" t="b">
        <f>OR(Таблица1[[#This Row],[Ежемесячный платеж]]&lt;$AC$5, Таблица1[[#This Row],[Ежемесячный платеж]]&gt;$AC$6)</f>
        <v>0</v>
      </c>
      <c r="S1644" s="9">
        <f>(Таблица1[[#This Row],[Размер кредита]]-21824)/(789096-21824)</f>
        <v>0.63688496387200366</v>
      </c>
      <c r="T1644" s="9">
        <f>(Таблица1[[#This Row],[Кредитный рейтинг]]-586)/(751-586)</f>
        <v>0.6</v>
      </c>
      <c r="U1644" s="9">
        <f>Таблица1[[#This Row],[Ежемесячный платеж]]/(Таблица1[[#This Row],[Годовой доход]]/12)</f>
        <v>0.16299884500680928</v>
      </c>
    </row>
    <row r="1645" spans="1:21" x14ac:dyDescent="0.3">
      <c r="A1645">
        <v>1644</v>
      </c>
      <c r="B1645">
        <v>1</v>
      </c>
      <c r="C1645" s="9">
        <v>352000</v>
      </c>
      <c r="D1645">
        <v>716</v>
      </c>
      <c r="E1645" s="1">
        <v>1140000</v>
      </c>
      <c r="F1645">
        <v>0</v>
      </c>
      <c r="G1645">
        <v>6726</v>
      </c>
      <c r="H1645">
        <v>25.8</v>
      </c>
      <c r="I1645">
        <v>22</v>
      </c>
      <c r="J1645">
        <v>185117</v>
      </c>
      <c r="K1645">
        <v>570064</v>
      </c>
      <c r="L1645" t="s">
        <v>63</v>
      </c>
      <c r="M1645" t="s">
        <v>1683</v>
      </c>
      <c r="N1645" t="s">
        <v>26</v>
      </c>
      <c r="O1645" t="s">
        <v>21</v>
      </c>
      <c r="P1645" t="s">
        <v>31</v>
      </c>
      <c r="Q1645" t="s">
        <v>36</v>
      </c>
      <c r="R1645" t="b">
        <f>OR(Таблица1[[#This Row],[Ежемесячный платеж]]&lt;$AC$5, Таблица1[[#This Row],[Ежемесячный платеж]]&gt;$AC$6)</f>
        <v>0</v>
      </c>
      <c r="S1645" s="9">
        <f>(Таблица1[[#This Row],[Размер кредита]]-21824)/(789096-21824)</f>
        <v>0.43032457850670947</v>
      </c>
      <c r="T1645" s="9">
        <f>(Таблица1[[#This Row],[Кредитный рейтинг]]-586)/(751-586)</f>
        <v>0.78787878787878785</v>
      </c>
      <c r="U1645" s="9">
        <f>Таблица1[[#This Row],[Ежемесячный платеж]]/(Таблица1[[#This Row],[Годовой доход]]/12)</f>
        <v>7.0800000000000002E-2</v>
      </c>
    </row>
    <row r="1646" spans="1:21" x14ac:dyDescent="0.3">
      <c r="A1646">
        <v>1645</v>
      </c>
      <c r="B1646">
        <v>1</v>
      </c>
      <c r="C1646" s="9">
        <v>74272</v>
      </c>
      <c r="D1646">
        <v>740</v>
      </c>
      <c r="E1646" s="1">
        <v>1072303</v>
      </c>
      <c r="F1646">
        <v>0</v>
      </c>
      <c r="G1646">
        <v>10186.85</v>
      </c>
      <c r="H1646">
        <v>27.2</v>
      </c>
      <c r="I1646">
        <v>9</v>
      </c>
      <c r="J1646">
        <v>160854</v>
      </c>
      <c r="K1646">
        <v>763290</v>
      </c>
      <c r="L1646" t="s">
        <v>18</v>
      </c>
      <c r="M1646" t="s">
        <v>1684</v>
      </c>
      <c r="N1646" t="s">
        <v>26</v>
      </c>
      <c r="O1646" t="s">
        <v>21</v>
      </c>
      <c r="P1646" t="s">
        <v>22</v>
      </c>
      <c r="Q1646" t="s">
        <v>23</v>
      </c>
      <c r="R1646" t="b">
        <f>OR(Таблица1[[#This Row],[Ежемесячный платеж]]&lt;$AC$5, Таблица1[[#This Row],[Ежемесячный платеж]]&gt;$AC$6)</f>
        <v>0</v>
      </c>
      <c r="S1646" s="9">
        <f>(Таблица1[[#This Row],[Размер кредита]]-21824)/(789096-21824)</f>
        <v>6.8356462897121231E-2</v>
      </c>
      <c r="T1646" s="9">
        <f>(Таблица1[[#This Row],[Кредитный рейтинг]]-586)/(751-586)</f>
        <v>0.93333333333333335</v>
      </c>
      <c r="U1646" s="9">
        <f>Таблица1[[#This Row],[Ежемесячный платеж]]/(Таблица1[[#This Row],[Годовой доход]]/12)</f>
        <v>0.11399968106029733</v>
      </c>
    </row>
    <row r="1647" spans="1:21" x14ac:dyDescent="0.3">
      <c r="A1647">
        <v>1646</v>
      </c>
      <c r="B1647">
        <v>0</v>
      </c>
      <c r="D1647">
        <v>740</v>
      </c>
      <c r="E1647" s="1">
        <v>1305262</v>
      </c>
      <c r="F1647">
        <v>0</v>
      </c>
      <c r="G1647">
        <v>27693.45</v>
      </c>
      <c r="H1647">
        <v>20.3</v>
      </c>
      <c r="I1647">
        <v>5</v>
      </c>
      <c r="J1647">
        <v>439584</v>
      </c>
      <c r="K1647">
        <v>643478</v>
      </c>
      <c r="L1647" t="s">
        <v>24</v>
      </c>
      <c r="M1647" t="s">
        <v>1685</v>
      </c>
      <c r="N1647" t="s">
        <v>26</v>
      </c>
      <c r="O1647" t="s">
        <v>34</v>
      </c>
      <c r="P1647" t="s">
        <v>22</v>
      </c>
      <c r="Q1647" t="s">
        <v>23</v>
      </c>
      <c r="R1647" t="b">
        <f>OR(Таблица1[[#This Row],[Ежемесячный платеж]]&lt;$AC$5, Таблица1[[#This Row],[Ежемесячный платеж]]&gt;$AC$6)</f>
        <v>0</v>
      </c>
      <c r="T1647" s="9">
        <f>(Таблица1[[#This Row],[Кредитный рейтинг]]-586)/(751-586)</f>
        <v>0.93333333333333335</v>
      </c>
      <c r="U1647" s="9">
        <f>Таблица1[[#This Row],[Ежемесячный платеж]]/(Таблица1[[#This Row],[Годовой доход]]/12)</f>
        <v>0.2546012984366357</v>
      </c>
    </row>
    <row r="1648" spans="1:21" x14ac:dyDescent="0.3">
      <c r="A1648">
        <v>1647</v>
      </c>
      <c r="B1648">
        <v>0</v>
      </c>
      <c r="C1648" s="9">
        <v>215666</v>
      </c>
      <c r="D1648">
        <v>691</v>
      </c>
      <c r="E1648" s="1">
        <v>651909</v>
      </c>
      <c r="F1648">
        <v>36</v>
      </c>
      <c r="G1648">
        <v>2982.62</v>
      </c>
      <c r="H1648">
        <v>11.3</v>
      </c>
      <c r="I1648">
        <v>7</v>
      </c>
      <c r="J1648">
        <v>79496</v>
      </c>
      <c r="K1648">
        <v>196262</v>
      </c>
      <c r="L1648" t="s">
        <v>29</v>
      </c>
      <c r="M1648" t="s">
        <v>1686</v>
      </c>
      <c r="N1648" t="s">
        <v>68</v>
      </c>
      <c r="O1648" t="s">
        <v>34</v>
      </c>
      <c r="P1648" t="s">
        <v>22</v>
      </c>
      <c r="Q1648" t="s">
        <v>23</v>
      </c>
      <c r="R1648" t="b">
        <f>OR(Таблица1[[#This Row],[Ежемесячный платеж]]&lt;$AC$5, Таблица1[[#This Row],[Ежемесячный платеж]]&gt;$AC$6)</f>
        <v>0</v>
      </c>
      <c r="S1648" s="9">
        <f>(Таблица1[[#This Row],[Размер кредита]]-21824)/(789096-21824)</f>
        <v>0.25263791719233858</v>
      </c>
      <c r="T1648" s="9">
        <f>(Таблица1[[#This Row],[Кредитный рейтинг]]-586)/(751-586)</f>
        <v>0.63636363636363635</v>
      </c>
      <c r="U1648" s="9">
        <f>Таблица1[[#This Row],[Ежемесячный платеж]]/(Таблица1[[#This Row],[Годовой доход]]/12)</f>
        <v>5.4902509399318004E-2</v>
      </c>
    </row>
    <row r="1649" spans="1:21" x14ac:dyDescent="0.3">
      <c r="A1649">
        <v>1648</v>
      </c>
      <c r="B1649">
        <v>0</v>
      </c>
      <c r="C1649" s="9">
        <v>108240</v>
      </c>
      <c r="D1649">
        <v>721</v>
      </c>
      <c r="E1649" s="1">
        <v>1458136</v>
      </c>
      <c r="F1649">
        <v>23</v>
      </c>
      <c r="G1649">
        <v>24788.35</v>
      </c>
      <c r="H1649">
        <v>19.7</v>
      </c>
      <c r="I1649">
        <v>10</v>
      </c>
      <c r="J1649">
        <v>162070</v>
      </c>
      <c r="K1649">
        <v>700260</v>
      </c>
      <c r="L1649" t="s">
        <v>24</v>
      </c>
      <c r="M1649" t="s">
        <v>1687</v>
      </c>
      <c r="N1649" t="s">
        <v>68</v>
      </c>
      <c r="O1649" t="s">
        <v>21</v>
      </c>
      <c r="P1649" t="s">
        <v>22</v>
      </c>
      <c r="Q1649" t="s">
        <v>23</v>
      </c>
      <c r="R1649" t="b">
        <f>OR(Таблица1[[#This Row],[Ежемесячный платеж]]&lt;$AC$5, Таблица1[[#This Row],[Ежемесячный платеж]]&gt;$AC$6)</f>
        <v>0</v>
      </c>
      <c r="S1649" s="9">
        <f>(Таблица1[[#This Row],[Размер кредита]]-21824)/(789096-21824)</f>
        <v>0.11262759490767289</v>
      </c>
      <c r="T1649" s="9">
        <f>(Таблица1[[#This Row],[Кредитный рейтинг]]-586)/(751-586)</f>
        <v>0.81818181818181823</v>
      </c>
      <c r="U1649" s="9">
        <f>Таблица1[[#This Row],[Ежемесячный платеж]]/(Таблица1[[#This Row],[Годовой доход]]/12)</f>
        <v>0.20400031272803085</v>
      </c>
    </row>
    <row r="1650" spans="1:21" x14ac:dyDescent="0.3">
      <c r="A1650">
        <v>1649</v>
      </c>
      <c r="B1650">
        <v>0</v>
      </c>
      <c r="C1650" s="9">
        <v>263714</v>
      </c>
      <c r="D1650">
        <v>743</v>
      </c>
      <c r="E1650" s="1">
        <v>3416238</v>
      </c>
      <c r="F1650">
        <v>0</v>
      </c>
      <c r="G1650">
        <v>14547.54</v>
      </c>
      <c r="H1650">
        <v>13.8</v>
      </c>
      <c r="I1650">
        <v>9</v>
      </c>
      <c r="J1650">
        <v>271966</v>
      </c>
      <c r="K1650">
        <v>775654</v>
      </c>
      <c r="L1650" t="s">
        <v>24</v>
      </c>
      <c r="M1650" t="s">
        <v>1688</v>
      </c>
      <c r="N1650" t="s">
        <v>20</v>
      </c>
      <c r="O1650" t="s">
        <v>21</v>
      </c>
      <c r="P1650" t="s">
        <v>22</v>
      </c>
      <c r="Q1650" t="s">
        <v>23</v>
      </c>
      <c r="R1650" t="b">
        <f>OR(Таблица1[[#This Row],[Ежемесячный платеж]]&lt;$AC$5, Таблица1[[#This Row],[Ежемесячный платеж]]&gt;$AC$6)</f>
        <v>0</v>
      </c>
      <c r="S1650" s="9">
        <f>(Таблица1[[#This Row],[Размер кредита]]-21824)/(789096-21824)</f>
        <v>0.3152597774974194</v>
      </c>
      <c r="T1650" s="9">
        <f>(Таблица1[[#This Row],[Кредитный рейтинг]]-586)/(751-586)</f>
        <v>0.95151515151515154</v>
      </c>
      <c r="U1650" s="9">
        <f>Таблица1[[#This Row],[Ежемесячный платеж]]/(Таблица1[[#This Row],[Годовой доход]]/12)</f>
        <v>5.1100210231254384E-2</v>
      </c>
    </row>
    <row r="1651" spans="1:21" x14ac:dyDescent="0.3">
      <c r="A1651">
        <v>1650</v>
      </c>
      <c r="B1651">
        <v>0</v>
      </c>
      <c r="C1651" s="9">
        <v>436480</v>
      </c>
      <c r="D1651">
        <v>679</v>
      </c>
      <c r="E1651" s="1">
        <v>2261760</v>
      </c>
      <c r="F1651">
        <v>30</v>
      </c>
      <c r="G1651">
        <v>19790.400000000001</v>
      </c>
      <c r="H1651">
        <v>15.7</v>
      </c>
      <c r="I1651">
        <v>9</v>
      </c>
      <c r="J1651">
        <v>341145</v>
      </c>
      <c r="K1651">
        <v>530222</v>
      </c>
      <c r="L1651" t="s">
        <v>29</v>
      </c>
      <c r="M1651" t="s">
        <v>1689</v>
      </c>
      <c r="N1651" t="s">
        <v>26</v>
      </c>
      <c r="O1651" t="s">
        <v>21</v>
      </c>
      <c r="P1651" t="s">
        <v>22</v>
      </c>
      <c r="Q1651" t="s">
        <v>23</v>
      </c>
      <c r="R1651" t="b">
        <f>OR(Таблица1[[#This Row],[Ежемесячный платеж]]&lt;$AC$5, Таблица1[[#This Row],[Ежемесячный платеж]]&gt;$AC$6)</f>
        <v>0</v>
      </c>
      <c r="S1651" s="9">
        <f>(Таблица1[[#This Row],[Размер кредита]]-21824)/(789096-21824)</f>
        <v>0.54042894827388466</v>
      </c>
      <c r="T1651" s="9">
        <f>(Таблица1[[#This Row],[Кредитный рейтинг]]-586)/(751-586)</f>
        <v>0.5636363636363636</v>
      </c>
      <c r="U1651" s="9">
        <f>Таблица1[[#This Row],[Ежемесячный платеж]]/(Таблица1[[#This Row],[Годовой доход]]/12)</f>
        <v>0.10500000000000001</v>
      </c>
    </row>
    <row r="1652" spans="1:21" x14ac:dyDescent="0.3">
      <c r="A1652">
        <v>1651</v>
      </c>
      <c r="B1652">
        <v>0</v>
      </c>
      <c r="C1652" s="9">
        <v>439868</v>
      </c>
      <c r="D1652">
        <v>738</v>
      </c>
      <c r="E1652" s="1">
        <v>893855</v>
      </c>
      <c r="F1652">
        <v>0</v>
      </c>
      <c r="G1652">
        <v>13556.69</v>
      </c>
      <c r="H1652">
        <v>17.3</v>
      </c>
      <c r="I1652">
        <v>5</v>
      </c>
      <c r="J1652">
        <v>233130</v>
      </c>
      <c r="K1652">
        <v>5191098</v>
      </c>
      <c r="L1652" t="s">
        <v>24</v>
      </c>
      <c r="M1652" t="s">
        <v>1690</v>
      </c>
      <c r="N1652" t="s">
        <v>26</v>
      </c>
      <c r="O1652" t="s">
        <v>21</v>
      </c>
      <c r="P1652" t="s">
        <v>31</v>
      </c>
      <c r="Q1652" t="s">
        <v>36</v>
      </c>
      <c r="R1652" t="b">
        <f>OR(Таблица1[[#This Row],[Ежемесячный платеж]]&lt;$AC$5, Таблица1[[#This Row],[Ежемесячный платеж]]&gt;$AC$6)</f>
        <v>0</v>
      </c>
      <c r="S1652" s="9">
        <f>(Таблица1[[#This Row],[Размер кредита]]-21824)/(789096-21824)</f>
        <v>0.54484459226975568</v>
      </c>
      <c r="T1652" s="9">
        <f>(Таблица1[[#This Row],[Кредитный рейтинг]]-586)/(751-586)</f>
        <v>0.92121212121212126</v>
      </c>
      <c r="U1652" s="9">
        <f>Таблица1[[#This Row],[Ежемесячный платеж]]/(Таблица1[[#This Row],[Годовой доход]]/12)</f>
        <v>0.18199851206291848</v>
      </c>
    </row>
    <row r="1653" spans="1:21" x14ac:dyDescent="0.3">
      <c r="A1653">
        <v>1652</v>
      </c>
      <c r="B1653">
        <v>0</v>
      </c>
      <c r="C1653" s="9">
        <v>433928</v>
      </c>
      <c r="D1653">
        <v>747</v>
      </c>
      <c r="E1653" s="1">
        <v>1030579</v>
      </c>
      <c r="F1653">
        <v>0</v>
      </c>
      <c r="G1653">
        <v>13740.99</v>
      </c>
      <c r="H1653">
        <v>20</v>
      </c>
      <c r="I1653">
        <v>7</v>
      </c>
      <c r="J1653">
        <v>264708</v>
      </c>
      <c r="K1653">
        <v>1001660</v>
      </c>
      <c r="L1653" t="s">
        <v>63</v>
      </c>
      <c r="M1653" t="s">
        <v>1691</v>
      </c>
      <c r="N1653" t="s">
        <v>26</v>
      </c>
      <c r="O1653" t="s">
        <v>28</v>
      </c>
      <c r="P1653" t="s">
        <v>22</v>
      </c>
      <c r="Q1653" t="s">
        <v>23</v>
      </c>
      <c r="R1653" t="b">
        <f>OR(Таблица1[[#This Row],[Ежемесячный платеж]]&lt;$AC$5, Таблица1[[#This Row],[Ежемесячный платеж]]&gt;$AC$6)</f>
        <v>0</v>
      </c>
      <c r="S1653" s="9">
        <f>(Таблица1[[#This Row],[Размер кредита]]-21824)/(789096-21824)</f>
        <v>0.53710287877050122</v>
      </c>
      <c r="T1653" s="9">
        <f>(Таблица1[[#This Row],[Кредитный рейтинг]]-586)/(751-586)</f>
        <v>0.97575757575757571</v>
      </c>
      <c r="U1653" s="9">
        <f>Таблица1[[#This Row],[Ежемесячный платеж]]/(Таблица1[[#This Row],[Годовой доход]]/12)</f>
        <v>0.1599992625504692</v>
      </c>
    </row>
    <row r="1654" spans="1:21" x14ac:dyDescent="0.3">
      <c r="A1654">
        <v>1653</v>
      </c>
      <c r="B1654">
        <v>0</v>
      </c>
      <c r="C1654" s="9">
        <v>356422</v>
      </c>
      <c r="D1654">
        <v>723</v>
      </c>
      <c r="E1654" s="1">
        <v>1303932</v>
      </c>
      <c r="F1654">
        <v>0</v>
      </c>
      <c r="G1654">
        <v>15321.22</v>
      </c>
      <c r="H1654">
        <v>21.1</v>
      </c>
      <c r="I1654">
        <v>10</v>
      </c>
      <c r="J1654">
        <v>323323</v>
      </c>
      <c r="K1654">
        <v>446226</v>
      </c>
      <c r="L1654" t="s">
        <v>50</v>
      </c>
      <c r="M1654" t="s">
        <v>1692</v>
      </c>
      <c r="N1654" t="s">
        <v>26</v>
      </c>
      <c r="O1654" t="s">
        <v>34</v>
      </c>
      <c r="P1654" t="s">
        <v>22</v>
      </c>
      <c r="Q1654" t="s">
        <v>23</v>
      </c>
      <c r="R1654" t="b">
        <f>OR(Таблица1[[#This Row],[Ежемесячный платеж]]&lt;$AC$5, Таблица1[[#This Row],[Ежемесячный платеж]]&gt;$AC$6)</f>
        <v>0</v>
      </c>
      <c r="S1654" s="9">
        <f>(Таблица1[[#This Row],[Размер кредита]]-21824)/(789096-21824)</f>
        <v>0.43608785411171008</v>
      </c>
      <c r="T1654" s="9">
        <f>(Таблица1[[#This Row],[Кредитный рейтинг]]-586)/(751-586)</f>
        <v>0.83030303030303032</v>
      </c>
      <c r="U1654" s="9">
        <f>Таблица1[[#This Row],[Ежемесячный платеж]]/(Таблица1[[#This Row],[Годовой доход]]/12)</f>
        <v>0.14100017485574401</v>
      </c>
    </row>
    <row r="1655" spans="1:21" x14ac:dyDescent="0.3">
      <c r="A1655">
        <v>1654</v>
      </c>
      <c r="B1655">
        <v>1</v>
      </c>
      <c r="C1655" s="9">
        <v>544346</v>
      </c>
      <c r="D1655">
        <v>684</v>
      </c>
      <c r="E1655" s="1">
        <v>1692387</v>
      </c>
      <c r="F1655">
        <v>0</v>
      </c>
      <c r="G1655">
        <v>3511.77</v>
      </c>
      <c r="H1655">
        <v>31.9</v>
      </c>
      <c r="I1655">
        <v>9</v>
      </c>
      <c r="J1655">
        <v>137047</v>
      </c>
      <c r="K1655">
        <v>337612</v>
      </c>
      <c r="L1655" t="s">
        <v>41</v>
      </c>
      <c r="M1655" t="s">
        <v>1693</v>
      </c>
      <c r="N1655" t="s">
        <v>20</v>
      </c>
      <c r="O1655" t="s">
        <v>21</v>
      </c>
      <c r="P1655" t="s">
        <v>31</v>
      </c>
      <c r="Q1655" t="s">
        <v>23</v>
      </c>
      <c r="R1655" t="b">
        <f>OR(Таблица1[[#This Row],[Ежемесячный платеж]]&lt;$AC$5, Таблица1[[#This Row],[Ежемесячный платеж]]&gt;$AC$6)</f>
        <v>0</v>
      </c>
      <c r="S1655" s="9">
        <f>(Таблица1[[#This Row],[Размер кредита]]-21824)/(789096-21824)</f>
        <v>0.68101273081775437</v>
      </c>
      <c r="T1655" s="9">
        <f>(Таблица1[[#This Row],[Кредитный рейтинг]]-586)/(751-586)</f>
        <v>0.59393939393939399</v>
      </c>
      <c r="U1655" s="9">
        <f>Таблица1[[#This Row],[Ежемесячный платеж]]/(Таблица1[[#This Row],[Годовой доход]]/12)</f>
        <v>2.4900474891381228E-2</v>
      </c>
    </row>
    <row r="1656" spans="1:21" x14ac:dyDescent="0.3">
      <c r="A1656">
        <v>1655</v>
      </c>
      <c r="B1656">
        <v>0</v>
      </c>
      <c r="C1656" s="9">
        <v>440220</v>
      </c>
      <c r="D1656">
        <v>661</v>
      </c>
      <c r="E1656" s="1">
        <v>1083551</v>
      </c>
      <c r="F1656">
        <v>18</v>
      </c>
      <c r="G1656">
        <v>17336.740000000002</v>
      </c>
      <c r="H1656">
        <v>11.9</v>
      </c>
      <c r="I1656">
        <v>9</v>
      </c>
      <c r="J1656">
        <v>105298</v>
      </c>
      <c r="K1656">
        <v>330418</v>
      </c>
      <c r="L1656" t="s">
        <v>24</v>
      </c>
      <c r="M1656" t="s">
        <v>1694</v>
      </c>
      <c r="N1656" t="s">
        <v>26</v>
      </c>
      <c r="O1656" t="s">
        <v>21</v>
      </c>
      <c r="P1656" t="s">
        <v>31</v>
      </c>
      <c r="Q1656" t="s">
        <v>23</v>
      </c>
      <c r="R1656" t="b">
        <f>OR(Таблица1[[#This Row],[Ежемесячный платеж]]&lt;$AC$5, Таблица1[[#This Row],[Ежемесячный платеж]]&gt;$AC$6)</f>
        <v>0</v>
      </c>
      <c r="S1656" s="9">
        <f>(Таблица1[[#This Row],[Размер кредита]]-21824)/(789096-21824)</f>
        <v>0.54530336047711891</v>
      </c>
      <c r="T1656" s="9">
        <f>(Таблица1[[#This Row],[Кредитный рейтинг]]-586)/(751-586)</f>
        <v>0.45454545454545453</v>
      </c>
      <c r="U1656" s="9">
        <f>Таблица1[[#This Row],[Ежемесячный платеж]]/(Таблица1[[#This Row],[Годовой доход]]/12)</f>
        <v>0.1919991583229585</v>
      </c>
    </row>
    <row r="1657" spans="1:21" x14ac:dyDescent="0.3">
      <c r="A1657">
        <v>1656</v>
      </c>
      <c r="B1657">
        <v>0</v>
      </c>
      <c r="C1657" s="9">
        <v>394174</v>
      </c>
      <c r="D1657">
        <v>654</v>
      </c>
      <c r="E1657" s="1">
        <v>1915846</v>
      </c>
      <c r="F1657">
        <v>29</v>
      </c>
      <c r="G1657">
        <v>22990.19</v>
      </c>
      <c r="H1657">
        <v>27</v>
      </c>
      <c r="I1657">
        <v>15</v>
      </c>
      <c r="J1657">
        <v>71516</v>
      </c>
      <c r="K1657">
        <v>507958</v>
      </c>
      <c r="L1657" t="s">
        <v>37</v>
      </c>
      <c r="M1657" t="s">
        <v>1695</v>
      </c>
      <c r="N1657" t="s">
        <v>40</v>
      </c>
      <c r="O1657" t="s">
        <v>28</v>
      </c>
      <c r="P1657" t="s">
        <v>22</v>
      </c>
      <c r="Q1657" t="s">
        <v>23</v>
      </c>
      <c r="R1657" t="b">
        <f>OR(Таблица1[[#This Row],[Ежемесячный платеж]]&lt;$AC$5, Таблица1[[#This Row],[Ежемесячный платеж]]&gt;$AC$6)</f>
        <v>0</v>
      </c>
      <c r="S1657" s="9">
        <f>(Таблица1[[#This Row],[Размер кредита]]-21824)/(789096-21824)</f>
        <v>0.48529074435141645</v>
      </c>
      <c r="T1657" s="9">
        <f>(Таблица1[[#This Row],[Кредитный рейтинг]]-586)/(751-586)</f>
        <v>0.41212121212121211</v>
      </c>
      <c r="U1657" s="9">
        <f>Таблица1[[#This Row],[Ежемесячный платеж]]/(Таблица1[[#This Row],[Годовой доход]]/12)</f>
        <v>0.14400023801495526</v>
      </c>
    </row>
    <row r="1658" spans="1:21" x14ac:dyDescent="0.3">
      <c r="A1658">
        <v>1657</v>
      </c>
      <c r="B1658">
        <v>0</v>
      </c>
      <c r="C1658" s="9">
        <v>259512</v>
      </c>
      <c r="D1658">
        <v>713</v>
      </c>
      <c r="E1658" s="1">
        <v>1251359</v>
      </c>
      <c r="F1658">
        <v>55</v>
      </c>
      <c r="G1658">
        <v>25861.47</v>
      </c>
      <c r="H1658">
        <v>28.4</v>
      </c>
      <c r="I1658">
        <v>15</v>
      </c>
      <c r="J1658">
        <v>433276</v>
      </c>
      <c r="K1658">
        <v>534270</v>
      </c>
      <c r="L1658" t="s">
        <v>69</v>
      </c>
      <c r="M1658" t="s">
        <v>1696</v>
      </c>
      <c r="N1658" t="s">
        <v>26</v>
      </c>
      <c r="O1658" t="s">
        <v>34</v>
      </c>
      <c r="P1658" t="s">
        <v>31</v>
      </c>
      <c r="Q1658" t="s">
        <v>36</v>
      </c>
      <c r="R1658" t="b">
        <f>OR(Таблица1[[#This Row],[Ежемесячный платеж]]&lt;$AC$5, Таблица1[[#This Row],[Ежемесячный платеж]]&gt;$AC$6)</f>
        <v>0</v>
      </c>
      <c r="S1658" s="9">
        <f>(Таблица1[[#This Row],[Размер кредита]]-21824)/(789096-21824)</f>
        <v>0.30978323202202085</v>
      </c>
      <c r="T1658" s="9">
        <f>(Таблица1[[#This Row],[Кредитный рейтинг]]-586)/(751-586)</f>
        <v>0.76969696969696966</v>
      </c>
      <c r="U1658" s="9">
        <f>Таблица1[[#This Row],[Ежемесячный платеж]]/(Таблица1[[#This Row],[Годовой доход]]/12)</f>
        <v>0.24800048587176021</v>
      </c>
    </row>
    <row r="1659" spans="1:21" x14ac:dyDescent="0.3">
      <c r="A1659">
        <v>1658</v>
      </c>
      <c r="B1659">
        <v>0</v>
      </c>
      <c r="C1659" s="9">
        <v>222002</v>
      </c>
      <c r="D1659">
        <f>$Y$13</f>
        <v>723</v>
      </c>
      <c r="E1659">
        <f>$AB$13</f>
        <v>1168044</v>
      </c>
      <c r="F1659">
        <v>0</v>
      </c>
      <c r="G1659">
        <v>11690.13</v>
      </c>
      <c r="H1659">
        <v>8.5</v>
      </c>
      <c r="I1659">
        <v>5</v>
      </c>
      <c r="J1659">
        <v>155743</v>
      </c>
      <c r="K1659">
        <v>217536</v>
      </c>
      <c r="L1659" t="s">
        <v>29</v>
      </c>
      <c r="M1659" t="s">
        <v>1697</v>
      </c>
      <c r="N1659" t="s">
        <v>26</v>
      </c>
      <c r="O1659" t="s">
        <v>34</v>
      </c>
      <c r="P1659" t="s">
        <v>31</v>
      </c>
      <c r="Q1659" t="s">
        <v>23</v>
      </c>
      <c r="R1659" t="b">
        <f>OR(Таблица1[[#This Row],[Ежемесячный платеж]]&lt;$AC$5, Таблица1[[#This Row],[Ежемесячный платеж]]&gt;$AC$6)</f>
        <v>0</v>
      </c>
      <c r="S1659" s="9">
        <f>(Таблица1[[#This Row],[Размер кредита]]-21824)/(789096-21824)</f>
        <v>0.26089574492487672</v>
      </c>
      <c r="T1659" s="9">
        <f>(Таблица1[[#This Row],[Кредитный рейтинг]]-586)/(751-586)</f>
        <v>0.83030303030303032</v>
      </c>
      <c r="U1659" s="9">
        <f>Таблица1[[#This Row],[Ежемесячный платеж]]/(Таблица1[[#This Row],[Годовой доход]]/12)</f>
        <v>0.12009955104430997</v>
      </c>
    </row>
    <row r="1660" spans="1:21" x14ac:dyDescent="0.3">
      <c r="A1660">
        <v>1659</v>
      </c>
      <c r="B1660">
        <v>0</v>
      </c>
      <c r="C1660" s="9">
        <v>90090</v>
      </c>
      <c r="D1660">
        <v>711</v>
      </c>
      <c r="E1660" s="1">
        <v>1653437</v>
      </c>
      <c r="F1660">
        <v>0</v>
      </c>
      <c r="G1660">
        <v>27695.16</v>
      </c>
      <c r="H1660">
        <v>18.5</v>
      </c>
      <c r="I1660">
        <v>16</v>
      </c>
      <c r="J1660">
        <v>265696</v>
      </c>
      <c r="K1660">
        <v>479952</v>
      </c>
      <c r="L1660" t="s">
        <v>37</v>
      </c>
      <c r="M1660" t="s">
        <v>1698</v>
      </c>
      <c r="N1660" t="s">
        <v>76</v>
      </c>
      <c r="O1660" t="s">
        <v>34</v>
      </c>
      <c r="P1660" t="s">
        <v>22</v>
      </c>
      <c r="Q1660" t="s">
        <v>36</v>
      </c>
      <c r="R1660" t="b">
        <f>OR(Таблица1[[#This Row],[Ежемесячный платеж]]&lt;$AC$5, Таблица1[[#This Row],[Ежемесячный платеж]]&gt;$AC$6)</f>
        <v>0</v>
      </c>
      <c r="S1660" s="9">
        <f>(Таблица1[[#This Row],[Размер кредита]]-21824)/(789096-21824)</f>
        <v>8.8972359215506364E-2</v>
      </c>
      <c r="T1660" s="9">
        <f>(Таблица1[[#This Row],[Кредитный рейтинг]]-586)/(751-586)</f>
        <v>0.75757575757575757</v>
      </c>
      <c r="U1660" s="9">
        <f>Таблица1[[#This Row],[Ежемесячный платеж]]/(Таблица1[[#This Row],[Годовой доход]]/12)</f>
        <v>0.2010006549992531</v>
      </c>
    </row>
    <row r="1661" spans="1:21" x14ac:dyDescent="0.3">
      <c r="A1661">
        <v>1660</v>
      </c>
      <c r="B1661">
        <v>1</v>
      </c>
      <c r="C1661" s="9">
        <v>218020</v>
      </c>
      <c r="D1661">
        <v>737</v>
      </c>
      <c r="E1661" s="1">
        <v>860491</v>
      </c>
      <c r="F1661">
        <v>78</v>
      </c>
      <c r="G1661">
        <v>6403.38</v>
      </c>
      <c r="H1661">
        <v>24.9</v>
      </c>
      <c r="I1661">
        <v>11</v>
      </c>
      <c r="J1661">
        <v>140125</v>
      </c>
      <c r="K1661">
        <v>377322</v>
      </c>
      <c r="L1661" t="s">
        <v>24</v>
      </c>
      <c r="M1661" t="s">
        <v>1699</v>
      </c>
      <c r="N1661" t="s">
        <v>26</v>
      </c>
      <c r="O1661" t="s">
        <v>21</v>
      </c>
      <c r="P1661" t="s">
        <v>22</v>
      </c>
      <c r="Q1661" t="s">
        <v>23</v>
      </c>
      <c r="R1661" t="b">
        <f>OR(Таблица1[[#This Row],[Ежемесячный платеж]]&lt;$AC$5, Таблица1[[#This Row],[Ежемесячный платеж]]&gt;$AC$6)</f>
        <v>0</v>
      </c>
      <c r="S1661" s="9">
        <f>(Таблица1[[#This Row],[Размер кредита]]-21824)/(789096-21824)</f>
        <v>0.25570592957908017</v>
      </c>
      <c r="T1661" s="9">
        <f>(Таблица1[[#This Row],[Кредитный рейтинг]]-586)/(751-586)</f>
        <v>0.91515151515151516</v>
      </c>
      <c r="U1661" s="9">
        <f>Таблица1[[#This Row],[Ежемесячный платеж]]/(Таблица1[[#This Row],[Годовой доход]]/12)</f>
        <v>8.929850515577735E-2</v>
      </c>
    </row>
    <row r="1662" spans="1:21" x14ac:dyDescent="0.3">
      <c r="A1662">
        <v>1661</v>
      </c>
      <c r="B1662">
        <v>0</v>
      </c>
      <c r="C1662" s="9">
        <v>197472</v>
      </c>
      <c r="D1662">
        <v>720</v>
      </c>
      <c r="E1662" s="1">
        <v>909530</v>
      </c>
      <c r="F1662">
        <v>0</v>
      </c>
      <c r="G1662">
        <v>17357.07</v>
      </c>
      <c r="H1662">
        <v>17.100000000000001</v>
      </c>
      <c r="I1662">
        <v>18</v>
      </c>
      <c r="J1662">
        <v>448647</v>
      </c>
      <c r="K1662">
        <v>700128</v>
      </c>
      <c r="L1662" t="s">
        <v>18</v>
      </c>
      <c r="M1662" t="s">
        <v>1700</v>
      </c>
      <c r="N1662" t="s">
        <v>26</v>
      </c>
      <c r="O1662" t="s">
        <v>21</v>
      </c>
      <c r="P1662" t="s">
        <v>22</v>
      </c>
      <c r="Q1662" t="s">
        <v>23</v>
      </c>
      <c r="R1662" t="b">
        <f>OR(Таблица1[[#This Row],[Ежемесячный платеж]]&lt;$AC$5, Таблица1[[#This Row],[Ежемесячный платеж]]&gt;$AC$6)</f>
        <v>0</v>
      </c>
      <c r="S1662" s="9">
        <f>(Таблица1[[#This Row],[Размер кредита]]-21824)/(789096-21824)</f>
        <v>0.22892533547425165</v>
      </c>
      <c r="T1662" s="9">
        <f>(Таблица1[[#This Row],[Кредитный рейтинг]]-586)/(751-586)</f>
        <v>0.81212121212121213</v>
      </c>
      <c r="U1662" s="9">
        <f>Таблица1[[#This Row],[Ежемесячный платеж]]/(Таблица1[[#This Row],[Годовой доход]]/12)</f>
        <v>0.22900271568832253</v>
      </c>
    </row>
    <row r="1663" spans="1:21" x14ac:dyDescent="0.3">
      <c r="A1663">
        <v>1662</v>
      </c>
      <c r="B1663">
        <v>0</v>
      </c>
      <c r="C1663" s="9">
        <v>717794</v>
      </c>
      <c r="D1663">
        <v>646</v>
      </c>
      <c r="E1663" s="1">
        <v>1549792</v>
      </c>
      <c r="F1663">
        <v>76</v>
      </c>
      <c r="G1663">
        <v>26346.54</v>
      </c>
      <c r="H1663">
        <v>22.6</v>
      </c>
      <c r="I1663">
        <v>9</v>
      </c>
      <c r="J1663">
        <v>552577</v>
      </c>
      <c r="K1663">
        <v>771804</v>
      </c>
      <c r="L1663" t="s">
        <v>24</v>
      </c>
      <c r="M1663" t="s">
        <v>1701</v>
      </c>
      <c r="N1663" t="s">
        <v>26</v>
      </c>
      <c r="O1663" t="s">
        <v>21</v>
      </c>
      <c r="P1663" t="s">
        <v>31</v>
      </c>
      <c r="Q1663" t="s">
        <v>23</v>
      </c>
      <c r="R1663" t="b">
        <f>OR(Таблица1[[#This Row],[Ежемесячный платеж]]&lt;$AC$5, Таблица1[[#This Row],[Ежемесячный платеж]]&gt;$AC$6)</f>
        <v>0</v>
      </c>
      <c r="S1663" s="9">
        <f>(Таблица1[[#This Row],[Размер кредита]]-21824)/(789096-21824)</f>
        <v>0.90707076499598582</v>
      </c>
      <c r="T1663" s="9">
        <f>(Таблица1[[#This Row],[Кредитный рейтинг]]-586)/(751-586)</f>
        <v>0.36363636363636365</v>
      </c>
      <c r="U1663" s="9">
        <f>Таблица1[[#This Row],[Ежемесячный платеж]]/(Таблица1[[#This Row],[Годовой доход]]/12)</f>
        <v>0.20400058846606514</v>
      </c>
    </row>
    <row r="1664" spans="1:21" x14ac:dyDescent="0.3">
      <c r="A1664">
        <v>1663</v>
      </c>
      <c r="B1664">
        <v>1</v>
      </c>
      <c r="C1664" s="9">
        <v>216414</v>
      </c>
      <c r="D1664">
        <v>706</v>
      </c>
      <c r="E1664" s="1">
        <v>1682127</v>
      </c>
      <c r="F1664">
        <v>47</v>
      </c>
      <c r="G1664">
        <v>11816.86</v>
      </c>
      <c r="H1664">
        <v>16.100000000000001</v>
      </c>
      <c r="I1664">
        <v>18</v>
      </c>
      <c r="J1664">
        <v>112347</v>
      </c>
      <c r="K1664">
        <v>357390</v>
      </c>
      <c r="L1664" t="s">
        <v>24</v>
      </c>
      <c r="M1664" t="s">
        <v>1702</v>
      </c>
      <c r="N1664" t="s">
        <v>2041</v>
      </c>
      <c r="O1664" t="s">
        <v>21</v>
      </c>
      <c r="P1664" t="s">
        <v>22</v>
      </c>
      <c r="Q1664" t="s">
        <v>23</v>
      </c>
      <c r="R1664" t="b">
        <f>OR(Таблица1[[#This Row],[Ежемесячный платеж]]&lt;$AC$5, Таблица1[[#This Row],[Ежемесячный платеж]]&gt;$AC$6)</f>
        <v>0</v>
      </c>
      <c r="S1664" s="9">
        <f>(Таблица1[[#This Row],[Размер кредита]]-21824)/(789096-21824)</f>
        <v>0.25361279963298544</v>
      </c>
      <c r="T1664" s="9">
        <f>(Таблица1[[#This Row],[Кредитный рейтинг]]-586)/(751-586)</f>
        <v>0.72727272727272729</v>
      </c>
      <c r="U1664" s="9">
        <f>Таблица1[[#This Row],[Ежемесячный платеж]]/(Таблица1[[#This Row],[Годовой доход]]/12)</f>
        <v>8.4299413777913321E-2</v>
      </c>
    </row>
    <row r="1665" spans="1:21" x14ac:dyDescent="0.3">
      <c r="A1665">
        <v>1664</v>
      </c>
      <c r="B1665">
        <v>0</v>
      </c>
      <c r="C1665" s="9">
        <v>112706</v>
      </c>
      <c r="D1665">
        <f>$Y$13</f>
        <v>723</v>
      </c>
      <c r="E1665">
        <f>$AB$13</f>
        <v>1168044</v>
      </c>
      <c r="F1665">
        <v>56</v>
      </c>
      <c r="G1665">
        <v>14489.59</v>
      </c>
      <c r="H1665">
        <v>20</v>
      </c>
      <c r="I1665">
        <v>13</v>
      </c>
      <c r="J1665">
        <v>198588</v>
      </c>
      <c r="K1665">
        <v>332772</v>
      </c>
      <c r="L1665" t="s">
        <v>69</v>
      </c>
      <c r="M1665" t="s">
        <v>1703</v>
      </c>
      <c r="N1665" t="s">
        <v>20</v>
      </c>
      <c r="O1665" t="s">
        <v>34</v>
      </c>
      <c r="P1665" t="s">
        <v>22</v>
      </c>
      <c r="Q1665" t="s">
        <v>23</v>
      </c>
      <c r="R1665" t="b">
        <f>OR(Таблица1[[#This Row],[Ежемесячный платеж]]&lt;$AC$5, Таблица1[[#This Row],[Ежемесячный платеж]]&gt;$AC$6)</f>
        <v>0</v>
      </c>
      <c r="S1665" s="9">
        <f>(Таблица1[[#This Row],[Размер кредита]]-21824)/(789096-21824)</f>
        <v>0.11844821653859387</v>
      </c>
      <c r="T1665" s="9">
        <f>(Таблица1[[#This Row],[Кредитный рейтинг]]-586)/(751-586)</f>
        <v>0.83030303030303032</v>
      </c>
      <c r="U1665" s="9">
        <f>Таблица1[[#This Row],[Ежемесячный платеж]]/(Таблица1[[#This Row],[Годовой доход]]/12)</f>
        <v>0.14886004294358773</v>
      </c>
    </row>
    <row r="1666" spans="1:21" x14ac:dyDescent="0.3">
      <c r="A1666">
        <v>1665</v>
      </c>
      <c r="B1666">
        <v>0</v>
      </c>
      <c r="D1666">
        <v>719</v>
      </c>
      <c r="E1666" s="1">
        <v>1285274</v>
      </c>
      <c r="F1666">
        <v>0</v>
      </c>
      <c r="G1666">
        <v>11353.26</v>
      </c>
      <c r="H1666">
        <v>11.7</v>
      </c>
      <c r="I1666">
        <v>4</v>
      </c>
      <c r="J1666">
        <v>166250</v>
      </c>
      <c r="K1666">
        <v>302676</v>
      </c>
      <c r="L1666" t="s">
        <v>32</v>
      </c>
      <c r="M1666" t="s">
        <v>1704</v>
      </c>
      <c r="N1666" t="s">
        <v>26</v>
      </c>
      <c r="O1666" t="s">
        <v>21</v>
      </c>
      <c r="P1666" t="s">
        <v>31</v>
      </c>
      <c r="Q1666" t="s">
        <v>23</v>
      </c>
      <c r="R1666" t="b">
        <f>OR(Таблица1[[#This Row],[Ежемесячный платеж]]&lt;$AC$5, Таблица1[[#This Row],[Ежемесячный платеж]]&gt;$AC$6)</f>
        <v>0</v>
      </c>
      <c r="T1666" s="9">
        <f>(Таблица1[[#This Row],[Кредитный рейтинг]]-586)/(751-586)</f>
        <v>0.80606060606060603</v>
      </c>
      <c r="U1666" s="9">
        <f>Таблица1[[#This Row],[Ежемесячный платеж]]/(Таблица1[[#This Row],[Годовой доход]]/12)</f>
        <v>0.10600005913136032</v>
      </c>
    </row>
    <row r="1667" spans="1:21" x14ac:dyDescent="0.3">
      <c r="A1667">
        <v>1666</v>
      </c>
      <c r="B1667">
        <v>1</v>
      </c>
      <c r="C1667" s="9">
        <v>215512</v>
      </c>
      <c r="D1667">
        <v>708</v>
      </c>
      <c r="E1667" s="1">
        <v>1535048</v>
      </c>
      <c r="F1667">
        <v>38</v>
      </c>
      <c r="G1667">
        <v>9325.39</v>
      </c>
      <c r="H1667">
        <v>15.8</v>
      </c>
      <c r="I1667">
        <v>9</v>
      </c>
      <c r="J1667">
        <v>126388</v>
      </c>
      <c r="K1667">
        <v>206712</v>
      </c>
      <c r="L1667" t="s">
        <v>24</v>
      </c>
      <c r="M1667" t="s">
        <v>1705</v>
      </c>
      <c r="N1667" t="s">
        <v>26</v>
      </c>
      <c r="O1667" t="s">
        <v>21</v>
      </c>
      <c r="P1667" t="s">
        <v>22</v>
      </c>
      <c r="Q1667" t="s">
        <v>23</v>
      </c>
      <c r="R1667" t="b">
        <f>OR(Таблица1[[#This Row],[Ежемесячный платеж]]&lt;$AC$5, Таблица1[[#This Row],[Ежемесячный платеж]]&gt;$AC$6)</f>
        <v>0</v>
      </c>
      <c r="S1667" s="9">
        <f>(Таблица1[[#This Row],[Размер кредита]]-21824)/(789096-21824)</f>
        <v>0.25243720610161718</v>
      </c>
      <c r="T1667" s="9">
        <f>(Таблица1[[#This Row],[Кредитный рейтинг]]-586)/(751-586)</f>
        <v>0.73939393939393938</v>
      </c>
      <c r="U1667" s="9">
        <f>Таблица1[[#This Row],[Ежемесячный платеж]]/(Таблица1[[#This Row],[Годовой доход]]/12)</f>
        <v>7.2899792058619656E-2</v>
      </c>
    </row>
    <row r="1668" spans="1:21" x14ac:dyDescent="0.3">
      <c r="A1668">
        <v>1667</v>
      </c>
      <c r="B1668">
        <v>0</v>
      </c>
      <c r="C1668" s="9">
        <v>429220</v>
      </c>
      <c r="D1668">
        <v>731</v>
      </c>
      <c r="E1668" s="1">
        <v>1297415</v>
      </c>
      <c r="F1668">
        <v>0</v>
      </c>
      <c r="G1668">
        <v>25515.86</v>
      </c>
      <c r="H1668">
        <v>22.2</v>
      </c>
      <c r="I1668">
        <v>14</v>
      </c>
      <c r="J1668">
        <v>444790</v>
      </c>
      <c r="K1668">
        <v>682132</v>
      </c>
      <c r="L1668" t="s">
        <v>24</v>
      </c>
      <c r="M1668" t="s">
        <v>1706</v>
      </c>
      <c r="N1668" t="s">
        <v>26</v>
      </c>
      <c r="O1668" t="s">
        <v>21</v>
      </c>
      <c r="P1668" t="s">
        <v>22</v>
      </c>
      <c r="Q1668" t="s">
        <v>36</v>
      </c>
      <c r="R1668" t="b">
        <f>OR(Таблица1[[#This Row],[Ежемесячный платеж]]&lt;$AC$5, Таблица1[[#This Row],[Ежемесячный платеж]]&gt;$AC$6)</f>
        <v>0</v>
      </c>
      <c r="S1668" s="9">
        <f>(Таблица1[[#This Row],[Размер кредита]]-21824)/(789096-21824)</f>
        <v>0.53096685399701804</v>
      </c>
      <c r="T1668" s="9">
        <f>(Таблица1[[#This Row],[Кредитный рейтинг]]-586)/(751-586)</f>
        <v>0.87878787878787878</v>
      </c>
      <c r="U1668" s="9">
        <f>Таблица1[[#This Row],[Ежемесячный платеж]]/(Таблица1[[#This Row],[Годовой доход]]/12)</f>
        <v>0.236000292890093</v>
      </c>
    </row>
    <row r="1669" spans="1:21" x14ac:dyDescent="0.3">
      <c r="A1669">
        <v>1668</v>
      </c>
      <c r="B1669">
        <v>0</v>
      </c>
      <c r="C1669" s="9">
        <v>445456</v>
      </c>
      <c r="D1669">
        <v>745</v>
      </c>
      <c r="E1669" s="1">
        <v>2885340</v>
      </c>
      <c r="F1669">
        <v>0</v>
      </c>
      <c r="G1669">
        <v>53859.68</v>
      </c>
      <c r="H1669">
        <v>15.6</v>
      </c>
      <c r="I1669">
        <v>13</v>
      </c>
      <c r="J1669">
        <v>261231</v>
      </c>
      <c r="K1669">
        <v>598972</v>
      </c>
      <c r="L1669" t="s">
        <v>29</v>
      </c>
      <c r="M1669" t="s">
        <v>1707</v>
      </c>
      <c r="N1669" t="s">
        <v>26</v>
      </c>
      <c r="O1669" t="s">
        <v>21</v>
      </c>
      <c r="P1669" t="s">
        <v>22</v>
      </c>
      <c r="Q1669" t="s">
        <v>23</v>
      </c>
      <c r="R1669" t="b">
        <f>OR(Таблица1[[#This Row],[Ежемесячный платеж]]&lt;$AC$5, Таблица1[[#This Row],[Ежемесячный платеж]]&gt;$AC$6)</f>
        <v>1</v>
      </c>
      <c r="S1669" s="9">
        <f>(Таблица1[[#This Row],[Размер кредита]]-21824)/(789096-21824)</f>
        <v>0.55212753756164701</v>
      </c>
      <c r="T1669" s="9">
        <f>(Таблица1[[#This Row],[Кредитный рейтинг]]-586)/(751-586)</f>
        <v>0.96363636363636362</v>
      </c>
      <c r="U1669" s="9">
        <f>Таблица1[[#This Row],[Ежемесячный платеж]]/(Таблица1[[#This Row],[Годовой доход]]/12)</f>
        <v>0.224</v>
      </c>
    </row>
    <row r="1670" spans="1:21" x14ac:dyDescent="0.3">
      <c r="A1670">
        <v>1669</v>
      </c>
      <c r="B1670">
        <v>0</v>
      </c>
      <c r="C1670" s="9">
        <v>274780</v>
      </c>
      <c r="D1670">
        <f>$Y$13</f>
        <v>723</v>
      </c>
      <c r="E1670">
        <f>$AB$13</f>
        <v>1168044</v>
      </c>
      <c r="F1670">
        <v>0</v>
      </c>
      <c r="G1670">
        <v>7562.19</v>
      </c>
      <c r="H1670">
        <v>12.7</v>
      </c>
      <c r="I1670">
        <v>14</v>
      </c>
      <c r="J1670">
        <v>120688</v>
      </c>
      <c r="K1670">
        <v>347644</v>
      </c>
      <c r="L1670" t="s">
        <v>37</v>
      </c>
      <c r="M1670" t="s">
        <v>1708</v>
      </c>
      <c r="N1670" t="s">
        <v>26</v>
      </c>
      <c r="O1670" t="s">
        <v>21</v>
      </c>
      <c r="P1670" t="s">
        <v>22</v>
      </c>
      <c r="Q1670" t="s">
        <v>23</v>
      </c>
      <c r="R1670" t="b">
        <f>OR(Таблица1[[#This Row],[Ежемесячный платеж]]&lt;$AC$5, Таблица1[[#This Row],[Ежемесячный платеж]]&gt;$AC$6)</f>
        <v>0</v>
      </c>
      <c r="S1670" s="9">
        <f>(Таблица1[[#This Row],[Размер кредита]]-21824)/(789096-21824)</f>
        <v>0.32968230301640095</v>
      </c>
      <c r="T1670" s="9">
        <f>(Таблица1[[#This Row],[Кредитный рейтинг]]-586)/(751-586)</f>
        <v>0.83030303030303032</v>
      </c>
      <c r="U1670" s="9">
        <f>Таблица1[[#This Row],[Ежемесячный платеж]]/(Таблица1[[#This Row],[Годовой доход]]/12)</f>
        <v>7.7690806168260781E-2</v>
      </c>
    </row>
    <row r="1671" spans="1:21" x14ac:dyDescent="0.3">
      <c r="A1671">
        <v>1670</v>
      </c>
      <c r="B1671">
        <v>0</v>
      </c>
      <c r="C1671" s="9">
        <v>99594</v>
      </c>
      <c r="D1671">
        <f>$Y$13</f>
        <v>723</v>
      </c>
      <c r="E1671">
        <f>$AB$13</f>
        <v>1168044</v>
      </c>
      <c r="F1671">
        <v>40</v>
      </c>
      <c r="G1671">
        <v>13371.82</v>
      </c>
      <c r="H1671">
        <v>17.600000000000001</v>
      </c>
      <c r="I1671">
        <v>9</v>
      </c>
      <c r="J1671">
        <v>80978</v>
      </c>
      <c r="K1671">
        <v>669812</v>
      </c>
      <c r="L1671" t="s">
        <v>24</v>
      </c>
      <c r="M1671" s="2" t="s">
        <v>1709</v>
      </c>
      <c r="N1671" t="s">
        <v>26</v>
      </c>
      <c r="O1671" t="s">
        <v>34</v>
      </c>
      <c r="P1671" t="s">
        <v>22</v>
      </c>
      <c r="Q1671" t="s">
        <v>36</v>
      </c>
      <c r="R1671" t="b">
        <f>OR(Таблица1[[#This Row],[Ежемесячный платеж]]&lt;$AC$5, Таблица1[[#This Row],[Ежемесячный платеж]]&gt;$AC$6)</f>
        <v>0</v>
      </c>
      <c r="S1671" s="9">
        <f>(Таблица1[[#This Row],[Размер кредита]]-21824)/(789096-21824)</f>
        <v>0.10135910081431357</v>
      </c>
      <c r="T1671" s="9">
        <f>(Таблица1[[#This Row],[Кредитный рейтинг]]-586)/(751-586)</f>
        <v>0.83030303030303032</v>
      </c>
      <c r="U1671" s="9">
        <f>Таблица1[[#This Row],[Ежемесячный платеж]]/(Таблица1[[#This Row],[Годовой доход]]/12)</f>
        <v>0.13737653718524301</v>
      </c>
    </row>
    <row r="1672" spans="1:21" x14ac:dyDescent="0.3">
      <c r="A1672">
        <v>1671</v>
      </c>
      <c r="B1672">
        <v>0</v>
      </c>
      <c r="C1672" s="9">
        <v>263626</v>
      </c>
      <c r="D1672">
        <v>744</v>
      </c>
      <c r="E1672" s="1">
        <v>1290195</v>
      </c>
      <c r="F1672">
        <v>0</v>
      </c>
      <c r="G1672">
        <v>29459.5</v>
      </c>
      <c r="H1672">
        <v>11.2</v>
      </c>
      <c r="I1672">
        <v>16</v>
      </c>
      <c r="J1672">
        <v>359138</v>
      </c>
      <c r="K1672">
        <v>973852</v>
      </c>
      <c r="L1672" t="s">
        <v>69</v>
      </c>
      <c r="M1672" t="s">
        <v>1710</v>
      </c>
      <c r="N1672" t="s">
        <v>26</v>
      </c>
      <c r="O1672" t="s">
        <v>21</v>
      </c>
      <c r="P1672" t="s">
        <v>22</v>
      </c>
      <c r="Q1672" t="s">
        <v>23</v>
      </c>
      <c r="R1672" t="b">
        <f>OR(Таблица1[[#This Row],[Ежемесячный платеж]]&lt;$AC$5, Таблица1[[#This Row],[Ежемесячный платеж]]&gt;$AC$6)</f>
        <v>0</v>
      </c>
      <c r="S1672" s="9">
        <f>(Таблица1[[#This Row],[Размер кредита]]-21824)/(789096-21824)</f>
        <v>0.31514508544557862</v>
      </c>
      <c r="T1672" s="9">
        <f>(Таблица1[[#This Row],[Кредитный рейтинг]]-586)/(751-586)</f>
        <v>0.95757575757575752</v>
      </c>
      <c r="U1672" s="9">
        <f>Таблица1[[#This Row],[Ежемесячный платеж]]/(Таблица1[[#This Row],[Годовой доход]]/12)</f>
        <v>0.27400044179368233</v>
      </c>
    </row>
    <row r="1673" spans="1:21" x14ac:dyDescent="0.3">
      <c r="A1673">
        <v>1672</v>
      </c>
      <c r="B1673">
        <v>0</v>
      </c>
      <c r="C1673" s="9">
        <v>264924</v>
      </c>
      <c r="D1673">
        <v>749</v>
      </c>
      <c r="E1673" s="1">
        <v>2497721</v>
      </c>
      <c r="F1673">
        <v>0</v>
      </c>
      <c r="G1673">
        <v>16713.919999999998</v>
      </c>
      <c r="H1673">
        <v>19.899999999999999</v>
      </c>
      <c r="I1673">
        <v>7</v>
      </c>
      <c r="J1673">
        <v>217322</v>
      </c>
      <c r="K1673">
        <v>793804</v>
      </c>
      <c r="L1673" t="s">
        <v>24</v>
      </c>
      <c r="M1673" t="s">
        <v>1711</v>
      </c>
      <c r="N1673" t="s">
        <v>20</v>
      </c>
      <c r="O1673" t="s">
        <v>21</v>
      </c>
      <c r="P1673" t="s">
        <v>22</v>
      </c>
      <c r="Q1673" t="s">
        <v>23</v>
      </c>
      <c r="R1673" t="b">
        <f>OR(Таблица1[[#This Row],[Ежемесячный платеж]]&lt;$AC$5, Таблица1[[#This Row],[Ежемесячный платеж]]&gt;$AC$6)</f>
        <v>0</v>
      </c>
      <c r="S1673" s="9">
        <f>(Таблица1[[#This Row],[Размер кредита]]-21824)/(789096-21824)</f>
        <v>0.31683679321023051</v>
      </c>
      <c r="T1673" s="9">
        <f>(Таблица1[[#This Row],[Кредитный рейтинг]]-586)/(751-586)</f>
        <v>0.98787878787878791</v>
      </c>
      <c r="U1673" s="9">
        <f>Таблица1[[#This Row],[Ежемесячный платеж]]/(Таблица1[[#This Row],[Годовой доход]]/12)</f>
        <v>8.0300017495949297E-2</v>
      </c>
    </row>
    <row r="1674" spans="1:21" x14ac:dyDescent="0.3">
      <c r="A1674">
        <v>1673</v>
      </c>
      <c r="B1674">
        <v>0</v>
      </c>
      <c r="C1674" s="9">
        <v>213356</v>
      </c>
      <c r="D1674">
        <v>729</v>
      </c>
      <c r="E1674" s="1">
        <v>799083</v>
      </c>
      <c r="F1674">
        <v>18</v>
      </c>
      <c r="G1674">
        <v>6306.1</v>
      </c>
      <c r="H1674">
        <v>10</v>
      </c>
      <c r="I1674">
        <v>12</v>
      </c>
      <c r="J1674">
        <v>118617</v>
      </c>
      <c r="K1674">
        <v>224422</v>
      </c>
      <c r="L1674" t="s">
        <v>69</v>
      </c>
      <c r="M1674" t="s">
        <v>1712</v>
      </c>
      <c r="N1674" t="s">
        <v>26</v>
      </c>
      <c r="O1674" t="s">
        <v>21</v>
      </c>
      <c r="P1674" t="s">
        <v>22</v>
      </c>
      <c r="Q1674" t="s">
        <v>36</v>
      </c>
      <c r="R1674" t="b">
        <f>OR(Таблица1[[#This Row],[Ежемесячный платеж]]&lt;$AC$5, Таблица1[[#This Row],[Ежемесячный платеж]]&gt;$AC$6)</f>
        <v>0</v>
      </c>
      <c r="S1674" s="9">
        <f>(Таблица1[[#This Row],[Размер кредита]]-21824)/(789096-21824)</f>
        <v>0.24962725083151738</v>
      </c>
      <c r="T1674" s="9">
        <f>(Таблица1[[#This Row],[Кредитный рейтинг]]-586)/(751-586)</f>
        <v>0.8666666666666667</v>
      </c>
      <c r="U1674" s="9">
        <f>Таблица1[[#This Row],[Ежемесячный платеж]]/(Таблица1[[#This Row],[Годовой доход]]/12)</f>
        <v>9.4700049932234825E-2</v>
      </c>
    </row>
    <row r="1675" spans="1:21" x14ac:dyDescent="0.3">
      <c r="A1675">
        <v>1674</v>
      </c>
      <c r="B1675">
        <v>0</v>
      </c>
      <c r="C1675" s="9">
        <v>268664</v>
      </c>
      <c r="D1675">
        <v>740</v>
      </c>
      <c r="E1675" s="1">
        <v>1102171</v>
      </c>
      <c r="F1675">
        <v>0</v>
      </c>
      <c r="G1675">
        <v>27462.41</v>
      </c>
      <c r="H1675">
        <v>13.2</v>
      </c>
      <c r="I1675">
        <v>13</v>
      </c>
      <c r="J1675">
        <v>194313</v>
      </c>
      <c r="K1675">
        <v>635558</v>
      </c>
      <c r="L1675" t="s">
        <v>50</v>
      </c>
      <c r="M1675" t="s">
        <v>1713</v>
      </c>
      <c r="N1675" t="s">
        <v>26</v>
      </c>
      <c r="O1675" t="s">
        <v>21</v>
      </c>
      <c r="P1675" t="s">
        <v>22</v>
      </c>
      <c r="Q1675" t="s">
        <v>23</v>
      </c>
      <c r="R1675" t="b">
        <f>OR(Таблица1[[#This Row],[Ежемесячный платеж]]&lt;$AC$5, Таблица1[[#This Row],[Ежемесячный платеж]]&gt;$AC$6)</f>
        <v>0</v>
      </c>
      <c r="S1675" s="9">
        <f>(Таблица1[[#This Row],[Размер кредита]]-21824)/(789096-21824)</f>
        <v>0.32171120541346487</v>
      </c>
      <c r="T1675" s="9">
        <f>(Таблица1[[#This Row],[Кредитный рейтинг]]-586)/(751-586)</f>
        <v>0.93333333333333335</v>
      </c>
      <c r="U1675" s="9">
        <f>Таблица1[[#This Row],[Ежемесячный платеж]]/(Таблица1[[#This Row],[Годовой доход]]/12)</f>
        <v>0.29899981037425227</v>
      </c>
    </row>
    <row r="1676" spans="1:21" x14ac:dyDescent="0.3">
      <c r="A1676">
        <v>1675</v>
      </c>
      <c r="B1676">
        <v>0</v>
      </c>
      <c r="C1676" s="9">
        <v>263274</v>
      </c>
      <c r="D1676">
        <f>$Y$13</f>
        <v>723</v>
      </c>
      <c r="E1676">
        <f>$AB$13</f>
        <v>1168044</v>
      </c>
      <c r="F1676">
        <v>0</v>
      </c>
      <c r="G1676">
        <v>6065.75</v>
      </c>
      <c r="H1676">
        <v>14.7</v>
      </c>
      <c r="I1676">
        <v>6</v>
      </c>
      <c r="J1676">
        <v>191444</v>
      </c>
      <c r="K1676">
        <v>337392</v>
      </c>
      <c r="L1676" t="s">
        <v>24</v>
      </c>
      <c r="M1676" t="s">
        <v>1714</v>
      </c>
      <c r="N1676" t="s">
        <v>26</v>
      </c>
      <c r="O1676" t="s">
        <v>34</v>
      </c>
      <c r="P1676" t="s">
        <v>22</v>
      </c>
      <c r="Q1676" t="s">
        <v>23</v>
      </c>
      <c r="R1676" t="b">
        <f>OR(Таблица1[[#This Row],[Ежемесячный платеж]]&lt;$AC$5, Таблица1[[#This Row],[Ежемесячный платеж]]&gt;$AC$6)</f>
        <v>0</v>
      </c>
      <c r="S1676" s="9">
        <f>(Таблица1[[#This Row],[Размер кредита]]-21824)/(789096-21824)</f>
        <v>0.31468631723821539</v>
      </c>
      <c r="T1676" s="9">
        <f>(Таблица1[[#This Row],[Кредитный рейтинг]]-586)/(751-586)</f>
        <v>0.83030303030303032</v>
      </c>
      <c r="U1676" s="9">
        <f>Таблица1[[#This Row],[Ежемесячный платеж]]/(Таблица1[[#This Row],[Годовой доход]]/12)</f>
        <v>6.2317001756783133E-2</v>
      </c>
    </row>
    <row r="1677" spans="1:21" x14ac:dyDescent="0.3">
      <c r="A1677">
        <v>1676</v>
      </c>
      <c r="B1677">
        <v>0</v>
      </c>
      <c r="C1677" s="9">
        <v>174108</v>
      </c>
      <c r="D1677">
        <v>643</v>
      </c>
      <c r="E1677" s="1">
        <v>1221662</v>
      </c>
      <c r="F1677">
        <v>0</v>
      </c>
      <c r="G1677">
        <v>10567.42</v>
      </c>
      <c r="H1677">
        <v>8.9</v>
      </c>
      <c r="I1677">
        <v>5</v>
      </c>
      <c r="J1677">
        <v>122265</v>
      </c>
      <c r="K1677">
        <v>169752</v>
      </c>
      <c r="L1677" t="s">
        <v>47</v>
      </c>
      <c r="M1677" t="s">
        <v>1715</v>
      </c>
      <c r="N1677" t="s">
        <v>26</v>
      </c>
      <c r="O1677" t="s">
        <v>34</v>
      </c>
      <c r="P1677" t="s">
        <v>31</v>
      </c>
      <c r="Q1677" t="s">
        <v>23</v>
      </c>
      <c r="R1677" t="b">
        <f>OR(Таблица1[[#This Row],[Ежемесячный платеж]]&lt;$AC$5, Таблица1[[#This Row],[Ежемесячный платеж]]&gt;$AC$6)</f>
        <v>0</v>
      </c>
      <c r="S1677" s="9">
        <f>(Таблица1[[#This Row],[Размер кредита]]-21824)/(789096-21824)</f>
        <v>0.19847459571051726</v>
      </c>
      <c r="T1677" s="9">
        <f>(Таблица1[[#This Row],[Кредитный рейтинг]]-586)/(751-586)</f>
        <v>0.34545454545454546</v>
      </c>
      <c r="U1677" s="9">
        <f>Таблица1[[#This Row],[Ежемесячный платеж]]/(Таблица1[[#This Row],[Годовой доход]]/12)</f>
        <v>0.10380042925129863</v>
      </c>
    </row>
    <row r="1678" spans="1:21" x14ac:dyDescent="0.3">
      <c r="A1678">
        <v>1677</v>
      </c>
      <c r="B1678">
        <v>0</v>
      </c>
      <c r="C1678" s="9">
        <v>506264</v>
      </c>
      <c r="D1678">
        <v>633</v>
      </c>
      <c r="E1678" s="1">
        <v>1821796</v>
      </c>
      <c r="F1678">
        <v>17</v>
      </c>
      <c r="G1678">
        <v>21405.97</v>
      </c>
      <c r="H1678">
        <v>23.3</v>
      </c>
      <c r="I1678">
        <v>11</v>
      </c>
      <c r="J1678">
        <v>192660</v>
      </c>
      <c r="K1678">
        <v>505868</v>
      </c>
      <c r="L1678" t="s">
        <v>24</v>
      </c>
      <c r="M1678" t="s">
        <v>1716</v>
      </c>
      <c r="N1678" t="s">
        <v>26</v>
      </c>
      <c r="O1678" t="s">
        <v>21</v>
      </c>
      <c r="P1678" t="s">
        <v>31</v>
      </c>
      <c r="Q1678" t="s">
        <v>23</v>
      </c>
      <c r="R1678" t="b">
        <f>OR(Таблица1[[#This Row],[Ежемесячный платеж]]&lt;$AC$5, Таблица1[[#This Row],[Ежемесячный платеж]]&gt;$AC$6)</f>
        <v>0</v>
      </c>
      <c r="S1678" s="9">
        <f>(Таблица1[[#This Row],[Размер кредита]]-21824)/(789096-21824)</f>
        <v>0.63137974538364494</v>
      </c>
      <c r="T1678" s="9">
        <f>(Таблица1[[#This Row],[Кредитный рейтинг]]-586)/(751-586)</f>
        <v>0.28484848484848485</v>
      </c>
      <c r="U1678" s="9">
        <f>Таблица1[[#This Row],[Ежемесячный платеж]]/(Таблица1[[#This Row],[Годовой доход]]/12)</f>
        <v>0.14099912394142922</v>
      </c>
    </row>
    <row r="1679" spans="1:21" x14ac:dyDescent="0.3">
      <c r="A1679">
        <v>1678</v>
      </c>
      <c r="B1679">
        <v>0</v>
      </c>
      <c r="C1679" s="9">
        <v>482944</v>
      </c>
      <c r="D1679">
        <v>696</v>
      </c>
      <c r="E1679" s="1">
        <v>1327872</v>
      </c>
      <c r="F1679">
        <v>39</v>
      </c>
      <c r="G1679">
        <v>11618.88</v>
      </c>
      <c r="H1679">
        <v>22.8</v>
      </c>
      <c r="I1679">
        <v>10</v>
      </c>
      <c r="J1679">
        <v>207974</v>
      </c>
      <c r="K1679">
        <v>254540</v>
      </c>
      <c r="L1679" t="s">
        <v>24</v>
      </c>
      <c r="M1679" t="s">
        <v>1717</v>
      </c>
      <c r="N1679" t="s">
        <v>26</v>
      </c>
      <c r="O1679" t="s">
        <v>21</v>
      </c>
      <c r="P1679" t="s">
        <v>31</v>
      </c>
      <c r="Q1679" t="s">
        <v>23</v>
      </c>
      <c r="R1679" t="b">
        <f>OR(Таблица1[[#This Row],[Ежемесячный платеж]]&lt;$AC$5, Таблица1[[#This Row],[Ежемесячный платеж]]&gt;$AC$6)</f>
        <v>0</v>
      </c>
      <c r="S1679" s="9">
        <f>(Таблица1[[#This Row],[Размер кредита]]-21824)/(789096-21824)</f>
        <v>0.60098635164583092</v>
      </c>
      <c r="T1679" s="9">
        <f>(Таблица1[[#This Row],[Кредитный рейтинг]]-586)/(751-586)</f>
        <v>0.66666666666666663</v>
      </c>
      <c r="U1679" s="9">
        <f>Таблица1[[#This Row],[Ежемесячный платеж]]/(Таблица1[[#This Row],[Годовой доход]]/12)</f>
        <v>0.105</v>
      </c>
    </row>
    <row r="1680" spans="1:21" x14ac:dyDescent="0.3">
      <c r="A1680">
        <v>1679</v>
      </c>
      <c r="B1680">
        <v>0</v>
      </c>
      <c r="C1680" s="9">
        <v>350592</v>
      </c>
      <c r="D1680">
        <f>$Y$13</f>
        <v>723</v>
      </c>
      <c r="E1680">
        <f>$AB$13</f>
        <v>1168044</v>
      </c>
      <c r="F1680">
        <v>0</v>
      </c>
      <c r="G1680">
        <v>33590.1</v>
      </c>
      <c r="H1680">
        <v>8.6999999999999993</v>
      </c>
      <c r="I1680">
        <v>14</v>
      </c>
      <c r="J1680">
        <v>362615</v>
      </c>
      <c r="K1680">
        <v>471240</v>
      </c>
      <c r="L1680" t="s">
        <v>41</v>
      </c>
      <c r="M1680" t="s">
        <v>1718</v>
      </c>
      <c r="N1680" t="s">
        <v>26</v>
      </c>
      <c r="O1680" t="s">
        <v>34</v>
      </c>
      <c r="P1680" t="s">
        <v>22</v>
      </c>
      <c r="Q1680" t="s">
        <v>36</v>
      </c>
      <c r="R1680" t="b">
        <f>OR(Таблица1[[#This Row],[Ежемесячный платеж]]&lt;$AC$5, Таблица1[[#This Row],[Ежемесячный платеж]]&gt;$AC$6)</f>
        <v>0</v>
      </c>
      <c r="S1680" s="9">
        <f>(Таблица1[[#This Row],[Размер кредита]]-21824)/(789096-21824)</f>
        <v>0.42848950567725658</v>
      </c>
      <c r="T1680" s="9">
        <f>(Таблица1[[#This Row],[Кредитный рейтинг]]-586)/(751-586)</f>
        <v>0.83030303030303032</v>
      </c>
      <c r="U1680" s="9">
        <f>Таблица1[[#This Row],[Ежемесячный платеж]]/(Таблица1[[#This Row],[Годовой доход]]/12)</f>
        <v>0.34509076712863557</v>
      </c>
    </row>
    <row r="1681" spans="1:21" x14ac:dyDescent="0.3">
      <c r="A1681">
        <v>1680</v>
      </c>
      <c r="B1681">
        <v>0</v>
      </c>
      <c r="C1681" s="9">
        <v>32406</v>
      </c>
      <c r="D1681">
        <v>732</v>
      </c>
      <c r="E1681" s="1">
        <v>1586253</v>
      </c>
      <c r="F1681">
        <v>10</v>
      </c>
      <c r="G1681">
        <v>10204.9</v>
      </c>
      <c r="H1681">
        <v>21.9</v>
      </c>
      <c r="I1681">
        <v>4</v>
      </c>
      <c r="J1681">
        <v>0</v>
      </c>
      <c r="K1681">
        <v>0</v>
      </c>
      <c r="L1681" t="s">
        <v>41</v>
      </c>
      <c r="M1681" t="s">
        <v>1719</v>
      </c>
      <c r="N1681" t="s">
        <v>68</v>
      </c>
      <c r="O1681" t="s">
        <v>21</v>
      </c>
      <c r="P1681" t="s">
        <v>22</v>
      </c>
      <c r="Q1681" t="s">
        <v>23</v>
      </c>
      <c r="R1681" t="b">
        <f>OR(Таблица1[[#This Row],[Ежемесячный платеж]]&lt;$AC$5, Таблица1[[#This Row],[Ежемесячный платеж]]&gt;$AC$6)</f>
        <v>0</v>
      </c>
      <c r="S1681" s="9">
        <f>(Таблица1[[#This Row],[Размер кредита]]-21824)/(789096-21824)</f>
        <v>1.3791719233857094E-2</v>
      </c>
      <c r="T1681" s="9">
        <f>(Таблица1[[#This Row],[Кредитный рейтинг]]-586)/(751-586)</f>
        <v>0.88484848484848488</v>
      </c>
      <c r="U1681" s="9">
        <f>Таблица1[[#This Row],[Ежемесячный платеж]]/(Таблица1[[#This Row],[Годовой доход]]/12)</f>
        <v>7.7200043120485826E-2</v>
      </c>
    </row>
    <row r="1682" spans="1:21" x14ac:dyDescent="0.3">
      <c r="A1682">
        <v>1681</v>
      </c>
      <c r="B1682">
        <v>0</v>
      </c>
      <c r="C1682" s="9">
        <v>454058</v>
      </c>
      <c r="D1682">
        <v>749</v>
      </c>
      <c r="E1682" s="1">
        <v>2644116</v>
      </c>
      <c r="F1682">
        <v>0</v>
      </c>
      <c r="G1682">
        <v>9805.33</v>
      </c>
      <c r="H1682">
        <v>29.5</v>
      </c>
      <c r="I1682">
        <v>9</v>
      </c>
      <c r="J1682">
        <v>263359</v>
      </c>
      <c r="K1682">
        <v>1040798</v>
      </c>
      <c r="L1682" t="s">
        <v>47</v>
      </c>
      <c r="M1682" t="s">
        <v>1720</v>
      </c>
      <c r="N1682" t="s">
        <v>26</v>
      </c>
      <c r="O1682" t="s">
        <v>21</v>
      </c>
      <c r="P1682" t="s">
        <v>22</v>
      </c>
      <c r="Q1682" t="s">
        <v>23</v>
      </c>
      <c r="R1682" t="b">
        <f>OR(Таблица1[[#This Row],[Ежемесячный платеж]]&lt;$AC$5, Таблица1[[#This Row],[Ежемесячный платеж]]&gt;$AC$6)</f>
        <v>0</v>
      </c>
      <c r="S1682" s="9">
        <f>(Таблица1[[#This Row],[Размер кредита]]-21824)/(789096-21824)</f>
        <v>0.56333868562908596</v>
      </c>
      <c r="T1682" s="9">
        <f>(Таблица1[[#This Row],[Кредитный рейтинг]]-586)/(751-586)</f>
        <v>0.98787878787878791</v>
      </c>
      <c r="U1682" s="9">
        <f>Таблица1[[#This Row],[Ежемесячный платеж]]/(Таблица1[[#This Row],[Годовой доход]]/12)</f>
        <v>4.4500301802190223E-2</v>
      </c>
    </row>
    <row r="1683" spans="1:21" x14ac:dyDescent="0.3">
      <c r="A1683">
        <v>1682</v>
      </c>
      <c r="B1683">
        <v>0</v>
      </c>
      <c r="C1683" s="9">
        <v>352880</v>
      </c>
      <c r="D1683">
        <v>670</v>
      </c>
      <c r="E1683" s="1">
        <v>1055868</v>
      </c>
      <c r="F1683">
        <v>0</v>
      </c>
      <c r="G1683">
        <v>28772.46</v>
      </c>
      <c r="H1683">
        <v>16.5</v>
      </c>
      <c r="I1683">
        <v>9</v>
      </c>
      <c r="J1683">
        <v>348764</v>
      </c>
      <c r="K1683">
        <v>702328</v>
      </c>
      <c r="L1683" t="s">
        <v>50</v>
      </c>
      <c r="M1683" t="s">
        <v>1721</v>
      </c>
      <c r="N1683" t="s">
        <v>26</v>
      </c>
      <c r="O1683" t="s">
        <v>34</v>
      </c>
      <c r="P1683" t="s">
        <v>31</v>
      </c>
      <c r="Q1683" t="s">
        <v>23</v>
      </c>
      <c r="R1683" t="b">
        <f>OR(Таблица1[[#This Row],[Ежемесячный платеж]]&lt;$AC$5, Таблица1[[#This Row],[Ежемесячный платеж]]&gt;$AC$6)</f>
        <v>0</v>
      </c>
      <c r="S1683" s="9">
        <f>(Таблица1[[#This Row],[Размер кредита]]-21824)/(789096-21824)</f>
        <v>0.43147149902511756</v>
      </c>
      <c r="T1683" s="9">
        <f>(Таблица1[[#This Row],[Кредитный рейтинг]]-586)/(751-586)</f>
        <v>0.50909090909090904</v>
      </c>
      <c r="U1683" s="9">
        <f>Таблица1[[#This Row],[Ежемесячный платеж]]/(Таблица1[[#This Row],[Годовой доход]]/12)</f>
        <v>0.32700064780824872</v>
      </c>
    </row>
    <row r="1684" spans="1:21" x14ac:dyDescent="0.3">
      <c r="A1684">
        <v>1683</v>
      </c>
      <c r="B1684">
        <v>1</v>
      </c>
      <c r="C1684" s="9">
        <v>335060</v>
      </c>
      <c r="D1684">
        <v>681</v>
      </c>
      <c r="E1684" s="1">
        <v>1936955</v>
      </c>
      <c r="F1684">
        <v>0</v>
      </c>
      <c r="G1684">
        <v>20983.599999999999</v>
      </c>
      <c r="H1684">
        <v>17.5</v>
      </c>
      <c r="I1684">
        <v>13</v>
      </c>
      <c r="J1684">
        <v>381691</v>
      </c>
      <c r="K1684">
        <v>598862</v>
      </c>
      <c r="L1684" t="s">
        <v>52</v>
      </c>
      <c r="M1684" t="s">
        <v>1722</v>
      </c>
      <c r="N1684" t="s">
        <v>26</v>
      </c>
      <c r="O1684" t="s">
        <v>21</v>
      </c>
      <c r="P1684" t="s">
        <v>31</v>
      </c>
      <c r="Q1684" t="s">
        <v>36</v>
      </c>
      <c r="R1684" t="b">
        <f>OR(Таблица1[[#This Row],[Ежемесячный платеж]]&lt;$AC$5, Таблица1[[#This Row],[Ежемесячный платеж]]&gt;$AC$6)</f>
        <v>0</v>
      </c>
      <c r="S1684" s="9">
        <f>(Таблица1[[#This Row],[Размер кредита]]-21824)/(789096-21824)</f>
        <v>0.40824635852735408</v>
      </c>
      <c r="T1684" s="9">
        <f>(Таблица1[[#This Row],[Кредитный рейтинг]]-586)/(751-586)</f>
        <v>0.5757575757575758</v>
      </c>
      <c r="U1684" s="9">
        <f>Таблица1[[#This Row],[Ежемесячный платеж]]/(Таблица1[[#This Row],[Годовой доход]]/12)</f>
        <v>0.12999950953945755</v>
      </c>
    </row>
    <row r="1685" spans="1:21" x14ac:dyDescent="0.3">
      <c r="A1685">
        <v>1684</v>
      </c>
      <c r="B1685">
        <v>1</v>
      </c>
      <c r="C1685" s="9">
        <v>266992</v>
      </c>
      <c r="D1685">
        <v>745</v>
      </c>
      <c r="E1685" s="1">
        <v>864671</v>
      </c>
      <c r="F1685">
        <v>0</v>
      </c>
      <c r="G1685">
        <v>1441.15</v>
      </c>
      <c r="H1685">
        <v>17.2</v>
      </c>
      <c r="I1685">
        <v>8</v>
      </c>
      <c r="J1685">
        <v>31008</v>
      </c>
      <c r="K1685">
        <v>398992</v>
      </c>
      <c r="L1685" t="s">
        <v>41</v>
      </c>
      <c r="M1685" t="s">
        <v>1723</v>
      </c>
      <c r="N1685" t="s">
        <v>26</v>
      </c>
      <c r="O1685" t="s">
        <v>34</v>
      </c>
      <c r="P1685" t="s">
        <v>22</v>
      </c>
      <c r="Q1685" t="s">
        <v>23</v>
      </c>
      <c r="R1685" t="b">
        <f>OR(Таблица1[[#This Row],[Ежемесячный платеж]]&lt;$AC$5, Таблица1[[#This Row],[Ежемесячный платеж]]&gt;$AC$6)</f>
        <v>0</v>
      </c>
      <c r="S1685" s="9">
        <f>(Таблица1[[#This Row],[Размер кредита]]-21824)/(789096-21824)</f>
        <v>0.31953205642848953</v>
      </c>
      <c r="T1685" s="9">
        <f>(Таблица1[[#This Row],[Кредитный рейтинг]]-586)/(751-586)</f>
        <v>0.96363636363636362</v>
      </c>
      <c r="U1685" s="9">
        <f>Таблица1[[#This Row],[Ежемесячный платеж]]/(Таблица1[[#This Row],[Годовой доход]]/12)</f>
        <v>2.0000439473510732E-2</v>
      </c>
    </row>
    <row r="1686" spans="1:21" x14ac:dyDescent="0.3">
      <c r="A1686">
        <v>1685</v>
      </c>
      <c r="B1686">
        <v>0</v>
      </c>
      <c r="C1686" s="9">
        <v>403172</v>
      </c>
      <c r="D1686">
        <v>738</v>
      </c>
      <c r="E1686" s="1">
        <v>1973074</v>
      </c>
      <c r="F1686">
        <v>0</v>
      </c>
      <c r="G1686">
        <v>11443.89</v>
      </c>
      <c r="H1686">
        <v>6</v>
      </c>
      <c r="I1686">
        <v>9</v>
      </c>
      <c r="J1686">
        <v>94468</v>
      </c>
      <c r="K1686">
        <v>504108</v>
      </c>
      <c r="L1686" t="s">
        <v>37</v>
      </c>
      <c r="M1686" t="s">
        <v>1724</v>
      </c>
      <c r="N1686" t="s">
        <v>68</v>
      </c>
      <c r="O1686" t="s">
        <v>34</v>
      </c>
      <c r="P1686" t="s">
        <v>22</v>
      </c>
      <c r="Q1686" t="s">
        <v>23</v>
      </c>
      <c r="R1686" t="b">
        <f>OR(Таблица1[[#This Row],[Ежемесячный платеж]]&lt;$AC$5, Таблица1[[#This Row],[Ежемесячный платеж]]&gt;$AC$6)</f>
        <v>0</v>
      </c>
      <c r="S1686" s="9">
        <f>(Таблица1[[#This Row],[Размер кредита]]-21824)/(789096-21824)</f>
        <v>0.49701800665213902</v>
      </c>
      <c r="T1686" s="9">
        <f>(Таблица1[[#This Row],[Кредитный рейтинг]]-586)/(751-586)</f>
        <v>0.92121212121212126</v>
      </c>
      <c r="U1686" s="9">
        <f>Таблица1[[#This Row],[Ежемесячный платеж]]/(Таблица1[[#This Row],[Годовой доход]]/12)</f>
        <v>6.9600369778325594E-2</v>
      </c>
    </row>
    <row r="1687" spans="1:21" x14ac:dyDescent="0.3">
      <c r="A1687">
        <v>1686</v>
      </c>
      <c r="B1687">
        <v>0</v>
      </c>
      <c r="C1687" s="9">
        <v>284328</v>
      </c>
      <c r="D1687">
        <v>677</v>
      </c>
      <c r="E1687" s="1">
        <v>1818908</v>
      </c>
      <c r="F1687">
        <v>36</v>
      </c>
      <c r="G1687">
        <v>23039.4</v>
      </c>
      <c r="H1687">
        <v>10.1</v>
      </c>
      <c r="I1687">
        <v>14</v>
      </c>
      <c r="J1687">
        <v>174401</v>
      </c>
      <c r="K1687">
        <v>332706</v>
      </c>
      <c r="L1687" t="s">
        <v>32</v>
      </c>
      <c r="M1687" t="s">
        <v>1725</v>
      </c>
      <c r="N1687" t="s">
        <v>20</v>
      </c>
      <c r="O1687" t="s">
        <v>21</v>
      </c>
      <c r="P1687" t="s">
        <v>22</v>
      </c>
      <c r="Q1687" t="s">
        <v>23</v>
      </c>
      <c r="R1687" t="b">
        <f>OR(Таблица1[[#This Row],[Ежемесячный платеж]]&lt;$AC$5, Таблица1[[#This Row],[Ежемесячный платеж]]&gt;$AC$6)</f>
        <v>0</v>
      </c>
      <c r="S1687" s="9">
        <f>(Таблица1[[#This Row],[Размер кредита]]-21824)/(789096-21824)</f>
        <v>0.3421263906411286</v>
      </c>
      <c r="T1687" s="9">
        <f>(Таблица1[[#This Row],[Кредитный рейтинг]]-586)/(751-586)</f>
        <v>0.55151515151515151</v>
      </c>
      <c r="U1687" s="9">
        <f>Таблица1[[#This Row],[Ежемесячный платеж]]/(Таблица1[[#This Row],[Годовой доход]]/12)</f>
        <v>0.15199933146701208</v>
      </c>
    </row>
    <row r="1688" spans="1:21" x14ac:dyDescent="0.3">
      <c r="A1688">
        <v>1687</v>
      </c>
      <c r="B1688">
        <v>2</v>
      </c>
      <c r="C1688" s="9">
        <v>242528</v>
      </c>
      <c r="D1688">
        <v>698</v>
      </c>
      <c r="E1688" s="1">
        <v>582730</v>
      </c>
      <c r="F1688">
        <v>30</v>
      </c>
      <c r="G1688">
        <v>13451.43</v>
      </c>
      <c r="H1688">
        <v>14.2</v>
      </c>
      <c r="I1688">
        <v>13</v>
      </c>
      <c r="J1688">
        <v>252301</v>
      </c>
      <c r="K1688">
        <v>404052</v>
      </c>
      <c r="L1688" t="s">
        <v>24</v>
      </c>
      <c r="M1688" s="2" t="s">
        <v>1726</v>
      </c>
      <c r="N1688" t="s">
        <v>26</v>
      </c>
      <c r="O1688" t="s">
        <v>34</v>
      </c>
      <c r="P1688" t="s">
        <v>22</v>
      </c>
      <c r="Q1688" t="s">
        <v>36</v>
      </c>
      <c r="R1688" t="b">
        <f>OR(Таблица1[[#This Row],[Ежемесячный платеж]]&lt;$AC$5, Таблица1[[#This Row],[Ежемесячный платеж]]&gt;$AC$6)</f>
        <v>0</v>
      </c>
      <c r="S1688" s="9">
        <f>(Таблица1[[#This Row],[Размер кредита]]-21824)/(789096-21824)</f>
        <v>0.28764766601674502</v>
      </c>
      <c r="T1688" s="9">
        <f>(Таблица1[[#This Row],[Кредитный рейтинг]]-586)/(751-586)</f>
        <v>0.67878787878787883</v>
      </c>
      <c r="U1688" s="9">
        <f>Таблица1[[#This Row],[Ежемесячный платеж]]/(Таблица1[[#This Row],[Годовой доход]]/12)</f>
        <v>0.27700163025758068</v>
      </c>
    </row>
    <row r="1689" spans="1:21" x14ac:dyDescent="0.3">
      <c r="A1689">
        <v>1688</v>
      </c>
      <c r="B1689">
        <v>0</v>
      </c>
      <c r="D1689">
        <v>745</v>
      </c>
      <c r="E1689" s="1">
        <v>1042188</v>
      </c>
      <c r="F1689">
        <v>0</v>
      </c>
      <c r="G1689">
        <v>20496.25</v>
      </c>
      <c r="H1689">
        <v>14</v>
      </c>
      <c r="I1689">
        <v>17</v>
      </c>
      <c r="J1689">
        <v>148333</v>
      </c>
      <c r="K1689">
        <v>596376</v>
      </c>
      <c r="L1689" t="s">
        <v>52</v>
      </c>
      <c r="M1689" t="s">
        <v>1727</v>
      </c>
      <c r="N1689" t="s">
        <v>26</v>
      </c>
      <c r="O1689" t="s">
        <v>34</v>
      </c>
      <c r="P1689" t="s">
        <v>22</v>
      </c>
      <c r="Q1689" t="s">
        <v>23</v>
      </c>
      <c r="R1689" t="b">
        <f>OR(Таблица1[[#This Row],[Ежемесячный платеж]]&lt;$AC$5, Таблица1[[#This Row],[Ежемесячный платеж]]&gt;$AC$6)</f>
        <v>0</v>
      </c>
      <c r="T1689" s="9">
        <f>(Таблица1[[#This Row],[Кредитный рейтинг]]-586)/(751-586)</f>
        <v>0.96363636363636362</v>
      </c>
      <c r="U1689" s="9">
        <f>Таблица1[[#This Row],[Ежемесячный платеж]]/(Таблица1[[#This Row],[Годовой доход]]/12)</f>
        <v>0.2359986873769416</v>
      </c>
    </row>
    <row r="1690" spans="1:21" x14ac:dyDescent="0.3">
      <c r="A1690">
        <v>1689</v>
      </c>
      <c r="B1690">
        <v>1</v>
      </c>
      <c r="C1690" s="9">
        <v>328614</v>
      </c>
      <c r="D1690">
        <f>$Y$13</f>
        <v>723</v>
      </c>
      <c r="E1690">
        <f>$AB$13</f>
        <v>1168044</v>
      </c>
      <c r="F1690">
        <v>18</v>
      </c>
      <c r="G1690">
        <v>9193.7199999999993</v>
      </c>
      <c r="H1690">
        <v>17</v>
      </c>
      <c r="I1690">
        <v>8</v>
      </c>
      <c r="J1690">
        <v>207442</v>
      </c>
      <c r="K1690">
        <v>271722</v>
      </c>
      <c r="L1690" t="s">
        <v>24</v>
      </c>
      <c r="M1690" t="s">
        <v>1728</v>
      </c>
      <c r="N1690" t="s">
        <v>26</v>
      </c>
      <c r="O1690" t="s">
        <v>34</v>
      </c>
      <c r="P1690" t="s">
        <v>22</v>
      </c>
      <c r="Q1690" t="s">
        <v>23</v>
      </c>
      <c r="R1690" t="b">
        <f>OR(Таблица1[[#This Row],[Ежемесячный платеж]]&lt;$AC$5, Таблица1[[#This Row],[Ежемесячный платеж]]&gt;$AC$6)</f>
        <v>0</v>
      </c>
      <c r="S1690" s="9">
        <f>(Таблица1[[#This Row],[Размер кредита]]-21824)/(789096-21824)</f>
        <v>0.39984516573001488</v>
      </c>
      <c r="T1690" s="9">
        <f>(Таблица1[[#This Row],[Кредитный рейтинг]]-586)/(751-586)</f>
        <v>0.83030303030303032</v>
      </c>
      <c r="U1690" s="9">
        <f>Таблица1[[#This Row],[Ежемесячный платеж]]/(Таблица1[[#This Row],[Годовой доход]]/12)</f>
        <v>9.4452469256295135E-2</v>
      </c>
    </row>
    <row r="1691" spans="1:21" x14ac:dyDescent="0.3">
      <c r="A1691">
        <v>1690</v>
      </c>
      <c r="B1691">
        <v>0</v>
      </c>
      <c r="C1691" s="9">
        <v>157410</v>
      </c>
      <c r="D1691">
        <v>743</v>
      </c>
      <c r="E1691" s="1">
        <v>699124</v>
      </c>
      <c r="F1691">
        <v>0</v>
      </c>
      <c r="G1691">
        <v>8739.0499999999993</v>
      </c>
      <c r="H1691">
        <v>9.6999999999999993</v>
      </c>
      <c r="I1691">
        <v>6</v>
      </c>
      <c r="J1691">
        <v>60306</v>
      </c>
      <c r="K1691">
        <v>114664</v>
      </c>
      <c r="L1691" t="s">
        <v>32</v>
      </c>
      <c r="M1691" t="s">
        <v>1729</v>
      </c>
      <c r="N1691" t="s">
        <v>26</v>
      </c>
      <c r="O1691" t="s">
        <v>21</v>
      </c>
      <c r="P1691" t="s">
        <v>22</v>
      </c>
      <c r="Q1691" t="s">
        <v>23</v>
      </c>
      <c r="R1691" t="b">
        <f>OR(Таблица1[[#This Row],[Ежемесячный платеж]]&lt;$AC$5, Таблица1[[#This Row],[Ежемесячный платеж]]&gt;$AC$6)</f>
        <v>0</v>
      </c>
      <c r="S1691" s="9">
        <f>(Таблица1[[#This Row],[Размер кредита]]-21824)/(789096-21824)</f>
        <v>0.17671177887372405</v>
      </c>
      <c r="T1691" s="9">
        <f>(Таблица1[[#This Row],[Кредитный рейтинг]]-586)/(751-586)</f>
        <v>0.95151515151515154</v>
      </c>
      <c r="U1691" s="9">
        <f>Таблица1[[#This Row],[Ежемесячный платеж]]/(Таблица1[[#This Row],[Годовой доход]]/12)</f>
        <v>0.15</v>
      </c>
    </row>
    <row r="1692" spans="1:21" x14ac:dyDescent="0.3">
      <c r="A1692">
        <v>1691</v>
      </c>
      <c r="B1692">
        <v>0</v>
      </c>
      <c r="C1692" s="9">
        <v>472450</v>
      </c>
      <c r="D1692">
        <v>747</v>
      </c>
      <c r="E1692" s="1">
        <v>1398913</v>
      </c>
      <c r="F1692">
        <v>4</v>
      </c>
      <c r="G1692">
        <v>17952.72</v>
      </c>
      <c r="H1692">
        <v>23.8</v>
      </c>
      <c r="I1692">
        <v>11</v>
      </c>
      <c r="J1692">
        <v>110523</v>
      </c>
      <c r="K1692">
        <v>699248</v>
      </c>
      <c r="L1692" t="s">
        <v>24</v>
      </c>
      <c r="M1692" t="s">
        <v>1730</v>
      </c>
      <c r="N1692" t="s">
        <v>26</v>
      </c>
      <c r="O1692" t="s">
        <v>21</v>
      </c>
      <c r="P1692" t="s">
        <v>22</v>
      </c>
      <c r="Q1692" t="s">
        <v>23</v>
      </c>
      <c r="R1692" t="b">
        <f>OR(Таблица1[[#This Row],[Ежемесячный платеж]]&lt;$AC$5, Таблица1[[#This Row],[Ежемесячный платеж]]&gt;$AC$6)</f>
        <v>0</v>
      </c>
      <c r="S1692" s="9">
        <f>(Таблица1[[#This Row],[Размер кредита]]-21824)/(789096-21824)</f>
        <v>0.58730932446381467</v>
      </c>
      <c r="T1692" s="9">
        <f>(Таблица1[[#This Row],[Кредитный рейтинг]]-586)/(751-586)</f>
        <v>0.97575757575757571</v>
      </c>
      <c r="U1692" s="9">
        <f>Таблица1[[#This Row],[Ежемесячный платеж]]/(Таблица1[[#This Row],[Годовой доход]]/12)</f>
        <v>0.15400002716394803</v>
      </c>
    </row>
    <row r="1693" spans="1:21" x14ac:dyDescent="0.3">
      <c r="A1693">
        <v>1692</v>
      </c>
      <c r="B1693">
        <v>0</v>
      </c>
      <c r="C1693" s="9">
        <v>772552</v>
      </c>
      <c r="D1693">
        <v>717</v>
      </c>
      <c r="E1693" s="1">
        <v>1620339</v>
      </c>
      <c r="F1693">
        <v>0</v>
      </c>
      <c r="G1693">
        <v>19038.95</v>
      </c>
      <c r="H1693">
        <v>24.3</v>
      </c>
      <c r="I1693">
        <v>10</v>
      </c>
      <c r="J1693">
        <v>1096452</v>
      </c>
      <c r="K1693">
        <v>2057660</v>
      </c>
      <c r="L1693" t="s">
        <v>24</v>
      </c>
      <c r="M1693" t="s">
        <v>1731</v>
      </c>
      <c r="N1693" t="s">
        <v>26</v>
      </c>
      <c r="O1693" t="s">
        <v>21</v>
      </c>
      <c r="P1693" t="s">
        <v>31</v>
      </c>
      <c r="Q1693" t="s">
        <v>23</v>
      </c>
      <c r="R1693" t="b">
        <f>OR(Таблица1[[#This Row],[Ежемесячный платеж]]&lt;$AC$5, Таблица1[[#This Row],[Ежемесячный платеж]]&gt;$AC$6)</f>
        <v>0</v>
      </c>
      <c r="S1693" s="9">
        <f>(Таблица1[[#This Row],[Размер кредита]]-21824)/(789096-21824)</f>
        <v>0.97843789425392824</v>
      </c>
      <c r="T1693" s="9">
        <f>(Таблица1[[#This Row],[Кредитный рейтинг]]-586)/(751-586)</f>
        <v>0.79393939393939394</v>
      </c>
      <c r="U1693" s="9">
        <f>Таблица1[[#This Row],[Ежемесячный платеж]]/(Таблица1[[#This Row],[Годовой доход]]/12)</f>
        <v>0.14099975375523272</v>
      </c>
    </row>
    <row r="1694" spans="1:21" x14ac:dyDescent="0.3">
      <c r="A1694">
        <v>1693</v>
      </c>
      <c r="B1694">
        <v>1</v>
      </c>
      <c r="C1694" s="9">
        <v>171710</v>
      </c>
      <c r="D1694">
        <v>731</v>
      </c>
      <c r="E1694" s="1">
        <v>926820</v>
      </c>
      <c r="F1694">
        <v>0</v>
      </c>
      <c r="G1694">
        <v>12203.13</v>
      </c>
      <c r="H1694">
        <v>16.5</v>
      </c>
      <c r="I1694">
        <v>19</v>
      </c>
      <c r="J1694">
        <v>115672</v>
      </c>
      <c r="K1694">
        <v>379412</v>
      </c>
      <c r="L1694" t="s">
        <v>50</v>
      </c>
      <c r="M1694" t="s">
        <v>1732</v>
      </c>
      <c r="N1694" t="s">
        <v>26</v>
      </c>
      <c r="O1694" t="s">
        <v>34</v>
      </c>
      <c r="P1694" t="s">
        <v>22</v>
      </c>
      <c r="Q1694" t="s">
        <v>36</v>
      </c>
      <c r="R1694" t="b">
        <f>OR(Таблица1[[#This Row],[Ежемесячный платеж]]&lt;$AC$5, Таблица1[[#This Row],[Ежемесячный платеж]]&gt;$AC$6)</f>
        <v>0</v>
      </c>
      <c r="S1694" s="9">
        <f>(Таблица1[[#This Row],[Размер кредита]]-21824)/(789096-21824)</f>
        <v>0.19534923729785525</v>
      </c>
      <c r="T1694" s="9">
        <f>(Таблица1[[#This Row],[Кредитный рейтинг]]-586)/(751-586)</f>
        <v>0.87878787878787878</v>
      </c>
      <c r="U1694" s="9">
        <f>Таблица1[[#This Row],[Ежемесячный платеж]]/(Таблица1[[#This Row],[Годовой доход]]/12)</f>
        <v>0.158</v>
      </c>
    </row>
    <row r="1695" spans="1:21" x14ac:dyDescent="0.3">
      <c r="A1695">
        <v>1694</v>
      </c>
      <c r="B1695">
        <v>1</v>
      </c>
      <c r="C1695" s="9">
        <v>240240</v>
      </c>
      <c r="D1695">
        <v>743</v>
      </c>
      <c r="E1695" s="1">
        <v>1400566</v>
      </c>
      <c r="F1695">
        <v>6</v>
      </c>
      <c r="G1695">
        <v>19689.7</v>
      </c>
      <c r="H1695">
        <v>22.1</v>
      </c>
      <c r="I1695">
        <v>11</v>
      </c>
      <c r="J1695">
        <v>203889</v>
      </c>
      <c r="K1695">
        <v>618002</v>
      </c>
      <c r="L1695" t="s">
        <v>63</v>
      </c>
      <c r="M1695" t="s">
        <v>1733</v>
      </c>
      <c r="N1695" t="s">
        <v>26</v>
      </c>
      <c r="O1695" t="s">
        <v>21</v>
      </c>
      <c r="P1695" t="s">
        <v>22</v>
      </c>
      <c r="Q1695" t="s">
        <v>23</v>
      </c>
      <c r="R1695" t="b">
        <f>OR(Таблица1[[#This Row],[Ежемесячный платеж]]&lt;$AC$5, Таблица1[[#This Row],[Ежемесячный платеж]]&gt;$AC$6)</f>
        <v>0</v>
      </c>
      <c r="S1695" s="9">
        <f>(Таблица1[[#This Row],[Размер кредита]]-21824)/(789096-21824)</f>
        <v>0.28466567266888404</v>
      </c>
      <c r="T1695" s="9">
        <f>(Таблица1[[#This Row],[Кредитный рейтинг]]-586)/(751-586)</f>
        <v>0.95151515151515154</v>
      </c>
      <c r="U1695" s="9">
        <f>Таблица1[[#This Row],[Ежемесячный платеж]]/(Таблица1[[#This Row],[Годовой доход]]/12)</f>
        <v>0.16870065387850341</v>
      </c>
    </row>
    <row r="1696" spans="1:21" x14ac:dyDescent="0.3">
      <c r="A1696">
        <v>1695</v>
      </c>
      <c r="B1696">
        <v>0</v>
      </c>
      <c r="C1696" s="9">
        <v>44088</v>
      </c>
      <c r="D1696">
        <v>735</v>
      </c>
      <c r="E1696" s="1">
        <v>868224</v>
      </c>
      <c r="F1696">
        <v>0</v>
      </c>
      <c r="G1696">
        <v>12719.36</v>
      </c>
      <c r="H1696">
        <v>13.2</v>
      </c>
      <c r="I1696">
        <v>5</v>
      </c>
      <c r="J1696">
        <v>48070</v>
      </c>
      <c r="K1696">
        <v>154198</v>
      </c>
      <c r="L1696" t="s">
        <v>32</v>
      </c>
      <c r="M1696" t="s">
        <v>1734</v>
      </c>
      <c r="N1696" t="s">
        <v>20</v>
      </c>
      <c r="O1696" t="s">
        <v>21</v>
      </c>
      <c r="P1696" t="s">
        <v>22</v>
      </c>
      <c r="Q1696" t="s">
        <v>23</v>
      </c>
      <c r="R1696" t="b">
        <f>OR(Таблица1[[#This Row],[Ежемесячный платеж]]&lt;$AC$5, Таблица1[[#This Row],[Ежемесячный платеж]]&gt;$AC$6)</f>
        <v>0</v>
      </c>
      <c r="S1696" s="9">
        <f>(Таблица1[[#This Row],[Размер кредита]]-21824)/(789096-21824)</f>
        <v>2.901708911572428E-2</v>
      </c>
      <c r="T1696" s="9">
        <f>(Таблица1[[#This Row],[Кредитный рейтинг]]-586)/(751-586)</f>
        <v>0.90303030303030307</v>
      </c>
      <c r="U1696" s="9">
        <f>Таблица1[[#This Row],[Ежемесячный платеж]]/(Таблица1[[#This Row],[Годовой доход]]/12)</f>
        <v>0.1757983193277311</v>
      </c>
    </row>
    <row r="1697" spans="1:21" x14ac:dyDescent="0.3">
      <c r="A1697">
        <v>1696</v>
      </c>
      <c r="B1697">
        <v>0</v>
      </c>
      <c r="C1697" s="9">
        <v>224730</v>
      </c>
      <c r="D1697">
        <v>747</v>
      </c>
      <c r="E1697" s="1">
        <v>873392</v>
      </c>
      <c r="F1697">
        <v>0</v>
      </c>
      <c r="G1697">
        <v>3879.42</v>
      </c>
      <c r="H1697">
        <v>10.9</v>
      </c>
      <c r="I1697">
        <v>17</v>
      </c>
      <c r="J1697">
        <v>116033</v>
      </c>
      <c r="K1697">
        <v>574112</v>
      </c>
      <c r="L1697" t="s">
        <v>52</v>
      </c>
      <c r="M1697" t="s">
        <v>1735</v>
      </c>
      <c r="N1697" t="s">
        <v>26</v>
      </c>
      <c r="O1697" t="s">
        <v>21</v>
      </c>
      <c r="P1697" t="s">
        <v>22</v>
      </c>
      <c r="Q1697" t="s">
        <v>23</v>
      </c>
      <c r="R1697" t="b">
        <f>OR(Таблица1[[#This Row],[Ежемесячный платеж]]&lt;$AC$5, Таблица1[[#This Row],[Ежемесячный платеж]]&gt;$AC$6)</f>
        <v>0</v>
      </c>
      <c r="S1697" s="9">
        <f>(Таблица1[[#This Row],[Размер кредита]]-21824)/(789096-21824)</f>
        <v>0.26445119853194171</v>
      </c>
      <c r="T1697" s="9">
        <f>(Таблица1[[#This Row],[Кредитный рейтинг]]-586)/(751-586)</f>
        <v>0.97575757575757571</v>
      </c>
      <c r="U1697" s="9">
        <f>Таблица1[[#This Row],[Ежемесячный платеж]]/(Таблица1[[#This Row],[Годовой доход]]/12)</f>
        <v>5.3301427079707621E-2</v>
      </c>
    </row>
    <row r="1698" spans="1:21" x14ac:dyDescent="0.3">
      <c r="A1698">
        <v>1697</v>
      </c>
      <c r="B1698">
        <v>0</v>
      </c>
      <c r="D1698">
        <v>701</v>
      </c>
      <c r="E1698" s="1">
        <v>1571946</v>
      </c>
      <c r="F1698">
        <v>0</v>
      </c>
      <c r="G1698">
        <v>26461.11</v>
      </c>
      <c r="H1698">
        <v>17.899999999999999</v>
      </c>
      <c r="I1698">
        <v>8</v>
      </c>
      <c r="J1698">
        <v>332196</v>
      </c>
      <c r="K1698">
        <v>404866</v>
      </c>
      <c r="L1698" t="s">
        <v>24</v>
      </c>
      <c r="M1698" t="s">
        <v>1736</v>
      </c>
      <c r="N1698" t="s">
        <v>68</v>
      </c>
      <c r="O1698" t="s">
        <v>21</v>
      </c>
      <c r="P1698" t="s">
        <v>31</v>
      </c>
      <c r="Q1698" t="s">
        <v>23</v>
      </c>
      <c r="R1698" t="b">
        <f>OR(Таблица1[[#This Row],[Ежемесячный платеж]]&lt;$AC$5, Таблица1[[#This Row],[Ежемесячный платеж]]&gt;$AC$6)</f>
        <v>0</v>
      </c>
      <c r="T1698" s="9">
        <f>(Таблица1[[#This Row],[Кредитный рейтинг]]-586)/(751-586)</f>
        <v>0.69696969696969702</v>
      </c>
      <c r="U1698" s="9">
        <f>Таблица1[[#This Row],[Ежемесячный платеж]]/(Таблица1[[#This Row],[Годовой доход]]/12)</f>
        <v>0.20200014504315034</v>
      </c>
    </row>
    <row r="1699" spans="1:21" x14ac:dyDescent="0.3">
      <c r="A1699">
        <v>1698</v>
      </c>
      <c r="B1699">
        <v>0</v>
      </c>
      <c r="C1699" s="9">
        <v>190806</v>
      </c>
      <c r="D1699">
        <f>$Y$13</f>
        <v>723</v>
      </c>
      <c r="E1699">
        <f>$AB$13</f>
        <v>1168044</v>
      </c>
      <c r="F1699">
        <v>0</v>
      </c>
      <c r="G1699">
        <v>10936.21</v>
      </c>
      <c r="H1699">
        <v>9.9</v>
      </c>
      <c r="I1699">
        <v>19</v>
      </c>
      <c r="J1699">
        <v>100035</v>
      </c>
      <c r="K1699">
        <v>171336</v>
      </c>
      <c r="L1699" t="s">
        <v>37</v>
      </c>
      <c r="M1699" t="s">
        <v>1737</v>
      </c>
      <c r="N1699" t="s">
        <v>26</v>
      </c>
      <c r="O1699" t="s">
        <v>34</v>
      </c>
      <c r="P1699" t="s">
        <v>22</v>
      </c>
      <c r="Q1699" t="s">
        <v>36</v>
      </c>
      <c r="R1699" t="b">
        <f>OR(Таблица1[[#This Row],[Ежемесячный платеж]]&lt;$AC$5, Таблица1[[#This Row],[Ежемесячный платеж]]&gt;$AC$6)</f>
        <v>0</v>
      </c>
      <c r="S1699" s="9">
        <f>(Таблица1[[#This Row],[Размер кредита]]-21824)/(789096-21824)</f>
        <v>0.22023741254731047</v>
      </c>
      <c r="T1699" s="9">
        <f>(Таблица1[[#This Row],[Кредитный рейтинг]]-586)/(751-586)</f>
        <v>0.83030303030303032</v>
      </c>
      <c r="U1699" s="9">
        <f>Таблица1[[#This Row],[Ежемесячный платеж]]/(Таблица1[[#This Row],[Годовой доход]]/12)</f>
        <v>0.11235408940074175</v>
      </c>
    </row>
    <row r="1700" spans="1:21" x14ac:dyDescent="0.3">
      <c r="A1700">
        <v>1699</v>
      </c>
      <c r="B1700">
        <v>0</v>
      </c>
      <c r="C1700" s="9">
        <v>225280</v>
      </c>
      <c r="D1700">
        <v>743</v>
      </c>
      <c r="E1700" s="1">
        <v>778240</v>
      </c>
      <c r="F1700">
        <v>15</v>
      </c>
      <c r="G1700">
        <v>7717.61</v>
      </c>
      <c r="H1700">
        <v>24</v>
      </c>
      <c r="I1700">
        <v>9</v>
      </c>
      <c r="J1700">
        <v>253232</v>
      </c>
      <c r="K1700">
        <v>430584</v>
      </c>
      <c r="L1700" t="s">
        <v>29</v>
      </c>
      <c r="M1700" t="s">
        <v>1738</v>
      </c>
      <c r="N1700" t="s">
        <v>26</v>
      </c>
      <c r="O1700" t="s">
        <v>21</v>
      </c>
      <c r="P1700" t="s">
        <v>22</v>
      </c>
      <c r="Q1700" t="s">
        <v>23</v>
      </c>
      <c r="R1700" t="b">
        <f>OR(Таблица1[[#This Row],[Ежемесячный платеж]]&lt;$AC$5, Таблица1[[#This Row],[Ежемесячный платеж]]&gt;$AC$6)</f>
        <v>0</v>
      </c>
      <c r="S1700" s="9">
        <f>(Таблица1[[#This Row],[Размер кредита]]-21824)/(789096-21824)</f>
        <v>0.26516802385594679</v>
      </c>
      <c r="T1700" s="9">
        <f>(Таблица1[[#This Row],[Кредитный рейтинг]]-586)/(751-586)</f>
        <v>0.95151515151515154</v>
      </c>
      <c r="U1700" s="9">
        <f>Таблица1[[#This Row],[Ежемесячный платеж]]/(Таблица1[[#This Row],[Годовой доход]]/12)</f>
        <v>0.11900097656249999</v>
      </c>
    </row>
    <row r="1701" spans="1:21" x14ac:dyDescent="0.3">
      <c r="A1701">
        <v>1700</v>
      </c>
      <c r="B1701">
        <v>0</v>
      </c>
      <c r="C1701" s="9">
        <v>324830</v>
      </c>
      <c r="D1701">
        <v>717</v>
      </c>
      <c r="E1701" s="1">
        <v>709916</v>
      </c>
      <c r="F1701">
        <v>0</v>
      </c>
      <c r="G1701">
        <v>12955.91</v>
      </c>
      <c r="H1701">
        <v>13.8</v>
      </c>
      <c r="I1701">
        <v>14</v>
      </c>
      <c r="J1701">
        <v>280421</v>
      </c>
      <c r="K1701">
        <v>753346</v>
      </c>
      <c r="L1701" t="s">
        <v>18</v>
      </c>
      <c r="M1701" t="s">
        <v>1739</v>
      </c>
      <c r="N1701" t="s">
        <v>26</v>
      </c>
      <c r="O1701" t="s">
        <v>34</v>
      </c>
      <c r="P1701" t="s">
        <v>22</v>
      </c>
      <c r="Q1701" t="s">
        <v>36</v>
      </c>
      <c r="R1701" t="b">
        <f>OR(Таблица1[[#This Row],[Ежемесячный платеж]]&lt;$AC$5, Таблица1[[#This Row],[Ежемесячный платеж]]&gt;$AC$6)</f>
        <v>0</v>
      </c>
      <c r="S1701" s="9">
        <f>(Таблица1[[#This Row],[Размер кредита]]-21824)/(789096-21824)</f>
        <v>0.39491340750086018</v>
      </c>
      <c r="T1701" s="9">
        <f>(Таблица1[[#This Row],[Кредитный рейтинг]]-586)/(751-586)</f>
        <v>0.79393939393939394</v>
      </c>
      <c r="U1701" s="9">
        <f>Таблица1[[#This Row],[Ежемесячный платеж]]/(Таблица1[[#This Row],[Годовой доход]]/12)</f>
        <v>0.21899903650572744</v>
      </c>
    </row>
    <row r="1702" spans="1:21" x14ac:dyDescent="0.3">
      <c r="A1702">
        <v>1701</v>
      </c>
      <c r="B1702">
        <v>0</v>
      </c>
      <c r="C1702" s="9">
        <v>752686</v>
      </c>
      <c r="D1702">
        <v>715</v>
      </c>
      <c r="E1702" s="1">
        <v>1671525</v>
      </c>
      <c r="F1702">
        <v>0</v>
      </c>
      <c r="G1702">
        <v>16018.71</v>
      </c>
      <c r="H1702">
        <v>13.1</v>
      </c>
      <c r="I1702">
        <v>9</v>
      </c>
      <c r="J1702">
        <v>336053</v>
      </c>
      <c r="K1702">
        <v>481580</v>
      </c>
      <c r="L1702" t="s">
        <v>52</v>
      </c>
      <c r="M1702" t="s">
        <v>1740</v>
      </c>
      <c r="N1702" t="s">
        <v>26</v>
      </c>
      <c r="O1702" t="s">
        <v>21</v>
      </c>
      <c r="P1702" t="s">
        <v>31</v>
      </c>
      <c r="Q1702" t="s">
        <v>23</v>
      </c>
      <c r="R1702" t="b">
        <f>OR(Таблица1[[#This Row],[Ежемесячный платеж]]&lt;$AC$5, Таблица1[[#This Row],[Ежемесячный платеж]]&gt;$AC$6)</f>
        <v>0</v>
      </c>
      <c r="S1702" s="9">
        <f>(Таблица1[[#This Row],[Размер кредита]]-21824)/(789096-21824)</f>
        <v>0.95254616355086597</v>
      </c>
      <c r="T1702" s="9">
        <f>(Таблица1[[#This Row],[Кредитный рейтинг]]-586)/(751-586)</f>
        <v>0.78181818181818186</v>
      </c>
      <c r="U1702" s="9">
        <f>Таблица1[[#This Row],[Ежемесячный платеж]]/(Таблица1[[#This Row],[Годовой доход]]/12)</f>
        <v>0.11499948849104859</v>
      </c>
    </row>
    <row r="1703" spans="1:21" x14ac:dyDescent="0.3">
      <c r="A1703">
        <v>1702</v>
      </c>
      <c r="B1703">
        <v>0</v>
      </c>
      <c r="C1703" s="9">
        <v>112442</v>
      </c>
      <c r="D1703">
        <v>724</v>
      </c>
      <c r="E1703" s="1">
        <v>1420782</v>
      </c>
      <c r="F1703">
        <v>0</v>
      </c>
      <c r="G1703">
        <v>23206.03</v>
      </c>
      <c r="H1703">
        <v>28.4</v>
      </c>
      <c r="I1703">
        <v>11</v>
      </c>
      <c r="J1703">
        <v>140410</v>
      </c>
      <c r="K1703">
        <v>193314</v>
      </c>
      <c r="L1703" t="s">
        <v>24</v>
      </c>
      <c r="M1703" t="s">
        <v>1741</v>
      </c>
      <c r="N1703" t="s">
        <v>26</v>
      </c>
      <c r="O1703" t="s">
        <v>34</v>
      </c>
      <c r="P1703" t="s">
        <v>22</v>
      </c>
      <c r="Q1703" t="s">
        <v>36</v>
      </c>
      <c r="R1703" t="b">
        <f>OR(Таблица1[[#This Row],[Ежемесячный платеж]]&lt;$AC$5, Таблица1[[#This Row],[Ежемесячный платеж]]&gt;$AC$6)</f>
        <v>0</v>
      </c>
      <c r="S1703" s="9">
        <f>(Таблица1[[#This Row],[Размер кредита]]-21824)/(789096-21824)</f>
        <v>0.11810414038307146</v>
      </c>
      <c r="T1703" s="9">
        <f>(Таблица1[[#This Row],[Кредитный рейтинг]]-586)/(751-586)</f>
        <v>0.83636363636363631</v>
      </c>
      <c r="U1703" s="9">
        <f>Таблица1[[#This Row],[Ежемесячный платеж]]/(Таблица1[[#This Row],[Годовой доход]]/12)</f>
        <v>0.19599935809997593</v>
      </c>
    </row>
    <row r="1704" spans="1:21" x14ac:dyDescent="0.3">
      <c r="A1704">
        <v>1703</v>
      </c>
      <c r="B1704">
        <v>0</v>
      </c>
      <c r="C1704" s="9">
        <v>520608</v>
      </c>
      <c r="D1704">
        <v>748</v>
      </c>
      <c r="E1704" s="1">
        <v>1386316</v>
      </c>
      <c r="F1704">
        <v>40</v>
      </c>
      <c r="G1704">
        <v>23913.97</v>
      </c>
      <c r="H1704">
        <v>29</v>
      </c>
      <c r="I1704">
        <v>25</v>
      </c>
      <c r="J1704">
        <v>674918</v>
      </c>
      <c r="K1704">
        <v>3256132</v>
      </c>
      <c r="L1704" t="s">
        <v>24</v>
      </c>
      <c r="M1704" t="s">
        <v>1742</v>
      </c>
      <c r="N1704" t="s">
        <v>26</v>
      </c>
      <c r="O1704" t="s">
        <v>21</v>
      </c>
      <c r="P1704" t="s">
        <v>22</v>
      </c>
      <c r="Q1704" t="s">
        <v>23</v>
      </c>
      <c r="R1704" t="b">
        <f>OR(Таблица1[[#This Row],[Ежемесячный платеж]]&lt;$AC$5, Таблица1[[#This Row],[Ежемесячный платеж]]&gt;$AC$6)</f>
        <v>0</v>
      </c>
      <c r="S1704" s="9">
        <f>(Таблица1[[#This Row],[Размер кредита]]-21824)/(789096-21824)</f>
        <v>0.6500745498336965</v>
      </c>
      <c r="T1704" s="9">
        <f>(Таблица1[[#This Row],[Кредитный рейтинг]]-586)/(751-586)</f>
        <v>0.98181818181818181</v>
      </c>
      <c r="U1704" s="9">
        <f>Таблица1[[#This Row],[Ежемесячный платеж]]/(Таблица1[[#This Row],[Годовой доход]]/12)</f>
        <v>0.20700016446466751</v>
      </c>
    </row>
    <row r="1705" spans="1:21" x14ac:dyDescent="0.3">
      <c r="A1705">
        <v>1704</v>
      </c>
      <c r="B1705">
        <v>0</v>
      </c>
      <c r="C1705" s="9">
        <v>172040</v>
      </c>
      <c r="D1705">
        <v>731</v>
      </c>
      <c r="E1705" s="1">
        <v>612902</v>
      </c>
      <c r="F1705">
        <v>29</v>
      </c>
      <c r="G1705">
        <v>11134.19</v>
      </c>
      <c r="H1705">
        <v>9.8000000000000007</v>
      </c>
      <c r="I1705">
        <v>29</v>
      </c>
      <c r="J1705">
        <v>98648</v>
      </c>
      <c r="K1705">
        <v>562628</v>
      </c>
      <c r="L1705" t="s">
        <v>41</v>
      </c>
      <c r="M1705" t="s">
        <v>1743</v>
      </c>
      <c r="N1705" t="s">
        <v>26</v>
      </c>
      <c r="O1705" t="s">
        <v>28</v>
      </c>
      <c r="P1705" t="s">
        <v>22</v>
      </c>
      <c r="Q1705" t="s">
        <v>23</v>
      </c>
      <c r="R1705" t="b">
        <f>OR(Таблица1[[#This Row],[Ежемесячный платеж]]&lt;$AC$5, Таблица1[[#This Row],[Ежемесячный платеж]]&gt;$AC$6)</f>
        <v>0</v>
      </c>
      <c r="S1705" s="9">
        <f>(Таблица1[[#This Row],[Размер кредита]]-21824)/(789096-21824)</f>
        <v>0.19577933249225829</v>
      </c>
      <c r="T1705" s="9">
        <f>(Таблица1[[#This Row],[Кредитный рейтинг]]-586)/(751-586)</f>
        <v>0.87878787878787878</v>
      </c>
      <c r="U1705" s="9">
        <f>Таблица1[[#This Row],[Ежемесячный платеж]]/(Таблица1[[#This Row],[Годовой доход]]/12)</f>
        <v>0.21799615599231201</v>
      </c>
    </row>
    <row r="1706" spans="1:21" x14ac:dyDescent="0.3">
      <c r="A1706">
        <v>1705</v>
      </c>
      <c r="B1706">
        <v>0</v>
      </c>
      <c r="C1706" s="9">
        <v>396792</v>
      </c>
      <c r="D1706">
        <f>$Y$13</f>
        <v>723</v>
      </c>
      <c r="E1706">
        <f>$AB$13</f>
        <v>1168044</v>
      </c>
      <c r="F1706">
        <v>0</v>
      </c>
      <c r="G1706">
        <v>15627.88</v>
      </c>
      <c r="H1706">
        <v>13.9</v>
      </c>
      <c r="I1706">
        <v>5</v>
      </c>
      <c r="J1706">
        <v>347852</v>
      </c>
      <c r="K1706">
        <v>452034</v>
      </c>
      <c r="L1706" t="s">
        <v>24</v>
      </c>
      <c r="M1706" t="s">
        <v>1744</v>
      </c>
      <c r="N1706" t="s">
        <v>26</v>
      </c>
      <c r="O1706" t="s">
        <v>21</v>
      </c>
      <c r="P1706" t="s">
        <v>31</v>
      </c>
      <c r="Q1706" t="s">
        <v>23</v>
      </c>
      <c r="R1706" t="b">
        <f>OR(Таблица1[[#This Row],[Ежемесячный платеж]]&lt;$AC$5, Таблица1[[#This Row],[Ежемесячный платеж]]&gt;$AC$6)</f>
        <v>0</v>
      </c>
      <c r="S1706" s="9">
        <f>(Таблица1[[#This Row],[Размер кредита]]-21824)/(789096-21824)</f>
        <v>0.48870283289368049</v>
      </c>
      <c r="T1706" s="9">
        <f>(Таблица1[[#This Row],[Кредитный рейтинг]]-586)/(751-586)</f>
        <v>0.83030303030303032</v>
      </c>
      <c r="U1706" s="9">
        <f>Таблица1[[#This Row],[Ежемесячный платеж]]/(Таблица1[[#This Row],[Годовой доход]]/12)</f>
        <v>0.16055436267811829</v>
      </c>
    </row>
    <row r="1707" spans="1:21" x14ac:dyDescent="0.3">
      <c r="A1707">
        <v>1706</v>
      </c>
      <c r="B1707">
        <v>0</v>
      </c>
      <c r="C1707" s="9">
        <v>215138</v>
      </c>
      <c r="D1707">
        <v>734</v>
      </c>
      <c r="E1707" s="1">
        <v>1746461</v>
      </c>
      <c r="F1707">
        <v>25</v>
      </c>
      <c r="G1707">
        <v>11424.7</v>
      </c>
      <c r="H1707">
        <v>25.8</v>
      </c>
      <c r="I1707">
        <v>8</v>
      </c>
      <c r="J1707">
        <v>324501</v>
      </c>
      <c r="K1707">
        <v>393844</v>
      </c>
      <c r="L1707" t="s">
        <v>24</v>
      </c>
      <c r="M1707" t="s">
        <v>1745</v>
      </c>
      <c r="N1707" t="s">
        <v>26</v>
      </c>
      <c r="O1707" t="s">
        <v>21</v>
      </c>
      <c r="P1707" t="s">
        <v>22</v>
      </c>
      <c r="Q1707" t="s">
        <v>36</v>
      </c>
      <c r="R1707" t="b">
        <f>OR(Таблица1[[#This Row],[Ежемесячный платеж]]&lt;$AC$5, Таблица1[[#This Row],[Ежемесячный платеж]]&gt;$AC$6)</f>
        <v>0</v>
      </c>
      <c r="S1707" s="9">
        <f>(Таблица1[[#This Row],[Размер кредита]]-21824)/(789096-21824)</f>
        <v>0.25194976488129373</v>
      </c>
      <c r="T1707" s="9">
        <f>(Таблица1[[#This Row],[Кредитный рейтинг]]-586)/(751-586)</f>
        <v>0.89696969696969697</v>
      </c>
      <c r="U1707" s="9">
        <f>Таблица1[[#This Row],[Ежемесячный платеж]]/(Таблица1[[#This Row],[Годовой доход]]/12)</f>
        <v>7.8499548515540862E-2</v>
      </c>
    </row>
    <row r="1708" spans="1:21" x14ac:dyDescent="0.3">
      <c r="A1708">
        <v>1707</v>
      </c>
      <c r="B1708">
        <v>0</v>
      </c>
      <c r="C1708" s="9">
        <v>345664</v>
      </c>
      <c r="D1708">
        <v>719</v>
      </c>
      <c r="E1708" s="1">
        <v>1306060</v>
      </c>
      <c r="F1708">
        <v>0</v>
      </c>
      <c r="G1708">
        <v>17958.419999999998</v>
      </c>
      <c r="H1708">
        <v>21.6</v>
      </c>
      <c r="I1708">
        <v>6</v>
      </c>
      <c r="J1708">
        <v>234099</v>
      </c>
      <c r="K1708">
        <v>311212</v>
      </c>
      <c r="L1708" t="s">
        <v>52</v>
      </c>
      <c r="M1708" t="s">
        <v>1746</v>
      </c>
      <c r="N1708" t="s">
        <v>26</v>
      </c>
      <c r="O1708" t="s">
        <v>21</v>
      </c>
      <c r="P1708" t="s">
        <v>31</v>
      </c>
      <c r="Q1708" t="s">
        <v>36</v>
      </c>
      <c r="R1708" t="b">
        <f>OR(Таблица1[[#This Row],[Ежемесячный платеж]]&lt;$AC$5, Таблица1[[#This Row],[Ежемесячный платеж]]&gt;$AC$6)</f>
        <v>0</v>
      </c>
      <c r="S1708" s="9">
        <f>(Таблица1[[#This Row],[Размер кредита]]-21824)/(789096-21824)</f>
        <v>0.42206675077417133</v>
      </c>
      <c r="T1708" s="9">
        <f>(Таблица1[[#This Row],[Кредитный рейтинг]]-586)/(751-586)</f>
        <v>0.80606060606060603</v>
      </c>
      <c r="U1708" s="9">
        <f>Таблица1[[#This Row],[Ежемесячный платеж]]/(Таблица1[[#This Row],[Годовой доход]]/12)</f>
        <v>0.16500087285423334</v>
      </c>
    </row>
    <row r="1709" spans="1:21" x14ac:dyDescent="0.3">
      <c r="A1709">
        <v>1708</v>
      </c>
      <c r="B1709">
        <v>0</v>
      </c>
      <c r="C1709" s="9">
        <v>37752</v>
      </c>
      <c r="D1709">
        <v>715</v>
      </c>
      <c r="E1709" s="1">
        <v>767372</v>
      </c>
      <c r="F1709">
        <v>9</v>
      </c>
      <c r="G1709">
        <v>11446.74</v>
      </c>
      <c r="H1709">
        <v>14.2</v>
      </c>
      <c r="I1709">
        <v>5</v>
      </c>
      <c r="J1709">
        <v>703</v>
      </c>
      <c r="K1709">
        <v>205480</v>
      </c>
      <c r="L1709" t="s">
        <v>41</v>
      </c>
      <c r="M1709" t="s">
        <v>1747</v>
      </c>
      <c r="N1709" t="s">
        <v>68</v>
      </c>
      <c r="O1709" t="s">
        <v>34</v>
      </c>
      <c r="P1709" t="s">
        <v>22</v>
      </c>
      <c r="Q1709" t="s">
        <v>23</v>
      </c>
      <c r="R1709" t="b">
        <f>OR(Таблица1[[#This Row],[Ежемесячный платеж]]&lt;$AC$5, Таблица1[[#This Row],[Ежемесячный платеж]]&gt;$AC$6)</f>
        <v>0</v>
      </c>
      <c r="S1709" s="9">
        <f>(Таблица1[[#This Row],[Размер кредита]]-21824)/(789096-21824)</f>
        <v>2.0759261383186144E-2</v>
      </c>
      <c r="T1709" s="9">
        <f>(Таблица1[[#This Row],[Кредитный рейтинг]]-586)/(751-586)</f>
        <v>0.78181818181818186</v>
      </c>
      <c r="U1709" s="9">
        <f>Таблица1[[#This Row],[Ежемесячный платеж]]/(Таблица1[[#This Row],[Годовой доход]]/12)</f>
        <v>0.17900168366841637</v>
      </c>
    </row>
    <row r="1710" spans="1:21" x14ac:dyDescent="0.3">
      <c r="A1710">
        <v>1709</v>
      </c>
      <c r="B1710">
        <v>0</v>
      </c>
      <c r="C1710" s="9">
        <v>156266</v>
      </c>
      <c r="D1710">
        <v>737</v>
      </c>
      <c r="E1710" s="1">
        <v>965998</v>
      </c>
      <c r="F1710">
        <v>0</v>
      </c>
      <c r="G1710">
        <v>21734.86</v>
      </c>
      <c r="H1710">
        <v>15</v>
      </c>
      <c r="I1710">
        <v>9</v>
      </c>
      <c r="J1710">
        <v>156503</v>
      </c>
      <c r="K1710">
        <v>495154</v>
      </c>
      <c r="L1710" t="s">
        <v>50</v>
      </c>
      <c r="M1710" t="s">
        <v>1748</v>
      </c>
      <c r="N1710" t="s">
        <v>26</v>
      </c>
      <c r="O1710" t="s">
        <v>21</v>
      </c>
      <c r="P1710" t="s">
        <v>22</v>
      </c>
      <c r="Q1710" t="s">
        <v>36</v>
      </c>
      <c r="R1710" t="b">
        <f>OR(Таблица1[[#This Row],[Ежемесячный платеж]]&lt;$AC$5, Таблица1[[#This Row],[Ежемесячный платеж]]&gt;$AC$6)</f>
        <v>0</v>
      </c>
      <c r="S1710" s="9">
        <f>(Таблица1[[#This Row],[Размер кредита]]-21824)/(789096-21824)</f>
        <v>0.17522078219979356</v>
      </c>
      <c r="T1710" s="9">
        <f>(Таблица1[[#This Row],[Кредитный рейтинг]]-586)/(751-586)</f>
        <v>0.91515151515151516</v>
      </c>
      <c r="U1710" s="9">
        <f>Таблица1[[#This Row],[Ежемесячный платеж]]/(Таблица1[[#This Row],[Годовой доход]]/12)</f>
        <v>0.26999881987333307</v>
      </c>
    </row>
    <row r="1711" spans="1:21" x14ac:dyDescent="0.3">
      <c r="A1711">
        <v>1710</v>
      </c>
      <c r="B1711">
        <v>0</v>
      </c>
      <c r="C1711" s="9">
        <v>197714</v>
      </c>
      <c r="D1711">
        <v>746</v>
      </c>
      <c r="E1711" s="1">
        <v>1081480</v>
      </c>
      <c r="F1711">
        <v>0</v>
      </c>
      <c r="G1711">
        <v>7209.93</v>
      </c>
      <c r="H1711">
        <v>20.5</v>
      </c>
      <c r="I1711">
        <v>14</v>
      </c>
      <c r="J1711">
        <v>101479</v>
      </c>
      <c r="K1711">
        <v>1129722</v>
      </c>
      <c r="L1711" t="s">
        <v>24</v>
      </c>
      <c r="M1711" t="s">
        <v>1749</v>
      </c>
      <c r="N1711" t="s">
        <v>68</v>
      </c>
      <c r="O1711" t="s">
        <v>21</v>
      </c>
      <c r="P1711" t="s">
        <v>31</v>
      </c>
      <c r="Q1711" t="s">
        <v>23</v>
      </c>
      <c r="R1711" t="b">
        <f>OR(Таблица1[[#This Row],[Ежемесячный платеж]]&lt;$AC$5, Таблица1[[#This Row],[Ежемесячный платеж]]&gt;$AC$6)</f>
        <v>0</v>
      </c>
      <c r="S1711" s="9">
        <f>(Таблица1[[#This Row],[Размер кредита]]-21824)/(789096-21824)</f>
        <v>0.22924073861681385</v>
      </c>
      <c r="T1711" s="9">
        <f>(Таблица1[[#This Row],[Кредитный рейтинг]]-586)/(751-586)</f>
        <v>0.96969696969696972</v>
      </c>
      <c r="U1711" s="9">
        <f>Таблица1[[#This Row],[Ежемесячный платеж]]/(Таблица1[[#This Row],[Годовой доход]]/12)</f>
        <v>8.0000702740688698E-2</v>
      </c>
    </row>
    <row r="1712" spans="1:21" x14ac:dyDescent="0.3">
      <c r="A1712">
        <v>1711</v>
      </c>
      <c r="B1712">
        <v>0</v>
      </c>
      <c r="C1712" s="9">
        <v>629860</v>
      </c>
      <c r="D1712">
        <f>$Y$13</f>
        <v>723</v>
      </c>
      <c r="E1712">
        <f>$AB$13</f>
        <v>1168044</v>
      </c>
      <c r="F1712">
        <v>0</v>
      </c>
      <c r="G1712">
        <v>35438.99</v>
      </c>
      <c r="H1712">
        <v>17</v>
      </c>
      <c r="I1712">
        <v>13</v>
      </c>
      <c r="J1712">
        <v>984884</v>
      </c>
      <c r="K1712">
        <v>1798720</v>
      </c>
      <c r="L1712" t="s">
        <v>24</v>
      </c>
      <c r="M1712" t="s">
        <v>1750</v>
      </c>
      <c r="N1712" t="s">
        <v>26</v>
      </c>
      <c r="O1712" t="s">
        <v>21</v>
      </c>
      <c r="P1712" t="s">
        <v>22</v>
      </c>
      <c r="Q1712" t="s">
        <v>23</v>
      </c>
      <c r="R1712" t="b">
        <f>OR(Таблица1[[#This Row],[Ежемесячный платеж]]&lt;$AC$5, Таблица1[[#This Row],[Ежемесячный платеж]]&gt;$AC$6)</f>
        <v>0</v>
      </c>
      <c r="S1712" s="9">
        <f>(Таблица1[[#This Row],[Размер кредита]]-21824)/(789096-21824)</f>
        <v>0.792464732194059</v>
      </c>
      <c r="T1712" s="9">
        <f>(Таблица1[[#This Row],[Кредитный рейтинг]]-586)/(751-586)</f>
        <v>0.83030303030303032</v>
      </c>
      <c r="U1712" s="9">
        <f>Таблица1[[#This Row],[Ежемесячный платеж]]/(Таблица1[[#This Row],[Годовой доход]]/12)</f>
        <v>0.36408549677923091</v>
      </c>
    </row>
    <row r="1713" spans="1:21" x14ac:dyDescent="0.3">
      <c r="A1713">
        <v>1712</v>
      </c>
      <c r="B1713">
        <v>0</v>
      </c>
      <c r="C1713" s="9">
        <v>281644</v>
      </c>
      <c r="D1713">
        <f>$Y$13</f>
        <v>723</v>
      </c>
      <c r="E1713">
        <f>$AB$13</f>
        <v>1168044</v>
      </c>
      <c r="F1713">
        <v>34</v>
      </c>
      <c r="G1713">
        <v>17788.18</v>
      </c>
      <c r="H1713">
        <v>34.1</v>
      </c>
      <c r="I1713">
        <v>21</v>
      </c>
      <c r="J1713">
        <v>671593</v>
      </c>
      <c r="K1713">
        <v>1419044</v>
      </c>
      <c r="L1713" t="s">
        <v>24</v>
      </c>
      <c r="M1713" t="s">
        <v>1751</v>
      </c>
      <c r="N1713" t="s">
        <v>26</v>
      </c>
      <c r="O1713" t="s">
        <v>21</v>
      </c>
      <c r="P1713" t="s">
        <v>31</v>
      </c>
      <c r="Q1713" t="s">
        <v>23</v>
      </c>
      <c r="R1713" t="b">
        <f>OR(Таблица1[[#This Row],[Ежемесячный платеж]]&lt;$AC$5, Таблица1[[#This Row],[Ежемесячный платеж]]&gt;$AC$6)</f>
        <v>0</v>
      </c>
      <c r="S1713" s="9">
        <f>(Таблица1[[#This Row],[Размер кредита]]-21824)/(789096-21824)</f>
        <v>0.33862828305998394</v>
      </c>
      <c r="T1713" s="9">
        <f>(Таблица1[[#This Row],[Кредитный рейтинг]]-586)/(751-586)</f>
        <v>0.83030303030303032</v>
      </c>
      <c r="U1713" s="9">
        <f>Таблица1[[#This Row],[Ежемесячный платеж]]/(Таблица1[[#This Row],[Годовой доход]]/12)</f>
        <v>0.18274838961545969</v>
      </c>
    </row>
    <row r="1714" spans="1:21" x14ac:dyDescent="0.3">
      <c r="A1714">
        <v>1713</v>
      </c>
      <c r="B1714">
        <v>0</v>
      </c>
      <c r="D1714">
        <v>748</v>
      </c>
      <c r="E1714" s="1">
        <v>2235255</v>
      </c>
      <c r="F1714">
        <v>0</v>
      </c>
      <c r="G1714">
        <v>41910.959999999999</v>
      </c>
      <c r="H1714">
        <v>15</v>
      </c>
      <c r="I1714">
        <v>13</v>
      </c>
      <c r="J1714">
        <v>840123</v>
      </c>
      <c r="K1714">
        <v>1487420</v>
      </c>
      <c r="L1714" t="s">
        <v>52</v>
      </c>
      <c r="M1714" t="s">
        <v>1752</v>
      </c>
      <c r="N1714" t="s">
        <v>26</v>
      </c>
      <c r="O1714" t="s">
        <v>21</v>
      </c>
      <c r="P1714" t="s">
        <v>22</v>
      </c>
      <c r="Q1714" t="s">
        <v>23</v>
      </c>
      <c r="R1714" t="b">
        <f>OR(Таблица1[[#This Row],[Ежемесячный платеж]]&lt;$AC$5, Таблица1[[#This Row],[Ежемесячный платеж]]&gt;$AC$6)</f>
        <v>0</v>
      </c>
      <c r="T1714" s="9">
        <f>(Таблица1[[#This Row],[Кредитный рейтинг]]-586)/(751-586)</f>
        <v>0.98181818181818181</v>
      </c>
      <c r="U1714" s="9">
        <f>Таблица1[[#This Row],[Ежемесячный платеж]]/(Таблица1[[#This Row],[Годовой доход]]/12)</f>
        <v>0.22499961749330613</v>
      </c>
    </row>
    <row r="1715" spans="1:21" x14ac:dyDescent="0.3">
      <c r="A1715">
        <v>1714</v>
      </c>
      <c r="B1715">
        <v>1</v>
      </c>
      <c r="C1715" s="9">
        <v>549890</v>
      </c>
      <c r="D1715">
        <v>713</v>
      </c>
      <c r="E1715" s="1">
        <v>1082791</v>
      </c>
      <c r="F1715">
        <v>5</v>
      </c>
      <c r="G1715">
        <v>18226.89</v>
      </c>
      <c r="H1715">
        <v>32.4</v>
      </c>
      <c r="I1715">
        <v>13</v>
      </c>
      <c r="J1715">
        <v>173831</v>
      </c>
      <c r="K1715">
        <v>575102</v>
      </c>
      <c r="L1715" t="s">
        <v>37</v>
      </c>
      <c r="M1715" t="s">
        <v>1753</v>
      </c>
      <c r="N1715" t="s">
        <v>26</v>
      </c>
      <c r="O1715" t="s">
        <v>34</v>
      </c>
      <c r="P1715" t="s">
        <v>22</v>
      </c>
      <c r="Q1715" t="s">
        <v>36</v>
      </c>
      <c r="R1715" t="b">
        <f>OR(Таблица1[[#This Row],[Ежемесячный платеж]]&lt;$AC$5, Таблица1[[#This Row],[Ежемесячный платеж]]&gt;$AC$6)</f>
        <v>0</v>
      </c>
      <c r="S1715" s="9">
        <f>(Таблица1[[#This Row],[Размер кредита]]-21824)/(789096-21824)</f>
        <v>0.68823833008372515</v>
      </c>
      <c r="T1715" s="9">
        <f>(Таблица1[[#This Row],[Кредитный рейтинг]]-586)/(751-586)</f>
        <v>0.76969696969696966</v>
      </c>
      <c r="U1715" s="9">
        <f>Таблица1[[#This Row],[Ежемесячный платеж]]/(Таблица1[[#This Row],[Годовой доход]]/12)</f>
        <v>0.20199898225973434</v>
      </c>
    </row>
    <row r="1716" spans="1:21" x14ac:dyDescent="0.3">
      <c r="A1716">
        <v>1715</v>
      </c>
      <c r="B1716">
        <v>0</v>
      </c>
      <c r="C1716" s="9">
        <v>257950</v>
      </c>
      <c r="D1716">
        <v>730</v>
      </c>
      <c r="E1716" s="1">
        <v>851466</v>
      </c>
      <c r="F1716">
        <v>0</v>
      </c>
      <c r="G1716">
        <v>19299.63</v>
      </c>
      <c r="H1716">
        <v>8.1999999999999993</v>
      </c>
      <c r="I1716">
        <v>7</v>
      </c>
      <c r="J1716">
        <v>144438</v>
      </c>
      <c r="K1716">
        <v>268884</v>
      </c>
      <c r="L1716" t="s">
        <v>29</v>
      </c>
      <c r="M1716" t="s">
        <v>1754</v>
      </c>
      <c r="N1716" t="s">
        <v>26</v>
      </c>
      <c r="O1716" t="s">
        <v>34</v>
      </c>
      <c r="P1716" t="s">
        <v>31</v>
      </c>
      <c r="Q1716" t="s">
        <v>23</v>
      </c>
      <c r="R1716" t="b">
        <f>OR(Таблица1[[#This Row],[Ежемесячный платеж]]&lt;$AC$5, Таблица1[[#This Row],[Ежемесячный платеж]]&gt;$AC$6)</f>
        <v>0</v>
      </c>
      <c r="S1716" s="9">
        <f>(Таблица1[[#This Row],[Размер кредита]]-21824)/(789096-21824)</f>
        <v>0.30774744810184657</v>
      </c>
      <c r="T1716" s="9">
        <f>(Таблица1[[#This Row],[Кредитный рейтинг]]-586)/(751-586)</f>
        <v>0.87272727272727268</v>
      </c>
      <c r="U1716" s="9">
        <f>Таблица1[[#This Row],[Ежемесячный платеж]]/(Таблица1[[#This Row],[Годовой доход]]/12)</f>
        <v>0.27199625117150894</v>
      </c>
    </row>
    <row r="1717" spans="1:21" x14ac:dyDescent="0.3">
      <c r="A1717">
        <v>1716</v>
      </c>
      <c r="B1717">
        <v>0</v>
      </c>
      <c r="C1717" s="9">
        <v>171820</v>
      </c>
      <c r="D1717">
        <v>719</v>
      </c>
      <c r="E1717" s="1">
        <v>649249</v>
      </c>
      <c r="F1717">
        <v>0</v>
      </c>
      <c r="G1717">
        <v>3468.07</v>
      </c>
      <c r="H1717">
        <v>20.5</v>
      </c>
      <c r="I1717">
        <v>3</v>
      </c>
      <c r="J1717">
        <v>97755</v>
      </c>
      <c r="K1717">
        <v>118162</v>
      </c>
      <c r="L1717" t="s">
        <v>69</v>
      </c>
      <c r="M1717" t="s">
        <v>1755</v>
      </c>
      <c r="N1717" t="s">
        <v>26</v>
      </c>
      <c r="O1717" t="s">
        <v>34</v>
      </c>
      <c r="P1717" t="s">
        <v>22</v>
      </c>
      <c r="Q1717" t="s">
        <v>23</v>
      </c>
      <c r="R1717" t="b">
        <f>OR(Таблица1[[#This Row],[Ежемесячный платеж]]&lt;$AC$5, Таблица1[[#This Row],[Ежемесячный платеж]]&gt;$AC$6)</f>
        <v>0</v>
      </c>
      <c r="S1717" s="9">
        <f>(Таблица1[[#This Row],[Размер кредита]]-21824)/(789096-21824)</f>
        <v>0.19549260236265628</v>
      </c>
      <c r="T1717" s="9">
        <f>(Таблица1[[#This Row],[Кредитный рейтинг]]-586)/(751-586)</f>
        <v>0.80606060606060603</v>
      </c>
      <c r="U1717" s="9">
        <f>Таблица1[[#This Row],[Ежемесячный платеж]]/(Таблица1[[#This Row],[Годовой доход]]/12)</f>
        <v>6.4099967808960809E-2</v>
      </c>
    </row>
    <row r="1718" spans="1:21" x14ac:dyDescent="0.3">
      <c r="A1718">
        <v>1717</v>
      </c>
      <c r="B1718">
        <v>1</v>
      </c>
      <c r="C1718" s="9">
        <v>321794</v>
      </c>
      <c r="D1718">
        <v>720</v>
      </c>
      <c r="E1718" s="1">
        <v>741076</v>
      </c>
      <c r="F1718">
        <v>0</v>
      </c>
      <c r="G1718">
        <v>12536.58</v>
      </c>
      <c r="H1718">
        <v>30.6</v>
      </c>
      <c r="I1718">
        <v>7</v>
      </c>
      <c r="J1718">
        <v>226423</v>
      </c>
      <c r="K1718">
        <v>306636</v>
      </c>
      <c r="L1718" t="s">
        <v>29</v>
      </c>
      <c r="M1718" t="s">
        <v>1756</v>
      </c>
      <c r="N1718" t="s">
        <v>26</v>
      </c>
      <c r="O1718" t="s">
        <v>28</v>
      </c>
      <c r="P1718" t="s">
        <v>31</v>
      </c>
      <c r="Q1718" t="s">
        <v>36</v>
      </c>
      <c r="R1718" t="b">
        <f>OR(Таблица1[[#This Row],[Ежемесячный платеж]]&lt;$AC$5, Таблица1[[#This Row],[Ежемесячный платеж]]&gt;$AC$6)</f>
        <v>0</v>
      </c>
      <c r="S1718" s="9">
        <f>(Таблица1[[#This Row],[Размер кредита]]-21824)/(789096-21824)</f>
        <v>0.39095653171235234</v>
      </c>
      <c r="T1718" s="9">
        <f>(Таблица1[[#This Row],[Кредитный рейтинг]]-586)/(751-586)</f>
        <v>0.81212121212121213</v>
      </c>
      <c r="U1718" s="9">
        <f>Таблица1[[#This Row],[Ежемесячный платеж]]/(Таблица1[[#This Row],[Годовой доход]]/12)</f>
        <v>0.20300071787508972</v>
      </c>
    </row>
    <row r="1719" spans="1:21" x14ac:dyDescent="0.3">
      <c r="A1719">
        <v>1718</v>
      </c>
      <c r="B1719">
        <v>0</v>
      </c>
      <c r="C1719" s="9">
        <v>154506</v>
      </c>
      <c r="D1719">
        <v>718</v>
      </c>
      <c r="E1719" s="1">
        <v>732963</v>
      </c>
      <c r="F1719">
        <v>0</v>
      </c>
      <c r="G1719">
        <v>5094.09</v>
      </c>
      <c r="H1719">
        <v>10</v>
      </c>
      <c r="I1719">
        <v>8</v>
      </c>
      <c r="J1719">
        <v>68628</v>
      </c>
      <c r="K1719">
        <v>309210</v>
      </c>
      <c r="L1719" t="s">
        <v>37</v>
      </c>
      <c r="M1719" t="s">
        <v>1757</v>
      </c>
      <c r="N1719" t="s">
        <v>26</v>
      </c>
      <c r="O1719" t="s">
        <v>28</v>
      </c>
      <c r="P1719" t="s">
        <v>22</v>
      </c>
      <c r="Q1719" t="s">
        <v>23</v>
      </c>
      <c r="R1719" t="b">
        <f>OR(Таблица1[[#This Row],[Ежемесячный платеж]]&lt;$AC$5, Таблица1[[#This Row],[Ежемесячный платеж]]&gt;$AC$6)</f>
        <v>0</v>
      </c>
      <c r="S1719" s="9">
        <f>(Таблица1[[#This Row],[Размер кредита]]-21824)/(789096-21824)</f>
        <v>0.17292694116297741</v>
      </c>
      <c r="T1719" s="9">
        <f>(Таблица1[[#This Row],[Кредитный рейтинг]]-586)/(751-586)</f>
        <v>0.8</v>
      </c>
      <c r="U1719" s="9">
        <f>Таблица1[[#This Row],[Ежемесячный платеж]]/(Таблица1[[#This Row],[Годовой доход]]/12)</f>
        <v>8.3399953340073107E-2</v>
      </c>
    </row>
    <row r="1720" spans="1:21" x14ac:dyDescent="0.3">
      <c r="A1720">
        <v>1719</v>
      </c>
      <c r="B1720">
        <v>0</v>
      </c>
      <c r="C1720" s="9">
        <v>182776</v>
      </c>
      <c r="D1720">
        <f>$Y$13</f>
        <v>723</v>
      </c>
      <c r="E1720">
        <f>$AB$13</f>
        <v>1168044</v>
      </c>
      <c r="F1720">
        <v>40</v>
      </c>
      <c r="G1720">
        <v>4698.32</v>
      </c>
      <c r="H1720">
        <v>16.600000000000001</v>
      </c>
      <c r="I1720">
        <v>9</v>
      </c>
      <c r="J1720">
        <v>62833</v>
      </c>
      <c r="K1720">
        <v>128964</v>
      </c>
      <c r="L1720" t="s">
        <v>41</v>
      </c>
      <c r="M1720" t="s">
        <v>1758</v>
      </c>
      <c r="N1720" t="s">
        <v>26</v>
      </c>
      <c r="O1720" t="s">
        <v>21</v>
      </c>
      <c r="P1720" t="s">
        <v>22</v>
      </c>
      <c r="Q1720" t="s">
        <v>23</v>
      </c>
      <c r="R1720" t="b">
        <f>OR(Таблица1[[#This Row],[Ежемесячный платеж]]&lt;$AC$5, Таблица1[[#This Row],[Ежемесячный платеж]]&gt;$AC$6)</f>
        <v>0</v>
      </c>
      <c r="S1720" s="9">
        <f>(Таблица1[[#This Row],[Размер кредита]]-21824)/(789096-21824)</f>
        <v>0.20977176281683679</v>
      </c>
      <c r="T1720" s="9">
        <f>(Таблица1[[#This Row],[Кредитный рейтинг]]-586)/(751-586)</f>
        <v>0.83030303030303032</v>
      </c>
      <c r="U1720" s="9">
        <f>Таблица1[[#This Row],[Ежемесячный платеж]]/(Таблица1[[#This Row],[Годовой доход]]/12)</f>
        <v>4.8268592621510828E-2</v>
      </c>
    </row>
    <row r="1721" spans="1:21" x14ac:dyDescent="0.3">
      <c r="A1721">
        <v>1720</v>
      </c>
      <c r="B1721">
        <v>0</v>
      </c>
      <c r="C1721" s="9">
        <v>404404</v>
      </c>
      <c r="D1721">
        <v>748</v>
      </c>
      <c r="E1721" s="1">
        <v>2522364</v>
      </c>
      <c r="F1721">
        <v>0</v>
      </c>
      <c r="G1721">
        <v>6852.54</v>
      </c>
      <c r="H1721">
        <v>24.9</v>
      </c>
      <c r="I1721">
        <v>6</v>
      </c>
      <c r="J1721">
        <v>270370</v>
      </c>
      <c r="K1721">
        <v>692648</v>
      </c>
      <c r="L1721" t="s">
        <v>50</v>
      </c>
      <c r="M1721" t="s">
        <v>1759</v>
      </c>
      <c r="N1721" t="s">
        <v>26</v>
      </c>
      <c r="O1721" t="s">
        <v>21</v>
      </c>
      <c r="P1721" t="s">
        <v>22</v>
      </c>
      <c r="Q1721" t="s">
        <v>23</v>
      </c>
      <c r="R1721" t="b">
        <f>OR(Таблица1[[#This Row],[Ежемесячный платеж]]&lt;$AC$5, Таблица1[[#This Row],[Ежемесячный платеж]]&gt;$AC$6)</f>
        <v>0</v>
      </c>
      <c r="S1721" s="9">
        <f>(Таблица1[[#This Row],[Размер кредита]]-21824)/(789096-21824)</f>
        <v>0.49862369537791029</v>
      </c>
      <c r="T1721" s="9">
        <f>(Таблица1[[#This Row],[Кредитный рейтинг]]-586)/(751-586)</f>
        <v>0.98181818181818181</v>
      </c>
      <c r="U1721" s="9">
        <f>Таблица1[[#This Row],[Ежемесячный платеж]]/(Таблица1[[#This Row],[Годовой доход]]/12)</f>
        <v>3.2600560426647385E-2</v>
      </c>
    </row>
    <row r="1722" spans="1:21" x14ac:dyDescent="0.3">
      <c r="A1722">
        <v>1721</v>
      </c>
      <c r="B1722">
        <v>0</v>
      </c>
      <c r="C1722" s="9">
        <v>22198</v>
      </c>
      <c r="D1722">
        <v>747</v>
      </c>
      <c r="E1722" s="1">
        <v>1437407</v>
      </c>
      <c r="F1722">
        <v>0</v>
      </c>
      <c r="G1722">
        <v>2898.83</v>
      </c>
      <c r="H1722">
        <v>23</v>
      </c>
      <c r="I1722">
        <v>4</v>
      </c>
      <c r="J1722">
        <v>109212</v>
      </c>
      <c r="K1722">
        <v>239030</v>
      </c>
      <c r="L1722" t="s">
        <v>37</v>
      </c>
      <c r="M1722" t="s">
        <v>1760</v>
      </c>
      <c r="N1722" t="s">
        <v>2041</v>
      </c>
      <c r="O1722" t="s">
        <v>34</v>
      </c>
      <c r="P1722" t="s">
        <v>22</v>
      </c>
      <c r="Q1722" t="s">
        <v>36</v>
      </c>
      <c r="R1722" t="b">
        <f>OR(Таблица1[[#This Row],[Ежемесячный платеж]]&lt;$AC$5, Таблица1[[#This Row],[Ежемесячный платеж]]&gt;$AC$6)</f>
        <v>0</v>
      </c>
      <c r="S1722" s="9">
        <f>(Таблица1[[#This Row],[Размер кредита]]-21824)/(789096-21824)</f>
        <v>4.8744122032343156E-4</v>
      </c>
      <c r="T1722" s="9">
        <f>(Таблица1[[#This Row],[Кредитный рейтинг]]-586)/(751-586)</f>
        <v>0.97575757575757571</v>
      </c>
      <c r="U1722" s="9">
        <f>Таблица1[[#This Row],[Ежемесячный платеж]]/(Таблица1[[#This Row],[Годовой доход]]/12)</f>
        <v>2.420049436241788E-2</v>
      </c>
    </row>
    <row r="1723" spans="1:21" x14ac:dyDescent="0.3">
      <c r="A1723">
        <v>1722</v>
      </c>
      <c r="B1723">
        <v>0</v>
      </c>
      <c r="C1723" s="9">
        <v>113784</v>
      </c>
      <c r="D1723">
        <v>723</v>
      </c>
      <c r="E1723" s="1">
        <v>786125</v>
      </c>
      <c r="F1723">
        <v>0</v>
      </c>
      <c r="G1723">
        <v>13429.77</v>
      </c>
      <c r="H1723">
        <v>9</v>
      </c>
      <c r="I1723">
        <v>32</v>
      </c>
      <c r="J1723">
        <v>188499</v>
      </c>
      <c r="K1723">
        <v>1705198</v>
      </c>
      <c r="L1723" t="s">
        <v>63</v>
      </c>
      <c r="M1723" t="s">
        <v>1761</v>
      </c>
      <c r="N1723" t="s">
        <v>26</v>
      </c>
      <c r="O1723" t="s">
        <v>34</v>
      </c>
      <c r="P1723" t="s">
        <v>22</v>
      </c>
      <c r="Q1723" t="s">
        <v>23</v>
      </c>
      <c r="R1723" t="b">
        <f>OR(Таблица1[[#This Row],[Ежемесячный платеж]]&lt;$AC$5, Таблица1[[#This Row],[Ежемесячный платеж]]&gt;$AC$6)</f>
        <v>0</v>
      </c>
      <c r="S1723" s="9">
        <f>(Таблица1[[#This Row],[Размер кредита]]-21824)/(789096-21824)</f>
        <v>0.11985319417364376</v>
      </c>
      <c r="T1723" s="9">
        <f>(Таблица1[[#This Row],[Кредитный рейтинг]]-586)/(751-586)</f>
        <v>0.83030303030303032</v>
      </c>
      <c r="U1723" s="9">
        <f>Таблица1[[#This Row],[Ежемесячный платеж]]/(Таблица1[[#This Row],[Годовой доход]]/12)</f>
        <v>0.20500205438066466</v>
      </c>
    </row>
    <row r="1724" spans="1:21" x14ac:dyDescent="0.3">
      <c r="A1724">
        <v>1723</v>
      </c>
      <c r="B1724">
        <v>0</v>
      </c>
      <c r="C1724" s="9">
        <v>310332</v>
      </c>
      <c r="D1724">
        <f>$Y$13</f>
        <v>723</v>
      </c>
      <c r="E1724">
        <f>$AB$13</f>
        <v>1168044</v>
      </c>
      <c r="F1724">
        <v>0</v>
      </c>
      <c r="G1724">
        <v>19574.939999999999</v>
      </c>
      <c r="H1724">
        <v>13.8</v>
      </c>
      <c r="I1724">
        <v>18</v>
      </c>
      <c r="J1724">
        <v>273011</v>
      </c>
      <c r="K1724">
        <v>409464</v>
      </c>
      <c r="L1724" t="s">
        <v>41</v>
      </c>
      <c r="M1724" t="s">
        <v>1762</v>
      </c>
      <c r="N1724" t="s">
        <v>26</v>
      </c>
      <c r="O1724" t="s">
        <v>34</v>
      </c>
      <c r="P1724" t="s">
        <v>31</v>
      </c>
      <c r="Q1724" t="s">
        <v>36</v>
      </c>
      <c r="R1724" t="b">
        <f>OR(Таблица1[[#This Row],[Ежемесячный платеж]]&lt;$AC$5, Таблица1[[#This Row],[Ежемесячный платеж]]&gt;$AC$6)</f>
        <v>0</v>
      </c>
      <c r="S1724" s="9">
        <f>(Таблица1[[#This Row],[Размер кредита]]-21824)/(789096-21824)</f>
        <v>0.37601789196008717</v>
      </c>
      <c r="T1724" s="9">
        <f>(Таблица1[[#This Row],[Кредитный рейтинг]]-586)/(751-586)</f>
        <v>0.83030303030303032</v>
      </c>
      <c r="U1724" s="9">
        <f>Таблица1[[#This Row],[Ежемесячный платеж]]/(Таблица1[[#This Row],[Годовой доход]]/12)</f>
        <v>0.20110482139371461</v>
      </c>
    </row>
    <row r="1725" spans="1:21" x14ac:dyDescent="0.3">
      <c r="A1725">
        <v>1724</v>
      </c>
      <c r="B1725">
        <v>0</v>
      </c>
      <c r="C1725" s="9">
        <v>357808</v>
      </c>
      <c r="D1725">
        <v>586</v>
      </c>
      <c r="E1725" s="1">
        <v>1030066</v>
      </c>
      <c r="F1725">
        <v>39</v>
      </c>
      <c r="G1725">
        <v>24978.92</v>
      </c>
      <c r="H1725">
        <v>15.2</v>
      </c>
      <c r="I1725">
        <v>12</v>
      </c>
      <c r="J1725">
        <v>344470</v>
      </c>
      <c r="K1725">
        <v>470360</v>
      </c>
      <c r="L1725" t="s">
        <v>24</v>
      </c>
      <c r="M1725" t="s">
        <v>1763</v>
      </c>
      <c r="N1725" t="s">
        <v>26</v>
      </c>
      <c r="O1725" t="s">
        <v>21</v>
      </c>
      <c r="P1725" t="s">
        <v>31</v>
      </c>
      <c r="Q1725" t="s">
        <v>36</v>
      </c>
      <c r="R1725" t="b">
        <f>OR(Таблица1[[#This Row],[Ежемесячный платеж]]&lt;$AC$5, Таблица1[[#This Row],[Ежемесячный платеж]]&gt;$AC$6)</f>
        <v>0</v>
      </c>
      <c r="S1725" s="9">
        <f>(Таблица1[[#This Row],[Размер кредита]]-21824)/(789096-21824)</f>
        <v>0.43789425392820275</v>
      </c>
      <c r="T1725" s="9">
        <f>(Таблица1[[#This Row],[Кредитный рейтинг]]-586)/(751-586)</f>
        <v>0</v>
      </c>
      <c r="U1725" s="9">
        <f>Таблица1[[#This Row],[Ежемесячный платеж]]/(Таблица1[[#This Row],[Годовой доход]]/12)</f>
        <v>0.29099789722211972</v>
      </c>
    </row>
    <row r="1726" spans="1:21" x14ac:dyDescent="0.3">
      <c r="A1726">
        <v>1725</v>
      </c>
      <c r="B1726">
        <v>0</v>
      </c>
      <c r="C1726" s="9">
        <v>130064</v>
      </c>
      <c r="D1726">
        <v>710</v>
      </c>
      <c r="E1726" s="1">
        <v>936035</v>
      </c>
      <c r="F1726">
        <v>64</v>
      </c>
      <c r="G1726">
        <v>12558.43</v>
      </c>
      <c r="H1726">
        <v>15.8</v>
      </c>
      <c r="I1726">
        <v>7</v>
      </c>
      <c r="J1726">
        <v>233947</v>
      </c>
      <c r="K1726">
        <v>351362</v>
      </c>
      <c r="L1726" t="s">
        <v>18</v>
      </c>
      <c r="M1726" t="s">
        <v>1764</v>
      </c>
      <c r="N1726" t="s">
        <v>26</v>
      </c>
      <c r="O1726" t="s">
        <v>34</v>
      </c>
      <c r="P1726" t="s">
        <v>22</v>
      </c>
      <c r="Q1726" t="s">
        <v>23</v>
      </c>
      <c r="R1726" t="b">
        <f>OR(Таблица1[[#This Row],[Ежемесячный платеж]]&lt;$AC$5, Таблица1[[#This Row],[Ежемесячный платеж]]&gt;$AC$6)</f>
        <v>0</v>
      </c>
      <c r="S1726" s="9">
        <f>(Таблица1[[#This Row],[Размер кредита]]-21824)/(789096-21824)</f>
        <v>0.14107122376419315</v>
      </c>
      <c r="T1726" s="9">
        <f>(Таблица1[[#This Row],[Кредитный рейтинг]]-586)/(751-586)</f>
        <v>0.75151515151515147</v>
      </c>
      <c r="U1726" s="9">
        <f>Таблица1[[#This Row],[Ежемесячный платеж]]/(Таблица1[[#This Row],[Годовой доход]]/12)</f>
        <v>0.16099949254034304</v>
      </c>
    </row>
    <row r="1727" spans="1:21" x14ac:dyDescent="0.3">
      <c r="A1727">
        <v>1726</v>
      </c>
      <c r="B1727">
        <v>0</v>
      </c>
      <c r="D1727">
        <v>603</v>
      </c>
      <c r="E1727" s="1">
        <v>982167</v>
      </c>
      <c r="F1727">
        <v>0</v>
      </c>
      <c r="G1727">
        <v>3339.44</v>
      </c>
      <c r="H1727">
        <v>14.8</v>
      </c>
      <c r="I1727">
        <v>4</v>
      </c>
      <c r="J1727">
        <v>64980</v>
      </c>
      <c r="K1727">
        <v>118096</v>
      </c>
      <c r="L1727" t="s">
        <v>24</v>
      </c>
      <c r="M1727" t="s">
        <v>1765</v>
      </c>
      <c r="N1727" t="s">
        <v>20</v>
      </c>
      <c r="O1727" t="s">
        <v>21</v>
      </c>
      <c r="P1727" t="s">
        <v>31</v>
      </c>
      <c r="Q1727" t="s">
        <v>23</v>
      </c>
      <c r="R1727" t="b">
        <f>OR(Таблица1[[#This Row],[Ежемесячный платеж]]&lt;$AC$5, Таблица1[[#This Row],[Ежемесячный платеж]]&gt;$AC$6)</f>
        <v>0</v>
      </c>
      <c r="T1727" s="9">
        <f>(Таблица1[[#This Row],[Кредитный рейтинг]]-586)/(751-586)</f>
        <v>0.10303030303030303</v>
      </c>
      <c r="U1727" s="9">
        <f>Таблица1[[#This Row],[Ежемесячный платеж]]/(Таблица1[[#This Row],[Годовой доход]]/12)</f>
        <v>4.0800882131042888E-2</v>
      </c>
    </row>
    <row r="1728" spans="1:21" x14ac:dyDescent="0.3">
      <c r="A1728">
        <v>1727</v>
      </c>
      <c r="B1728">
        <v>0</v>
      </c>
      <c r="C1728" s="9">
        <v>757768</v>
      </c>
      <c r="D1728">
        <v>716</v>
      </c>
      <c r="E1728" s="1">
        <v>2393335</v>
      </c>
      <c r="F1728">
        <v>13</v>
      </c>
      <c r="G1728">
        <v>21739.42</v>
      </c>
      <c r="H1728">
        <v>22.2</v>
      </c>
      <c r="I1728">
        <v>9</v>
      </c>
      <c r="J1728">
        <v>205333</v>
      </c>
      <c r="K1728">
        <v>424578</v>
      </c>
      <c r="L1728" t="s">
        <v>69</v>
      </c>
      <c r="M1728" t="s">
        <v>1766</v>
      </c>
      <c r="N1728" t="s">
        <v>20</v>
      </c>
      <c r="O1728" t="s">
        <v>21</v>
      </c>
      <c r="P1728" t="s">
        <v>22</v>
      </c>
      <c r="Q1728" t="s">
        <v>23</v>
      </c>
      <c r="R1728" t="b">
        <f>OR(Таблица1[[#This Row],[Ежемесячный платеж]]&lt;$AC$5, Таблица1[[#This Row],[Ежемесячный платеж]]&gt;$AC$6)</f>
        <v>0</v>
      </c>
      <c r="S1728" s="9">
        <f>(Таблица1[[#This Row],[Размер кредита]]-21824)/(789096-21824)</f>
        <v>0.95916962954467255</v>
      </c>
      <c r="T1728" s="9">
        <f>(Таблица1[[#This Row],[Кредитный рейтинг]]-586)/(751-586)</f>
        <v>0.78787878787878785</v>
      </c>
      <c r="U1728" s="9">
        <f>Таблица1[[#This Row],[Ежемесячный платеж]]/(Таблица1[[#This Row],[Годовой доход]]/12)</f>
        <v>0.10899980153217162</v>
      </c>
    </row>
    <row r="1729" spans="1:21" x14ac:dyDescent="0.3">
      <c r="A1729">
        <v>1728</v>
      </c>
      <c r="B1729">
        <v>0</v>
      </c>
      <c r="C1729" s="9">
        <v>180180</v>
      </c>
      <c r="D1729">
        <f>$Y$13</f>
        <v>723</v>
      </c>
      <c r="E1729">
        <f>$AB$13</f>
        <v>1168044</v>
      </c>
      <c r="F1729">
        <v>45</v>
      </c>
      <c r="G1729">
        <v>37062.54</v>
      </c>
      <c r="H1729">
        <v>10.1</v>
      </c>
      <c r="I1729">
        <v>12</v>
      </c>
      <c r="J1729">
        <v>150442</v>
      </c>
      <c r="K1729">
        <v>308308</v>
      </c>
      <c r="L1729" t="s">
        <v>18</v>
      </c>
      <c r="M1729" t="s">
        <v>1767</v>
      </c>
      <c r="N1729" t="s">
        <v>26</v>
      </c>
      <c r="O1729" t="s">
        <v>21</v>
      </c>
      <c r="P1729" t="s">
        <v>22</v>
      </c>
      <c r="Q1729" t="s">
        <v>23</v>
      </c>
      <c r="R1729" t="b">
        <f>OR(Таблица1[[#This Row],[Ежемесячный платеж]]&lt;$AC$5, Таблица1[[#This Row],[Ежемесячный платеж]]&gt;$AC$6)</f>
        <v>0</v>
      </c>
      <c r="S1729" s="9">
        <f>(Таблица1[[#This Row],[Размер кредита]]-21824)/(789096-21824)</f>
        <v>0.20638834728753297</v>
      </c>
      <c r="T1729" s="9">
        <f>(Таблица1[[#This Row],[Кредитный рейтинг]]-586)/(751-586)</f>
        <v>0.83030303030303032</v>
      </c>
      <c r="U1729" s="9">
        <f>Таблица1[[#This Row],[Ежемесячный платеж]]/(Таблица1[[#This Row],[Годовой доход]]/12)</f>
        <v>0.38076517665430415</v>
      </c>
    </row>
    <row r="1730" spans="1:21" x14ac:dyDescent="0.3">
      <c r="A1730">
        <v>1729</v>
      </c>
      <c r="B1730">
        <v>0</v>
      </c>
      <c r="C1730" s="9">
        <v>151096</v>
      </c>
      <c r="D1730">
        <v>721</v>
      </c>
      <c r="E1730" s="1">
        <v>671137</v>
      </c>
      <c r="F1730">
        <v>8</v>
      </c>
      <c r="G1730">
        <v>12863.57</v>
      </c>
      <c r="H1730">
        <v>17.899999999999999</v>
      </c>
      <c r="I1730">
        <v>8</v>
      </c>
      <c r="J1730">
        <v>108509</v>
      </c>
      <c r="K1730">
        <v>209396</v>
      </c>
      <c r="L1730" t="s">
        <v>63</v>
      </c>
      <c r="M1730" t="s">
        <v>1768</v>
      </c>
      <c r="N1730" t="s">
        <v>26</v>
      </c>
      <c r="O1730" t="s">
        <v>21</v>
      </c>
      <c r="P1730" t="s">
        <v>22</v>
      </c>
      <c r="Q1730" t="s">
        <v>36</v>
      </c>
      <c r="R1730" t="b">
        <f>OR(Таблица1[[#This Row],[Ежемесячный платеж]]&lt;$AC$5, Таблица1[[#This Row],[Ежемесячный платеж]]&gt;$AC$6)</f>
        <v>0</v>
      </c>
      <c r="S1730" s="9">
        <f>(Таблица1[[#This Row],[Размер кредита]]-21824)/(789096-21824)</f>
        <v>0.16848262415414611</v>
      </c>
      <c r="T1730" s="9">
        <f>(Таблица1[[#This Row],[Кредитный рейтинг]]-586)/(751-586)</f>
        <v>0.81818181818181823</v>
      </c>
      <c r="U1730" s="9">
        <f>Таблица1[[#This Row],[Ежемесячный платеж]]/(Таблица1[[#This Row],[Годовой доход]]/12)</f>
        <v>0.23000198171163264</v>
      </c>
    </row>
    <row r="1731" spans="1:21" x14ac:dyDescent="0.3">
      <c r="A1731">
        <v>1730</v>
      </c>
      <c r="B1731">
        <v>0</v>
      </c>
      <c r="C1731" s="9">
        <v>300674</v>
      </c>
      <c r="D1731">
        <v>737</v>
      </c>
      <c r="E1731" s="1">
        <v>1813854</v>
      </c>
      <c r="F1731">
        <v>0</v>
      </c>
      <c r="G1731">
        <v>32845.68</v>
      </c>
      <c r="H1731">
        <v>28.2</v>
      </c>
      <c r="I1731">
        <v>16</v>
      </c>
      <c r="J1731">
        <v>608095</v>
      </c>
      <c r="K1731">
        <v>1747174</v>
      </c>
      <c r="L1731" t="s">
        <v>24</v>
      </c>
      <c r="M1731" t="s">
        <v>1769</v>
      </c>
      <c r="N1731" t="s">
        <v>26</v>
      </c>
      <c r="O1731" t="s">
        <v>21</v>
      </c>
      <c r="P1731" t="s">
        <v>31</v>
      </c>
      <c r="Q1731" t="s">
        <v>36</v>
      </c>
      <c r="R1731" t="b">
        <f>OR(Таблица1[[#This Row],[Ежемесячный платеж]]&lt;$AC$5, Таблица1[[#This Row],[Ежемесячный платеж]]&gt;$AC$6)</f>
        <v>0</v>
      </c>
      <c r="S1731" s="9">
        <f>(Таблица1[[#This Row],[Размер кредита]]-21824)/(789096-21824)</f>
        <v>0.36343043927055857</v>
      </c>
      <c r="T1731" s="9">
        <f>(Таблица1[[#This Row],[Кредитный рейтинг]]-586)/(751-586)</f>
        <v>0.91515151515151516</v>
      </c>
      <c r="U1731" s="9">
        <f>Таблица1[[#This Row],[Ежемесячный платеж]]/(Таблица1[[#This Row],[Годовой доход]]/12)</f>
        <v>0.21729872415310164</v>
      </c>
    </row>
    <row r="1732" spans="1:21" x14ac:dyDescent="0.3">
      <c r="A1732">
        <v>1731</v>
      </c>
      <c r="B1732">
        <v>1</v>
      </c>
      <c r="C1732" s="9">
        <v>369754</v>
      </c>
      <c r="D1732">
        <v>683</v>
      </c>
      <c r="E1732" s="1">
        <v>1257971</v>
      </c>
      <c r="F1732">
        <v>0</v>
      </c>
      <c r="G1732">
        <v>28304.3</v>
      </c>
      <c r="H1732">
        <v>18.8</v>
      </c>
      <c r="I1732">
        <v>25</v>
      </c>
      <c r="J1732">
        <v>43206</v>
      </c>
      <c r="K1732">
        <v>685168</v>
      </c>
      <c r="L1732" t="s">
        <v>63</v>
      </c>
      <c r="M1732" t="s">
        <v>1770</v>
      </c>
      <c r="N1732" t="s">
        <v>26</v>
      </c>
      <c r="O1732" t="s">
        <v>34</v>
      </c>
      <c r="P1732" t="s">
        <v>31</v>
      </c>
      <c r="Q1732" t="s">
        <v>23</v>
      </c>
      <c r="R1732" t="b">
        <f>OR(Таблица1[[#This Row],[Ежемесячный платеж]]&lt;$AC$5, Таблица1[[#This Row],[Ежемесячный платеж]]&gt;$AC$6)</f>
        <v>0</v>
      </c>
      <c r="S1732" s="9">
        <f>(Таблица1[[#This Row],[Размер кредита]]-21824)/(789096-21824)</f>
        <v>0.45346369996559238</v>
      </c>
      <c r="T1732" s="9">
        <f>(Таблица1[[#This Row],[Кредитный рейтинг]]-586)/(751-586)</f>
        <v>0.58787878787878789</v>
      </c>
      <c r="U1732" s="9">
        <f>Таблица1[[#This Row],[Ежемесячный платеж]]/(Таблица1[[#This Row],[Годовой доход]]/12)</f>
        <v>0.2699995468893957</v>
      </c>
    </row>
    <row r="1733" spans="1:21" x14ac:dyDescent="0.3">
      <c r="A1733">
        <v>1732</v>
      </c>
      <c r="B1733">
        <v>2</v>
      </c>
      <c r="C1733" s="9">
        <v>335786</v>
      </c>
      <c r="D1733">
        <v>704</v>
      </c>
      <c r="E1733" s="1">
        <v>1159950</v>
      </c>
      <c r="F1733">
        <v>0</v>
      </c>
      <c r="G1733">
        <v>18462.490000000002</v>
      </c>
      <c r="H1733">
        <v>15.3</v>
      </c>
      <c r="I1733">
        <v>9</v>
      </c>
      <c r="J1733">
        <v>227810</v>
      </c>
      <c r="K1733">
        <v>436722</v>
      </c>
      <c r="L1733" t="s">
        <v>41</v>
      </c>
      <c r="M1733" t="s">
        <v>1771</v>
      </c>
      <c r="N1733" t="s">
        <v>26</v>
      </c>
      <c r="O1733" t="s">
        <v>34</v>
      </c>
      <c r="P1733" t="s">
        <v>22</v>
      </c>
      <c r="Q1733" t="s">
        <v>23</v>
      </c>
      <c r="R1733" t="b">
        <f>OR(Таблица1[[#This Row],[Ежемесячный платеж]]&lt;$AC$5, Таблица1[[#This Row],[Ежемесячный платеж]]&gt;$AC$6)</f>
        <v>0</v>
      </c>
      <c r="S1733" s="9">
        <f>(Таблица1[[#This Row],[Размер кредита]]-21824)/(789096-21824)</f>
        <v>0.40919256795504072</v>
      </c>
      <c r="T1733" s="9">
        <f>(Таблица1[[#This Row],[Кредитный рейтинг]]-586)/(751-586)</f>
        <v>0.7151515151515152</v>
      </c>
      <c r="U1733" s="9">
        <f>Таблица1[[#This Row],[Ежемесячный платеж]]/(Таблица1[[#This Row],[Годовой доход]]/12)</f>
        <v>0.19099950859950862</v>
      </c>
    </row>
    <row r="1734" spans="1:21" x14ac:dyDescent="0.3">
      <c r="A1734">
        <v>1733</v>
      </c>
      <c r="B1734">
        <v>0</v>
      </c>
      <c r="C1734" s="9">
        <v>216062</v>
      </c>
      <c r="D1734">
        <v>724</v>
      </c>
      <c r="E1734" s="1">
        <v>2145898</v>
      </c>
      <c r="F1734">
        <v>0</v>
      </c>
      <c r="G1734">
        <v>33082.42</v>
      </c>
      <c r="H1734">
        <v>14.9</v>
      </c>
      <c r="I1734">
        <v>12</v>
      </c>
      <c r="J1734">
        <v>243352</v>
      </c>
      <c r="K1734">
        <v>553564</v>
      </c>
      <c r="L1734" t="s">
        <v>24</v>
      </c>
      <c r="M1734" t="s">
        <v>1772</v>
      </c>
      <c r="N1734" t="s">
        <v>26</v>
      </c>
      <c r="O1734" t="s">
        <v>21</v>
      </c>
      <c r="P1734" t="s">
        <v>31</v>
      </c>
      <c r="Q1734" t="s">
        <v>23</v>
      </c>
      <c r="R1734" t="b">
        <f>OR(Таблица1[[#This Row],[Ежемесячный платеж]]&lt;$AC$5, Таблица1[[#This Row],[Ежемесячный платеж]]&gt;$AC$6)</f>
        <v>0</v>
      </c>
      <c r="S1734" s="9">
        <f>(Таблица1[[#This Row],[Размер кредита]]-21824)/(789096-21824)</f>
        <v>0.25315403142562221</v>
      </c>
      <c r="T1734" s="9">
        <f>(Таблица1[[#This Row],[Кредитный рейтинг]]-586)/(751-586)</f>
        <v>0.83636363636363631</v>
      </c>
      <c r="U1734" s="9">
        <f>Таблица1[[#This Row],[Ежемесячный платеж]]/(Таблица1[[#This Row],[Годовой доход]]/12)</f>
        <v>0.18499902604876836</v>
      </c>
    </row>
    <row r="1735" spans="1:21" x14ac:dyDescent="0.3">
      <c r="A1735">
        <v>1734</v>
      </c>
      <c r="B1735">
        <v>0</v>
      </c>
      <c r="C1735" s="9">
        <v>86592</v>
      </c>
      <c r="D1735">
        <v>750</v>
      </c>
      <c r="E1735" s="1">
        <v>1065786</v>
      </c>
      <c r="F1735">
        <v>0</v>
      </c>
      <c r="G1735">
        <v>17407.8</v>
      </c>
      <c r="H1735">
        <v>11.8</v>
      </c>
      <c r="I1735">
        <v>6</v>
      </c>
      <c r="J1735">
        <v>35682</v>
      </c>
      <c r="K1735">
        <v>60654</v>
      </c>
      <c r="L1735" t="s">
        <v>69</v>
      </c>
      <c r="M1735" t="s">
        <v>1773</v>
      </c>
      <c r="N1735" t="s">
        <v>26</v>
      </c>
      <c r="O1735" t="s">
        <v>34</v>
      </c>
      <c r="P1735" t="s">
        <v>22</v>
      </c>
      <c r="Q1735" t="s">
        <v>23</v>
      </c>
      <c r="R1735" t="b">
        <f>OR(Таблица1[[#This Row],[Ежемесячный платеж]]&lt;$AC$5, Таблица1[[#This Row],[Ежемесячный платеж]]&gt;$AC$6)</f>
        <v>0</v>
      </c>
      <c r="S1735" s="9">
        <f>(Таблица1[[#This Row],[Размер кредита]]-21824)/(789096-21824)</f>
        <v>8.4413350154834269E-2</v>
      </c>
      <c r="T1735" s="9">
        <f>(Таблица1[[#This Row],[Кредитный рейтинг]]-586)/(751-586)</f>
        <v>0.9939393939393939</v>
      </c>
      <c r="U1735" s="9">
        <f>Таблица1[[#This Row],[Ежемесячный платеж]]/(Таблица1[[#This Row],[Годовой доход]]/12)</f>
        <v>0.19599957214675365</v>
      </c>
    </row>
    <row r="1736" spans="1:21" x14ac:dyDescent="0.3">
      <c r="A1736">
        <v>1735</v>
      </c>
      <c r="B1736">
        <v>0</v>
      </c>
      <c r="C1736" s="9">
        <v>329384</v>
      </c>
      <c r="D1736">
        <v>710</v>
      </c>
      <c r="E1736" s="1">
        <v>738644</v>
      </c>
      <c r="F1736">
        <v>0</v>
      </c>
      <c r="G1736">
        <v>14957.56</v>
      </c>
      <c r="H1736">
        <v>15.4</v>
      </c>
      <c r="I1736">
        <v>11</v>
      </c>
      <c r="J1736">
        <v>374965</v>
      </c>
      <c r="K1736">
        <v>977878</v>
      </c>
      <c r="L1736" t="s">
        <v>52</v>
      </c>
      <c r="M1736" t="s">
        <v>1774</v>
      </c>
      <c r="N1736" t="s">
        <v>26</v>
      </c>
      <c r="O1736" t="s">
        <v>21</v>
      </c>
      <c r="P1736" t="s">
        <v>31</v>
      </c>
      <c r="Q1736" t="s">
        <v>23</v>
      </c>
      <c r="R1736" t="b">
        <f>OR(Таблица1[[#This Row],[Ежемесячный платеж]]&lt;$AC$5, Таблица1[[#This Row],[Ежемесячный платеж]]&gt;$AC$6)</f>
        <v>0</v>
      </c>
      <c r="S1736" s="9">
        <f>(Таблица1[[#This Row],[Размер кредита]]-21824)/(789096-21824)</f>
        <v>0.40084872118362197</v>
      </c>
      <c r="T1736" s="9">
        <f>(Таблица1[[#This Row],[Кредитный рейтинг]]-586)/(751-586)</f>
        <v>0.75151515151515147</v>
      </c>
      <c r="U1736" s="9">
        <f>Таблица1[[#This Row],[Ежемесячный платеж]]/(Таблица1[[#This Row],[Годовой доход]]/12)</f>
        <v>0.24300030867373187</v>
      </c>
    </row>
    <row r="1737" spans="1:21" x14ac:dyDescent="0.3">
      <c r="A1737">
        <v>1736</v>
      </c>
      <c r="B1737">
        <v>0</v>
      </c>
      <c r="C1737" s="9">
        <v>131318</v>
      </c>
      <c r="D1737">
        <v>732</v>
      </c>
      <c r="E1737" s="1">
        <v>1361027</v>
      </c>
      <c r="F1737">
        <v>25</v>
      </c>
      <c r="G1737">
        <v>19961.59</v>
      </c>
      <c r="H1737">
        <v>30.2</v>
      </c>
      <c r="I1737">
        <v>9</v>
      </c>
      <c r="J1737">
        <v>200564</v>
      </c>
      <c r="K1737">
        <v>323906</v>
      </c>
      <c r="L1737" t="s">
        <v>29</v>
      </c>
      <c r="M1737" t="s">
        <v>1775</v>
      </c>
      <c r="N1737" t="s">
        <v>26</v>
      </c>
      <c r="O1737" t="s">
        <v>34</v>
      </c>
      <c r="P1737" t="s">
        <v>22</v>
      </c>
      <c r="Q1737" t="s">
        <v>36</v>
      </c>
      <c r="R1737" t="b">
        <f>OR(Таблица1[[#This Row],[Ежемесячный платеж]]&lt;$AC$5, Таблица1[[#This Row],[Ежемесячный платеж]]&gt;$AC$6)</f>
        <v>0</v>
      </c>
      <c r="S1737" s="9">
        <f>(Таблица1[[#This Row],[Размер кредита]]-21824)/(789096-21824)</f>
        <v>0.14270558550292464</v>
      </c>
      <c r="T1737" s="9">
        <f>(Таблица1[[#This Row],[Кредитный рейтинг]]-586)/(751-586)</f>
        <v>0.88484848484848488</v>
      </c>
      <c r="U1737" s="9">
        <f>Таблица1[[#This Row],[Ежемесячный платеж]]/(Таблица1[[#This Row],[Годовой доход]]/12)</f>
        <v>0.17599877151592141</v>
      </c>
    </row>
    <row r="1738" spans="1:21" x14ac:dyDescent="0.3">
      <c r="A1738">
        <v>1737</v>
      </c>
      <c r="B1738">
        <v>0</v>
      </c>
      <c r="C1738" s="9">
        <v>132308</v>
      </c>
      <c r="D1738">
        <v>716</v>
      </c>
      <c r="E1738" s="1">
        <v>721601</v>
      </c>
      <c r="F1738">
        <v>31</v>
      </c>
      <c r="G1738">
        <v>5526.34</v>
      </c>
      <c r="H1738">
        <v>25.4</v>
      </c>
      <c r="I1738">
        <v>9</v>
      </c>
      <c r="J1738">
        <v>110466</v>
      </c>
      <c r="K1738">
        <v>167640</v>
      </c>
      <c r="L1738" t="s">
        <v>24</v>
      </c>
      <c r="M1738" t="s">
        <v>1776</v>
      </c>
      <c r="N1738" t="s">
        <v>68</v>
      </c>
      <c r="O1738" t="s">
        <v>21</v>
      </c>
      <c r="P1738" t="s">
        <v>22</v>
      </c>
      <c r="Q1738" t="s">
        <v>23</v>
      </c>
      <c r="R1738" t="b">
        <f>OR(Таблица1[[#This Row],[Ежемесячный платеж]]&lt;$AC$5, Таблица1[[#This Row],[Ежемесячный платеж]]&gt;$AC$6)</f>
        <v>0</v>
      </c>
      <c r="S1738" s="9">
        <f>(Таблица1[[#This Row],[Размер кредита]]-21824)/(789096-21824)</f>
        <v>0.14399587108613374</v>
      </c>
      <c r="T1738" s="9">
        <f>(Таблица1[[#This Row],[Кредитный рейтинг]]-586)/(751-586)</f>
        <v>0.78787878787878785</v>
      </c>
      <c r="U1738" s="9">
        <f>Таблица1[[#This Row],[Ежемесячный платеж]]/(Таблица1[[#This Row],[Годовой доход]]/12)</f>
        <v>9.190131388398852E-2</v>
      </c>
    </row>
    <row r="1739" spans="1:21" x14ac:dyDescent="0.3">
      <c r="A1739">
        <v>1738</v>
      </c>
      <c r="B1739">
        <v>0</v>
      </c>
      <c r="C1739" s="9">
        <v>108614</v>
      </c>
      <c r="D1739">
        <v>701</v>
      </c>
      <c r="E1739" s="1">
        <v>1838345</v>
      </c>
      <c r="F1739">
        <v>31</v>
      </c>
      <c r="G1739">
        <v>36613.760000000002</v>
      </c>
      <c r="H1739">
        <v>17.5</v>
      </c>
      <c r="I1739">
        <v>19</v>
      </c>
      <c r="J1739">
        <v>439831</v>
      </c>
      <c r="K1739">
        <v>755612</v>
      </c>
      <c r="L1739" t="s">
        <v>24</v>
      </c>
      <c r="M1739" t="s">
        <v>1777</v>
      </c>
      <c r="N1739" t="s">
        <v>68</v>
      </c>
      <c r="O1739" t="s">
        <v>34</v>
      </c>
      <c r="P1739" t="s">
        <v>22</v>
      </c>
      <c r="Q1739" t="s">
        <v>23</v>
      </c>
      <c r="R1739" t="b">
        <f>OR(Таблица1[[#This Row],[Ежемесячный платеж]]&lt;$AC$5, Таблица1[[#This Row],[Ежемесячный платеж]]&gt;$AC$6)</f>
        <v>0</v>
      </c>
      <c r="S1739" s="9">
        <f>(Таблица1[[#This Row],[Размер кредита]]-21824)/(789096-21824)</f>
        <v>0.11311503612799632</v>
      </c>
      <c r="T1739" s="9">
        <f>(Таблица1[[#This Row],[Кредитный рейтинг]]-586)/(751-586)</f>
        <v>0.69696969696969702</v>
      </c>
      <c r="U1739" s="9">
        <f>Таблица1[[#This Row],[Ежемесячный платеж]]/(Таблица1[[#This Row],[Годовой доход]]/12)</f>
        <v>0.23900036173841149</v>
      </c>
    </row>
    <row r="1740" spans="1:21" x14ac:dyDescent="0.3">
      <c r="A1740">
        <v>1739</v>
      </c>
      <c r="B1740">
        <v>0</v>
      </c>
      <c r="C1740" s="9">
        <v>210650</v>
      </c>
      <c r="D1740">
        <v>707</v>
      </c>
      <c r="E1740" s="1">
        <v>1705554</v>
      </c>
      <c r="F1740">
        <v>34</v>
      </c>
      <c r="G1740">
        <v>19329.650000000001</v>
      </c>
      <c r="H1740">
        <v>16</v>
      </c>
      <c r="I1740">
        <v>14</v>
      </c>
      <c r="J1740">
        <v>58045</v>
      </c>
      <c r="K1740">
        <v>193138</v>
      </c>
      <c r="L1740" t="s">
        <v>41</v>
      </c>
      <c r="M1740" t="s">
        <v>1778</v>
      </c>
      <c r="N1740" t="s">
        <v>26</v>
      </c>
      <c r="O1740" t="s">
        <v>21</v>
      </c>
      <c r="P1740" t="s">
        <v>22</v>
      </c>
      <c r="Q1740" t="s">
        <v>23</v>
      </c>
      <c r="R1740" t="b">
        <f>OR(Таблица1[[#This Row],[Ежемесячный платеж]]&lt;$AC$5, Таблица1[[#This Row],[Ежемесячный платеж]]&gt;$AC$6)</f>
        <v>0</v>
      </c>
      <c r="S1740" s="9">
        <f>(Таблица1[[#This Row],[Размер кредита]]-21824)/(789096-21824)</f>
        <v>0.24610047023741255</v>
      </c>
      <c r="T1740" s="9">
        <f>(Таблица1[[#This Row],[Кредитный рейтинг]]-586)/(751-586)</f>
        <v>0.73333333333333328</v>
      </c>
      <c r="U1740" s="9">
        <f>Таблица1[[#This Row],[Ежемесячный платеж]]/(Таблица1[[#This Row],[Годовой доход]]/12)</f>
        <v>0.13600026736180737</v>
      </c>
    </row>
    <row r="1741" spans="1:21" x14ac:dyDescent="0.3">
      <c r="A1741">
        <v>1740</v>
      </c>
      <c r="B1741">
        <v>0</v>
      </c>
      <c r="C1741" s="9">
        <v>622974</v>
      </c>
      <c r="D1741">
        <f>$Y$13</f>
        <v>723</v>
      </c>
      <c r="E1741">
        <f>$AB$13</f>
        <v>1168044</v>
      </c>
      <c r="F1741">
        <v>48</v>
      </c>
      <c r="G1741">
        <v>40069.480000000003</v>
      </c>
      <c r="H1741">
        <v>21.8</v>
      </c>
      <c r="I1741">
        <v>19</v>
      </c>
      <c r="J1741">
        <v>594548</v>
      </c>
      <c r="K1741">
        <v>804232</v>
      </c>
      <c r="L1741" t="s">
        <v>63</v>
      </c>
      <c r="M1741" t="s">
        <v>1779</v>
      </c>
      <c r="N1741" t="s">
        <v>26</v>
      </c>
      <c r="O1741" t="s">
        <v>28</v>
      </c>
      <c r="P1741" t="s">
        <v>31</v>
      </c>
      <c r="Q1741" t="s">
        <v>36</v>
      </c>
      <c r="R1741" t="b">
        <f>OR(Таблица1[[#This Row],[Ежемесячный платеж]]&lt;$AC$5, Таблица1[[#This Row],[Ежемесячный платеж]]&gt;$AC$6)</f>
        <v>0</v>
      </c>
      <c r="S1741" s="9">
        <f>(Таблица1[[#This Row],[Размер кредита]]-21824)/(789096-21824)</f>
        <v>0.78349007913751578</v>
      </c>
      <c r="T1741" s="9">
        <f>(Таблица1[[#This Row],[Кредитный рейтинг]]-586)/(751-586)</f>
        <v>0.83030303030303032</v>
      </c>
      <c r="U1741" s="9">
        <f>Таблица1[[#This Row],[Ежемесячный платеж]]/(Таблица1[[#This Row],[Годовой доход]]/12)</f>
        <v>0.41165723209057198</v>
      </c>
    </row>
    <row r="1742" spans="1:21" x14ac:dyDescent="0.3">
      <c r="A1742">
        <v>1741</v>
      </c>
      <c r="B1742">
        <v>0</v>
      </c>
      <c r="D1742">
        <v>720</v>
      </c>
      <c r="E1742" s="1">
        <v>718466</v>
      </c>
      <c r="F1742">
        <v>0</v>
      </c>
      <c r="G1742">
        <v>20356.41</v>
      </c>
      <c r="H1742">
        <v>15.9</v>
      </c>
      <c r="I1742">
        <v>11</v>
      </c>
      <c r="J1742">
        <v>109573</v>
      </c>
      <c r="K1742">
        <v>342914</v>
      </c>
      <c r="L1742" t="s">
        <v>63</v>
      </c>
      <c r="M1742" t="s">
        <v>1780</v>
      </c>
      <c r="N1742" t="s">
        <v>2041</v>
      </c>
      <c r="O1742" t="s">
        <v>34</v>
      </c>
      <c r="P1742" t="s">
        <v>22</v>
      </c>
      <c r="Q1742" t="s">
        <v>23</v>
      </c>
      <c r="R1742" t="b">
        <f>OR(Таблица1[[#This Row],[Ежемесячный платеж]]&lt;$AC$5, Таблица1[[#This Row],[Ежемесячный платеж]]&gt;$AC$6)</f>
        <v>0</v>
      </c>
      <c r="T1742" s="9">
        <f>(Таблица1[[#This Row],[Кредитный рейтинг]]-586)/(751-586)</f>
        <v>0.81212121212121213</v>
      </c>
      <c r="U1742" s="9">
        <f>Таблица1[[#This Row],[Ежемесячный платеж]]/(Таблица1[[#This Row],[Годовой доход]]/12)</f>
        <v>0.33999788438144601</v>
      </c>
    </row>
    <row r="1743" spans="1:21" x14ac:dyDescent="0.3">
      <c r="A1743">
        <v>1742</v>
      </c>
      <c r="B1743">
        <v>0</v>
      </c>
      <c r="C1743" s="9">
        <v>174592</v>
      </c>
      <c r="D1743">
        <v>685</v>
      </c>
      <c r="E1743" s="1">
        <v>452352</v>
      </c>
      <c r="F1743">
        <v>0</v>
      </c>
      <c r="G1743">
        <v>9725.5300000000007</v>
      </c>
      <c r="H1743">
        <v>10.9</v>
      </c>
      <c r="I1743">
        <v>10</v>
      </c>
      <c r="J1743">
        <v>106001</v>
      </c>
      <c r="K1743">
        <v>259490</v>
      </c>
      <c r="L1743" t="s">
        <v>69</v>
      </c>
      <c r="M1743" t="s">
        <v>1781</v>
      </c>
      <c r="N1743" t="s">
        <v>20</v>
      </c>
      <c r="O1743" t="s">
        <v>28</v>
      </c>
      <c r="P1743" t="s">
        <v>22</v>
      </c>
      <c r="Q1743" t="s">
        <v>36</v>
      </c>
      <c r="R1743" t="b">
        <f>OR(Таблица1[[#This Row],[Ежемесячный платеж]]&lt;$AC$5, Таблица1[[#This Row],[Ежемесячный платеж]]&gt;$AC$6)</f>
        <v>0</v>
      </c>
      <c r="S1743" s="9">
        <f>(Таблица1[[#This Row],[Размер кредита]]-21824)/(789096-21824)</f>
        <v>0.1991054019956417</v>
      </c>
      <c r="T1743" s="9">
        <f>(Таблица1[[#This Row],[Кредитный рейтинг]]-586)/(751-586)</f>
        <v>0.6</v>
      </c>
      <c r="U1743" s="9">
        <f>Таблица1[[#This Row],[Ежемесячный платеж]]/(Таблица1[[#This Row],[Годовой доход]]/12)</f>
        <v>0.25799899193548387</v>
      </c>
    </row>
    <row r="1744" spans="1:21" x14ac:dyDescent="0.3">
      <c r="A1744">
        <v>1743</v>
      </c>
      <c r="B1744">
        <v>0</v>
      </c>
      <c r="C1744" s="9">
        <v>268994</v>
      </c>
      <c r="D1744">
        <v>751</v>
      </c>
      <c r="E1744" s="1">
        <v>1490645</v>
      </c>
      <c r="F1744">
        <v>0</v>
      </c>
      <c r="G1744">
        <v>10161.200000000001</v>
      </c>
      <c r="H1744">
        <v>26.4</v>
      </c>
      <c r="I1744">
        <v>7</v>
      </c>
      <c r="J1744">
        <v>35568</v>
      </c>
      <c r="K1744">
        <v>370986</v>
      </c>
      <c r="L1744" t="s">
        <v>24</v>
      </c>
      <c r="M1744" t="s">
        <v>1782</v>
      </c>
      <c r="N1744" t="s">
        <v>26</v>
      </c>
      <c r="O1744" t="s">
        <v>21</v>
      </c>
      <c r="P1744" t="s">
        <v>22</v>
      </c>
      <c r="Q1744" t="s">
        <v>23</v>
      </c>
      <c r="R1744" t="b">
        <f>OR(Таблица1[[#This Row],[Ежемесячный платеж]]&lt;$AC$5, Таблица1[[#This Row],[Ежемесячный платеж]]&gt;$AC$6)</f>
        <v>0</v>
      </c>
      <c r="S1744" s="9">
        <f>(Таблица1[[#This Row],[Размер кредита]]-21824)/(789096-21824)</f>
        <v>0.32214130060786789</v>
      </c>
      <c r="T1744" s="9">
        <f>(Таблица1[[#This Row],[Кредитный рейтинг]]-586)/(751-586)</f>
        <v>1</v>
      </c>
      <c r="U1744" s="9">
        <f>Таблица1[[#This Row],[Ежемесячный платеж]]/(Таблица1[[#This Row],[Годовой доход]]/12)</f>
        <v>8.1799757822955843E-2</v>
      </c>
    </row>
    <row r="1745" spans="1:21" x14ac:dyDescent="0.3">
      <c r="A1745">
        <v>1744</v>
      </c>
      <c r="B1745">
        <v>1</v>
      </c>
      <c r="C1745" s="9">
        <v>71258</v>
      </c>
      <c r="D1745">
        <v>722</v>
      </c>
      <c r="E1745" s="1">
        <v>719549</v>
      </c>
      <c r="F1745">
        <v>0</v>
      </c>
      <c r="G1745">
        <v>12592.06</v>
      </c>
      <c r="H1745">
        <v>16.3</v>
      </c>
      <c r="I1745">
        <v>7</v>
      </c>
      <c r="J1745">
        <v>27569</v>
      </c>
      <c r="K1745">
        <v>37290</v>
      </c>
      <c r="L1745" t="s">
        <v>41</v>
      </c>
      <c r="M1745" t="s">
        <v>1783</v>
      </c>
      <c r="N1745" t="s">
        <v>26</v>
      </c>
      <c r="O1745" t="s">
        <v>34</v>
      </c>
      <c r="P1745" t="s">
        <v>31</v>
      </c>
      <c r="Q1745" t="s">
        <v>36</v>
      </c>
      <c r="R1745" t="b">
        <f>OR(Таблица1[[#This Row],[Ежемесячный платеж]]&lt;$AC$5, Таблица1[[#This Row],[Ежемесячный платеж]]&gt;$AC$6)</f>
        <v>0</v>
      </c>
      <c r="S1745" s="9">
        <f>(Таблица1[[#This Row],[Размер кредита]]-21824)/(789096-21824)</f>
        <v>6.4428260121573572E-2</v>
      </c>
      <c r="T1745" s="9">
        <f>(Таблица1[[#This Row],[Кредитный рейтинг]]-586)/(751-586)</f>
        <v>0.82424242424242422</v>
      </c>
      <c r="U1745" s="9">
        <f>Таблица1[[#This Row],[Ежемесячный платеж]]/(Таблица1[[#This Row],[Годовой доход]]/12)</f>
        <v>0.2099992078371313</v>
      </c>
    </row>
    <row r="1746" spans="1:21" x14ac:dyDescent="0.3">
      <c r="A1746">
        <v>1745</v>
      </c>
      <c r="B1746">
        <v>0</v>
      </c>
      <c r="C1746" s="9">
        <v>269896</v>
      </c>
      <c r="D1746">
        <v>696</v>
      </c>
      <c r="E1746" s="1">
        <v>1482912</v>
      </c>
      <c r="F1746">
        <v>0</v>
      </c>
      <c r="G1746">
        <v>12604.79</v>
      </c>
      <c r="H1746">
        <v>10</v>
      </c>
      <c r="I1746">
        <v>9</v>
      </c>
      <c r="J1746">
        <v>186941</v>
      </c>
      <c r="K1746">
        <v>365024</v>
      </c>
      <c r="L1746" t="s">
        <v>41</v>
      </c>
      <c r="M1746" t="s">
        <v>1784</v>
      </c>
      <c r="N1746" t="s">
        <v>26</v>
      </c>
      <c r="O1746" t="s">
        <v>34</v>
      </c>
      <c r="P1746" t="s">
        <v>22</v>
      </c>
      <c r="Q1746" t="s">
        <v>36</v>
      </c>
      <c r="R1746" t="b">
        <f>OR(Таблица1[[#This Row],[Ежемесячный платеж]]&lt;$AC$5, Таблица1[[#This Row],[Ежемесячный платеж]]&gt;$AC$6)</f>
        <v>0</v>
      </c>
      <c r="S1746" s="9">
        <f>(Таблица1[[#This Row],[Размер кредита]]-21824)/(789096-21824)</f>
        <v>0.32331689413923614</v>
      </c>
      <c r="T1746" s="9">
        <f>(Таблица1[[#This Row],[Кредитный рейтинг]]-586)/(751-586)</f>
        <v>0.66666666666666663</v>
      </c>
      <c r="U1746" s="9">
        <f>Таблица1[[#This Row],[Ежемесячный платеж]]/(Таблица1[[#This Row],[Годовой доход]]/12)</f>
        <v>0.10200030750307504</v>
      </c>
    </row>
    <row r="1747" spans="1:21" x14ac:dyDescent="0.3">
      <c r="A1747">
        <v>1746</v>
      </c>
      <c r="B1747">
        <v>1</v>
      </c>
      <c r="D1747">
        <v>725</v>
      </c>
      <c r="E1747" s="1">
        <v>2531712</v>
      </c>
      <c r="F1747">
        <v>7</v>
      </c>
      <c r="G1747">
        <v>23418.26</v>
      </c>
      <c r="H1747">
        <v>15.4</v>
      </c>
      <c r="I1747">
        <v>11</v>
      </c>
      <c r="J1747">
        <v>445341</v>
      </c>
      <c r="K1747">
        <v>656898</v>
      </c>
      <c r="L1747" t="s">
        <v>50</v>
      </c>
      <c r="M1747" t="s">
        <v>1785</v>
      </c>
      <c r="N1747" t="s">
        <v>26</v>
      </c>
      <c r="O1747" t="s">
        <v>34</v>
      </c>
      <c r="P1747" t="s">
        <v>22</v>
      </c>
      <c r="Q1747" t="s">
        <v>23</v>
      </c>
      <c r="R1747" t="b">
        <f>OR(Таблица1[[#This Row],[Ежемесячный платеж]]&lt;$AC$5, Таблица1[[#This Row],[Ежемесячный платеж]]&gt;$AC$6)</f>
        <v>0</v>
      </c>
      <c r="T1747" s="9">
        <f>(Таблица1[[#This Row],[Кредитный рейтинг]]-586)/(751-586)</f>
        <v>0.84242424242424241</v>
      </c>
      <c r="U1747" s="9">
        <f>Таблица1[[#This Row],[Ежемесячный платеж]]/(Таблица1[[#This Row],[Годовой доход]]/12)</f>
        <v>0.11099963976945244</v>
      </c>
    </row>
    <row r="1748" spans="1:21" x14ac:dyDescent="0.3">
      <c r="A1748">
        <v>1747</v>
      </c>
      <c r="B1748">
        <v>0</v>
      </c>
      <c r="C1748" s="9">
        <v>360624</v>
      </c>
      <c r="D1748">
        <v>734</v>
      </c>
      <c r="E1748" s="1">
        <v>1206861</v>
      </c>
      <c r="F1748">
        <v>0</v>
      </c>
      <c r="G1748">
        <v>19510.91</v>
      </c>
      <c r="H1748">
        <v>15.2</v>
      </c>
      <c r="I1748">
        <v>14</v>
      </c>
      <c r="J1748">
        <v>342608</v>
      </c>
      <c r="K1748">
        <v>1035804</v>
      </c>
      <c r="L1748" t="s">
        <v>24</v>
      </c>
      <c r="M1748" t="s">
        <v>1786</v>
      </c>
      <c r="N1748" t="s">
        <v>26</v>
      </c>
      <c r="O1748" t="s">
        <v>21</v>
      </c>
      <c r="P1748" t="s">
        <v>31</v>
      </c>
      <c r="Q1748" t="s">
        <v>23</v>
      </c>
      <c r="R1748" t="b">
        <f>OR(Таблица1[[#This Row],[Ежемесячный платеж]]&lt;$AC$5, Таблица1[[#This Row],[Ежемесячный платеж]]&gt;$AC$6)</f>
        <v>0</v>
      </c>
      <c r="S1748" s="9">
        <f>(Таблица1[[#This Row],[Размер кредита]]-21824)/(789096-21824)</f>
        <v>0.44156439958710864</v>
      </c>
      <c r="T1748" s="9">
        <f>(Таблица1[[#This Row],[Кредитный рейтинг]]-586)/(751-586)</f>
        <v>0.89696969696969697</v>
      </c>
      <c r="U1748" s="9">
        <f>Таблица1[[#This Row],[Ежемесячный платеж]]/(Таблица1[[#This Row],[Годовой доход]]/12)</f>
        <v>0.19399990554007462</v>
      </c>
    </row>
    <row r="1749" spans="1:21" x14ac:dyDescent="0.3">
      <c r="A1749">
        <v>1748</v>
      </c>
      <c r="B1749">
        <v>0</v>
      </c>
      <c r="C1749" s="9">
        <v>359876</v>
      </c>
      <c r="D1749">
        <v>718</v>
      </c>
      <c r="E1749" s="1">
        <v>961571</v>
      </c>
      <c r="F1749">
        <v>37</v>
      </c>
      <c r="G1749">
        <v>24199.35</v>
      </c>
      <c r="H1749">
        <v>16.600000000000001</v>
      </c>
      <c r="I1749">
        <v>15</v>
      </c>
      <c r="J1749">
        <v>305900</v>
      </c>
      <c r="K1749">
        <v>587378</v>
      </c>
      <c r="L1749" t="s">
        <v>24</v>
      </c>
      <c r="M1749" t="s">
        <v>1787</v>
      </c>
      <c r="N1749" t="s">
        <v>68</v>
      </c>
      <c r="O1749" t="s">
        <v>21</v>
      </c>
      <c r="P1749" t="s">
        <v>22</v>
      </c>
      <c r="Q1749" t="s">
        <v>23</v>
      </c>
      <c r="R1749" t="b">
        <f>OR(Таблица1[[#This Row],[Ежемесячный платеж]]&lt;$AC$5, Таблица1[[#This Row],[Ежемесячный платеж]]&gt;$AC$6)</f>
        <v>0</v>
      </c>
      <c r="S1749" s="9">
        <f>(Таблица1[[#This Row],[Размер кредита]]-21824)/(789096-21824)</f>
        <v>0.44058951714646177</v>
      </c>
      <c r="T1749" s="9">
        <f>(Таблица1[[#This Row],[Кредитный рейтинг]]-586)/(751-586)</f>
        <v>0.8</v>
      </c>
      <c r="U1749" s="9">
        <f>Таблица1[[#This Row],[Ежемесячный платеж]]/(Таблица1[[#This Row],[Годовой доход]]/12)</f>
        <v>0.30199766839890135</v>
      </c>
    </row>
    <row r="1750" spans="1:21" x14ac:dyDescent="0.3">
      <c r="A1750">
        <v>1749</v>
      </c>
      <c r="B1750">
        <v>0</v>
      </c>
      <c r="C1750" s="9">
        <v>568656</v>
      </c>
      <c r="D1750">
        <v>690</v>
      </c>
      <c r="E1750" s="1">
        <v>1408033</v>
      </c>
      <c r="F1750">
        <v>0</v>
      </c>
      <c r="G1750">
        <v>27573.94</v>
      </c>
      <c r="H1750">
        <v>22.5</v>
      </c>
      <c r="I1750">
        <v>16</v>
      </c>
      <c r="J1750">
        <v>389234</v>
      </c>
      <c r="K1750">
        <v>519222</v>
      </c>
      <c r="L1750" t="s">
        <v>24</v>
      </c>
      <c r="M1750" t="s">
        <v>1788</v>
      </c>
      <c r="N1750" t="s">
        <v>26</v>
      </c>
      <c r="O1750" t="s">
        <v>21</v>
      </c>
      <c r="P1750" t="s">
        <v>31</v>
      </c>
      <c r="Q1750" t="s">
        <v>23</v>
      </c>
      <c r="R1750" t="b">
        <f>OR(Таблица1[[#This Row],[Ежемесячный платеж]]&lt;$AC$5, Таблица1[[#This Row],[Ежемесячный платеж]]&gt;$AC$6)</f>
        <v>0</v>
      </c>
      <c r="S1750" s="9">
        <f>(Таблица1[[#This Row],[Размер кредита]]-21824)/(789096-21824)</f>
        <v>0.71269641013877738</v>
      </c>
      <c r="T1750" s="9">
        <f>(Таблица1[[#This Row],[Кредитный рейтинг]]-586)/(751-586)</f>
        <v>0.63030303030303025</v>
      </c>
      <c r="U1750" s="9">
        <f>Таблица1[[#This Row],[Ежемесячный платеж]]/(Таблица1[[#This Row],[Годовой доход]]/12)</f>
        <v>0.23499966264995209</v>
      </c>
    </row>
    <row r="1751" spans="1:21" x14ac:dyDescent="0.3">
      <c r="A1751">
        <v>1750</v>
      </c>
      <c r="B1751">
        <v>0</v>
      </c>
      <c r="C1751" s="9">
        <v>554510</v>
      </c>
      <c r="D1751">
        <v>732</v>
      </c>
      <c r="E1751" s="1">
        <v>1877181</v>
      </c>
      <c r="F1751">
        <v>0</v>
      </c>
      <c r="G1751">
        <v>27688.32</v>
      </c>
      <c r="H1751">
        <v>13.6</v>
      </c>
      <c r="I1751">
        <v>10</v>
      </c>
      <c r="J1751">
        <v>331854</v>
      </c>
      <c r="K1751">
        <v>499026</v>
      </c>
      <c r="L1751" t="s">
        <v>47</v>
      </c>
      <c r="M1751" t="s">
        <v>1789</v>
      </c>
      <c r="N1751" t="s">
        <v>26</v>
      </c>
      <c r="O1751" t="s">
        <v>34</v>
      </c>
      <c r="P1751" t="s">
        <v>22</v>
      </c>
      <c r="Q1751" t="s">
        <v>36</v>
      </c>
      <c r="R1751" t="b">
        <f>OR(Таблица1[[#This Row],[Ежемесячный платеж]]&lt;$AC$5, Таблица1[[#This Row],[Ежемесячный платеж]]&gt;$AC$6)</f>
        <v>0</v>
      </c>
      <c r="S1751" s="9">
        <f>(Таблица1[[#This Row],[Размер кредита]]-21824)/(789096-21824)</f>
        <v>0.69425966280536755</v>
      </c>
      <c r="T1751" s="9">
        <f>(Таблица1[[#This Row],[Кредитный рейтинг]]-586)/(751-586)</f>
        <v>0.88484848484848488</v>
      </c>
      <c r="U1751" s="9">
        <f>Таблица1[[#This Row],[Ежемесячный платеж]]/(Таблица1[[#This Row],[Годовой доход]]/12)</f>
        <v>0.17699936234172411</v>
      </c>
    </row>
    <row r="1752" spans="1:21" x14ac:dyDescent="0.3">
      <c r="A1752">
        <v>1751</v>
      </c>
      <c r="B1752">
        <v>0</v>
      </c>
      <c r="C1752" s="9">
        <v>402336</v>
      </c>
      <c r="D1752">
        <v>696</v>
      </c>
      <c r="E1752" s="1">
        <v>1544320</v>
      </c>
      <c r="F1752">
        <v>0</v>
      </c>
      <c r="G1752">
        <v>23035.98</v>
      </c>
      <c r="H1752">
        <v>12.2</v>
      </c>
      <c r="I1752">
        <v>9</v>
      </c>
      <c r="J1752">
        <v>324216</v>
      </c>
      <c r="K1752">
        <v>574002</v>
      </c>
      <c r="L1752" t="s">
        <v>47</v>
      </c>
      <c r="M1752" t="s">
        <v>1790</v>
      </c>
      <c r="N1752" t="s">
        <v>26</v>
      </c>
      <c r="O1752" t="s">
        <v>34</v>
      </c>
      <c r="P1752" t="s">
        <v>31</v>
      </c>
      <c r="Q1752" t="s">
        <v>23</v>
      </c>
      <c r="R1752" t="b">
        <f>OR(Таблица1[[#This Row],[Ежемесячный платеж]]&lt;$AC$5, Таблица1[[#This Row],[Ежемесячный платеж]]&gt;$AC$6)</f>
        <v>0</v>
      </c>
      <c r="S1752" s="9">
        <f>(Таблица1[[#This Row],[Размер кредита]]-21824)/(789096-21824)</f>
        <v>0.49592843215965132</v>
      </c>
      <c r="T1752" s="9">
        <f>(Таблица1[[#This Row],[Кредитный рейтинг]]-586)/(751-586)</f>
        <v>0.66666666666666663</v>
      </c>
      <c r="U1752" s="9">
        <f>Таблица1[[#This Row],[Ежемесячный платеж]]/(Таблица1[[#This Row],[Годовой доход]]/12)</f>
        <v>0.17899901574803151</v>
      </c>
    </row>
    <row r="1753" spans="1:21" x14ac:dyDescent="0.3">
      <c r="A1753">
        <v>1752</v>
      </c>
      <c r="B1753">
        <v>0</v>
      </c>
      <c r="C1753" s="9">
        <v>550330</v>
      </c>
      <c r="D1753">
        <v>733</v>
      </c>
      <c r="E1753" s="1">
        <v>1996197</v>
      </c>
      <c r="F1753">
        <v>0</v>
      </c>
      <c r="G1753">
        <v>7535.78</v>
      </c>
      <c r="H1753">
        <v>39.9</v>
      </c>
      <c r="I1753">
        <v>5</v>
      </c>
      <c r="J1753">
        <v>245423</v>
      </c>
      <c r="K1753">
        <v>631488</v>
      </c>
      <c r="L1753" t="s">
        <v>24</v>
      </c>
      <c r="M1753" t="s">
        <v>1791</v>
      </c>
      <c r="N1753" t="s">
        <v>26</v>
      </c>
      <c r="O1753" t="s">
        <v>21</v>
      </c>
      <c r="P1753" t="s">
        <v>31</v>
      </c>
      <c r="Q1753" t="s">
        <v>23</v>
      </c>
      <c r="R1753" t="b">
        <f>OR(Таблица1[[#This Row],[Ежемесячный платеж]]&lt;$AC$5, Таблица1[[#This Row],[Ежемесячный платеж]]&gt;$AC$6)</f>
        <v>0</v>
      </c>
      <c r="S1753" s="9">
        <f>(Таблица1[[#This Row],[Размер кредита]]-21824)/(789096-21824)</f>
        <v>0.68881179034292928</v>
      </c>
      <c r="T1753" s="9">
        <f>(Таблица1[[#This Row],[Кредитный рейтинг]]-586)/(751-586)</f>
        <v>0.89090909090909087</v>
      </c>
      <c r="U1753" s="9">
        <f>Таблица1[[#This Row],[Ежемесячный платеж]]/(Таблица1[[#This Row],[Годовой доход]]/12)</f>
        <v>4.5300819508295023E-2</v>
      </c>
    </row>
    <row r="1754" spans="1:21" x14ac:dyDescent="0.3">
      <c r="A1754">
        <v>1753</v>
      </c>
      <c r="B1754">
        <v>0</v>
      </c>
      <c r="C1754" s="9">
        <v>336490</v>
      </c>
      <c r="D1754">
        <v>686</v>
      </c>
      <c r="E1754" s="1">
        <v>1263538</v>
      </c>
      <c r="F1754">
        <v>24</v>
      </c>
      <c r="G1754">
        <v>25060.05</v>
      </c>
      <c r="H1754">
        <v>22.8</v>
      </c>
      <c r="I1754">
        <v>11</v>
      </c>
      <c r="J1754">
        <v>177498</v>
      </c>
      <c r="K1754">
        <v>276980</v>
      </c>
      <c r="L1754" t="s">
        <v>37</v>
      </c>
      <c r="M1754" t="s">
        <v>1792</v>
      </c>
      <c r="N1754" t="s">
        <v>26</v>
      </c>
      <c r="O1754" t="s">
        <v>21</v>
      </c>
      <c r="P1754" t="s">
        <v>31</v>
      </c>
      <c r="Q1754" t="s">
        <v>23</v>
      </c>
      <c r="R1754" t="b">
        <f>OR(Таблица1[[#This Row],[Ежемесячный платеж]]&lt;$AC$5, Таблица1[[#This Row],[Ежемесячный платеж]]&gt;$AC$6)</f>
        <v>0</v>
      </c>
      <c r="S1754" s="9">
        <f>(Таблица1[[#This Row],[Размер кредита]]-21824)/(789096-21824)</f>
        <v>0.41011010436976719</v>
      </c>
      <c r="T1754" s="9">
        <f>(Таблица1[[#This Row],[Кредитный рейтинг]]-586)/(751-586)</f>
        <v>0.60606060606060608</v>
      </c>
      <c r="U1754" s="9">
        <f>Таблица1[[#This Row],[Ежемесячный платеж]]/(Таблица1[[#This Row],[Годовой доход]]/12)</f>
        <v>0.23799885717722777</v>
      </c>
    </row>
    <row r="1755" spans="1:21" x14ac:dyDescent="0.3">
      <c r="A1755">
        <v>1754</v>
      </c>
      <c r="B1755">
        <v>0</v>
      </c>
      <c r="C1755" s="9">
        <v>222860</v>
      </c>
      <c r="D1755">
        <f>$Y$13</f>
        <v>723</v>
      </c>
      <c r="E1755">
        <f>$AB$13</f>
        <v>1168044</v>
      </c>
      <c r="F1755">
        <v>72</v>
      </c>
      <c r="G1755">
        <v>9702.5400000000009</v>
      </c>
      <c r="H1755">
        <v>22</v>
      </c>
      <c r="I1755">
        <v>8</v>
      </c>
      <c r="J1755">
        <v>103740</v>
      </c>
      <c r="K1755">
        <v>165000</v>
      </c>
      <c r="L1755" t="s">
        <v>47</v>
      </c>
      <c r="M1755" t="s">
        <v>1793</v>
      </c>
      <c r="N1755" t="s">
        <v>26</v>
      </c>
      <c r="O1755" t="s">
        <v>34</v>
      </c>
      <c r="P1755" t="s">
        <v>22</v>
      </c>
      <c r="Q1755" t="s">
        <v>23</v>
      </c>
      <c r="R1755" t="b">
        <f>OR(Таблица1[[#This Row],[Ежемесячный платеж]]&lt;$AC$5, Таблица1[[#This Row],[Ежемесячный платеж]]&gt;$AC$6)</f>
        <v>0</v>
      </c>
      <c r="S1755" s="9">
        <f>(Таблица1[[#This Row],[Размер кредита]]-21824)/(789096-21824)</f>
        <v>0.26201399243032458</v>
      </c>
      <c r="T1755" s="9">
        <f>(Таблица1[[#This Row],[Кредитный рейтинг]]-586)/(751-586)</f>
        <v>0.83030303030303032</v>
      </c>
      <c r="U1755" s="9">
        <f>Таблица1[[#This Row],[Ежемесячный платеж]]/(Таблица1[[#This Row],[Годовой доход]]/12)</f>
        <v>9.9679875073199309E-2</v>
      </c>
    </row>
    <row r="1756" spans="1:21" x14ac:dyDescent="0.3">
      <c r="A1756">
        <v>1755</v>
      </c>
      <c r="B1756">
        <v>0</v>
      </c>
      <c r="C1756" s="9">
        <v>441408</v>
      </c>
      <c r="D1756">
        <v>738</v>
      </c>
      <c r="E1756" s="1">
        <v>868604</v>
      </c>
      <c r="F1756">
        <v>0</v>
      </c>
      <c r="G1756">
        <v>11943.21</v>
      </c>
      <c r="H1756">
        <v>28.8</v>
      </c>
      <c r="I1756">
        <v>7</v>
      </c>
      <c r="J1756">
        <v>327009</v>
      </c>
      <c r="K1756">
        <v>554378</v>
      </c>
      <c r="L1756" t="s">
        <v>24</v>
      </c>
      <c r="M1756" t="s">
        <v>1794</v>
      </c>
      <c r="N1756" t="s">
        <v>26</v>
      </c>
      <c r="O1756" t="s">
        <v>21</v>
      </c>
      <c r="P1756" t="s">
        <v>22</v>
      </c>
      <c r="Q1756" t="s">
        <v>36</v>
      </c>
      <c r="R1756" t="b">
        <f>OR(Таблица1[[#This Row],[Ежемесячный платеж]]&lt;$AC$5, Таблица1[[#This Row],[Ежемесячный платеж]]&gt;$AC$6)</f>
        <v>0</v>
      </c>
      <c r="S1756" s="9">
        <f>(Таблица1[[#This Row],[Размер кредита]]-21824)/(789096-21824)</f>
        <v>0.54685170317696985</v>
      </c>
      <c r="T1756" s="9">
        <f>(Таблица1[[#This Row],[Кредитный рейтинг]]-586)/(751-586)</f>
        <v>0.92121212121212126</v>
      </c>
      <c r="U1756" s="9">
        <f>Таблица1[[#This Row],[Ежемесячный платеж]]/(Таблица1[[#This Row],[Годовой доход]]/12)</f>
        <v>0.16499868754921687</v>
      </c>
    </row>
    <row r="1757" spans="1:21" x14ac:dyDescent="0.3">
      <c r="A1757">
        <v>1756</v>
      </c>
      <c r="B1757">
        <v>0</v>
      </c>
      <c r="C1757" s="9">
        <v>261008</v>
      </c>
      <c r="D1757">
        <v>749</v>
      </c>
      <c r="E1757" s="1">
        <v>1744029</v>
      </c>
      <c r="F1757">
        <v>46</v>
      </c>
      <c r="G1757">
        <v>38368.6</v>
      </c>
      <c r="H1757">
        <v>13.2</v>
      </c>
      <c r="I1757">
        <v>18</v>
      </c>
      <c r="J1757">
        <v>140999</v>
      </c>
      <c r="K1757">
        <v>519970</v>
      </c>
      <c r="L1757" t="s">
        <v>41</v>
      </c>
      <c r="M1757" t="s">
        <v>1795</v>
      </c>
      <c r="N1757" t="s">
        <v>26</v>
      </c>
      <c r="O1757" t="s">
        <v>21</v>
      </c>
      <c r="P1757" t="s">
        <v>22</v>
      </c>
      <c r="Q1757" t="s">
        <v>23</v>
      </c>
      <c r="R1757" t="b">
        <f>OR(Таблица1[[#This Row],[Ежемесячный платеж]]&lt;$AC$5, Таблица1[[#This Row],[Ежемесячный платеж]]&gt;$AC$6)</f>
        <v>0</v>
      </c>
      <c r="S1757" s="9">
        <f>(Таблица1[[#This Row],[Размер кредита]]-21824)/(789096-21824)</f>
        <v>0.31173299690331457</v>
      </c>
      <c r="T1757" s="9">
        <f>(Таблица1[[#This Row],[Кредитный рейтинг]]-586)/(751-586)</f>
        <v>0.98787878787878791</v>
      </c>
      <c r="U1757" s="9">
        <f>Таблица1[[#This Row],[Ежемесячный платеж]]/(Таблица1[[#This Row],[Годовой доход]]/12)</f>
        <v>0.26399973853645781</v>
      </c>
    </row>
    <row r="1758" spans="1:21" x14ac:dyDescent="0.3">
      <c r="A1758">
        <v>1757</v>
      </c>
      <c r="B1758">
        <v>0</v>
      </c>
      <c r="C1758" s="9">
        <v>151118</v>
      </c>
      <c r="D1758">
        <v>738</v>
      </c>
      <c r="E1758" s="1">
        <v>932235</v>
      </c>
      <c r="F1758">
        <v>6</v>
      </c>
      <c r="G1758">
        <v>22140.51</v>
      </c>
      <c r="H1758">
        <v>9.9</v>
      </c>
      <c r="I1758">
        <v>15</v>
      </c>
      <c r="J1758">
        <v>14649</v>
      </c>
      <c r="K1758">
        <v>678744</v>
      </c>
      <c r="L1758" t="s">
        <v>24</v>
      </c>
      <c r="M1758" t="s">
        <v>1796</v>
      </c>
      <c r="N1758" t="s">
        <v>26</v>
      </c>
      <c r="O1758" t="s">
        <v>34</v>
      </c>
      <c r="P1758" t="s">
        <v>22</v>
      </c>
      <c r="Q1758" t="s">
        <v>36</v>
      </c>
      <c r="R1758" t="b">
        <f>OR(Таблица1[[#This Row],[Ежемесячный платеж]]&lt;$AC$5, Таблица1[[#This Row],[Ежемесячный платеж]]&gt;$AC$6)</f>
        <v>0</v>
      </c>
      <c r="S1758" s="9">
        <f>(Таблица1[[#This Row],[Размер кредита]]-21824)/(789096-21824)</f>
        <v>0.16851129716710633</v>
      </c>
      <c r="T1758" s="9">
        <f>(Таблица1[[#This Row],[Кредитный рейтинг]]-586)/(751-586)</f>
        <v>0.92121212121212126</v>
      </c>
      <c r="U1758" s="9">
        <f>Таблица1[[#This Row],[Ежемесячный платеж]]/(Таблица1[[#This Row],[Годовой доход]]/12)</f>
        <v>0.28499908284928155</v>
      </c>
    </row>
    <row r="1759" spans="1:21" x14ac:dyDescent="0.3">
      <c r="A1759">
        <v>1758</v>
      </c>
      <c r="B1759">
        <v>1</v>
      </c>
      <c r="C1759" s="9">
        <v>313698</v>
      </c>
      <c r="D1759">
        <v>747</v>
      </c>
      <c r="E1759" s="1">
        <v>1411035</v>
      </c>
      <c r="F1759">
        <v>68</v>
      </c>
      <c r="G1759">
        <v>19049.02</v>
      </c>
      <c r="H1759">
        <v>22.5</v>
      </c>
      <c r="I1759">
        <v>18</v>
      </c>
      <c r="J1759">
        <v>333830</v>
      </c>
      <c r="K1759">
        <v>686576</v>
      </c>
      <c r="L1759" t="s">
        <v>47</v>
      </c>
      <c r="M1759" t="s">
        <v>1797</v>
      </c>
      <c r="N1759" t="s">
        <v>26</v>
      </c>
      <c r="O1759" t="s">
        <v>34</v>
      </c>
      <c r="P1759" t="s">
        <v>22</v>
      </c>
      <c r="Q1759" t="s">
        <v>36</v>
      </c>
      <c r="R1759" t="b">
        <f>OR(Таблица1[[#This Row],[Ежемесячный платеж]]&lt;$AC$5, Таблица1[[#This Row],[Ежемесячный платеж]]&gt;$AC$6)</f>
        <v>0</v>
      </c>
      <c r="S1759" s="9">
        <f>(Таблица1[[#This Row],[Размер кредита]]-21824)/(789096-21824)</f>
        <v>0.38040486294299802</v>
      </c>
      <c r="T1759" s="9">
        <f>(Таблица1[[#This Row],[Кредитный рейтинг]]-586)/(751-586)</f>
        <v>0.97575757575757571</v>
      </c>
      <c r="U1759" s="9">
        <f>Таблица1[[#This Row],[Ежемесячный платеж]]/(Таблица1[[#This Row],[Годовой доход]]/12)</f>
        <v>0.1620004039587962</v>
      </c>
    </row>
    <row r="1760" spans="1:21" x14ac:dyDescent="0.3">
      <c r="A1760">
        <v>1759</v>
      </c>
      <c r="B1760">
        <v>0</v>
      </c>
      <c r="C1760" s="9">
        <v>614394</v>
      </c>
      <c r="D1760">
        <v>724</v>
      </c>
      <c r="E1760" s="1">
        <v>1705554</v>
      </c>
      <c r="F1760">
        <v>7</v>
      </c>
      <c r="G1760">
        <v>14639.31</v>
      </c>
      <c r="H1760">
        <v>16.600000000000001</v>
      </c>
      <c r="I1760">
        <v>14</v>
      </c>
      <c r="J1760">
        <v>489820</v>
      </c>
      <c r="K1760">
        <v>1136586</v>
      </c>
      <c r="L1760" t="s">
        <v>24</v>
      </c>
      <c r="M1760" t="s">
        <v>1798</v>
      </c>
      <c r="N1760" t="s">
        <v>26</v>
      </c>
      <c r="O1760" t="s">
        <v>21</v>
      </c>
      <c r="P1760" t="s">
        <v>22</v>
      </c>
      <c r="Q1760" t="s">
        <v>23</v>
      </c>
      <c r="R1760" t="b">
        <f>OR(Таблица1[[#This Row],[Ежемесячный платеж]]&lt;$AC$5, Таблица1[[#This Row],[Ежемесячный платеж]]&gt;$AC$6)</f>
        <v>0</v>
      </c>
      <c r="S1760" s="9">
        <f>(Таблица1[[#This Row],[Размер кредита]]-21824)/(789096-21824)</f>
        <v>0.772307604083037</v>
      </c>
      <c r="T1760" s="9">
        <f>(Таблица1[[#This Row],[Кредитный рейтинг]]-586)/(751-586)</f>
        <v>0.83636363636363631</v>
      </c>
      <c r="U1760" s="9">
        <f>Таблица1[[#This Row],[Ежемесячный платеж]]/(Таблица1[[#This Row],[Годовой доход]]/12)</f>
        <v>0.10299979947864447</v>
      </c>
    </row>
    <row r="1761" spans="1:21" x14ac:dyDescent="0.3">
      <c r="A1761">
        <v>1760</v>
      </c>
      <c r="B1761">
        <v>0</v>
      </c>
      <c r="C1761" s="9">
        <v>199078</v>
      </c>
      <c r="D1761">
        <v>721</v>
      </c>
      <c r="E1761" s="1">
        <v>1031548</v>
      </c>
      <c r="F1761">
        <v>70</v>
      </c>
      <c r="G1761">
        <v>20716.84</v>
      </c>
      <c r="H1761">
        <v>37.1</v>
      </c>
      <c r="I1761">
        <v>10</v>
      </c>
      <c r="J1761">
        <v>163001</v>
      </c>
      <c r="K1761">
        <v>249986</v>
      </c>
      <c r="L1761" t="s">
        <v>24</v>
      </c>
      <c r="M1761" t="s">
        <v>1799</v>
      </c>
      <c r="N1761" t="s">
        <v>26</v>
      </c>
      <c r="O1761" t="s">
        <v>34</v>
      </c>
      <c r="P1761" t="s">
        <v>22</v>
      </c>
      <c r="Q1761" t="s">
        <v>36</v>
      </c>
      <c r="R1761" t="b">
        <f>OR(Таблица1[[#This Row],[Ежемесячный платеж]]&lt;$AC$5, Таблица1[[#This Row],[Ежемесячный платеж]]&gt;$AC$6)</f>
        <v>0</v>
      </c>
      <c r="S1761" s="9">
        <f>(Таблица1[[#This Row],[Размер кредита]]-21824)/(789096-21824)</f>
        <v>0.23101846542034637</v>
      </c>
      <c r="T1761" s="9">
        <f>(Таблица1[[#This Row],[Кредитный рейтинг]]-586)/(751-586)</f>
        <v>0.81818181818181823</v>
      </c>
      <c r="U1761" s="9">
        <f>Таблица1[[#This Row],[Ежемесячный платеж]]/(Таблица1[[#This Row],[Годовой доход]]/12)</f>
        <v>0.24099904221616447</v>
      </c>
    </row>
    <row r="1762" spans="1:21" x14ac:dyDescent="0.3">
      <c r="A1762">
        <v>1761</v>
      </c>
      <c r="B1762">
        <v>0</v>
      </c>
      <c r="C1762" s="9">
        <v>626098</v>
      </c>
      <c r="D1762">
        <v>748</v>
      </c>
      <c r="E1762" s="1">
        <v>2413950</v>
      </c>
      <c r="F1762">
        <v>0</v>
      </c>
      <c r="G1762">
        <v>21323.32</v>
      </c>
      <c r="H1762">
        <v>39.6</v>
      </c>
      <c r="I1762">
        <v>27</v>
      </c>
      <c r="J1762">
        <v>1261334</v>
      </c>
      <c r="K1762">
        <v>3502400</v>
      </c>
      <c r="L1762" t="s">
        <v>24</v>
      </c>
      <c r="M1762" t="s">
        <v>1800</v>
      </c>
      <c r="N1762" t="s">
        <v>26</v>
      </c>
      <c r="O1762" t="s">
        <v>21</v>
      </c>
      <c r="P1762" t="s">
        <v>22</v>
      </c>
      <c r="Q1762" t="s">
        <v>23</v>
      </c>
      <c r="R1762" t="b">
        <f>OR(Таблица1[[#This Row],[Ежемесячный платеж]]&lt;$AC$5, Таблица1[[#This Row],[Ежемесячный платеж]]&gt;$AC$6)</f>
        <v>0</v>
      </c>
      <c r="S1762" s="9">
        <f>(Таблица1[[#This Row],[Размер кредита]]-21824)/(789096-21824)</f>
        <v>0.78756164697786446</v>
      </c>
      <c r="T1762" s="9">
        <f>(Таблица1[[#This Row],[Кредитный рейтинг]]-586)/(751-586)</f>
        <v>0.98181818181818181</v>
      </c>
      <c r="U1762" s="9">
        <f>Таблица1[[#This Row],[Ежемесячный платеж]]/(Таблица1[[#This Row],[Годовой доход]]/12)</f>
        <v>0.10600047225501771</v>
      </c>
    </row>
    <row r="1763" spans="1:21" x14ac:dyDescent="0.3">
      <c r="A1763">
        <v>1762</v>
      </c>
      <c r="B1763">
        <v>0</v>
      </c>
      <c r="C1763" s="9">
        <v>54868</v>
      </c>
      <c r="D1763">
        <v>701</v>
      </c>
      <c r="E1763" s="1">
        <v>473822</v>
      </c>
      <c r="F1763">
        <v>0</v>
      </c>
      <c r="G1763">
        <v>3987.91</v>
      </c>
      <c r="H1763">
        <v>6.6</v>
      </c>
      <c r="I1763">
        <v>8</v>
      </c>
      <c r="J1763">
        <v>155572</v>
      </c>
      <c r="K1763">
        <v>296296</v>
      </c>
      <c r="L1763" t="s">
        <v>47</v>
      </c>
      <c r="M1763" t="s">
        <v>1801</v>
      </c>
      <c r="N1763" t="s">
        <v>26</v>
      </c>
      <c r="O1763" t="s">
        <v>34</v>
      </c>
      <c r="P1763" t="s">
        <v>22</v>
      </c>
      <c r="Q1763" t="s">
        <v>23</v>
      </c>
      <c r="R1763" t="b">
        <f>OR(Таблица1[[#This Row],[Ежемесячный платеж]]&lt;$AC$5, Таблица1[[#This Row],[Ежемесячный платеж]]&gt;$AC$6)</f>
        <v>0</v>
      </c>
      <c r="S1763" s="9">
        <f>(Таблица1[[#This Row],[Размер кредита]]-21824)/(789096-21824)</f>
        <v>4.3066865466223188E-2</v>
      </c>
      <c r="T1763" s="9">
        <f>(Таблица1[[#This Row],[Кредитный рейтинг]]-586)/(751-586)</f>
        <v>0.69696969696969702</v>
      </c>
      <c r="U1763" s="9">
        <f>Таблица1[[#This Row],[Ежемесячный платеж]]/(Таблица1[[#This Row],[Годовой доход]]/12)</f>
        <v>0.1009976742320956</v>
      </c>
    </row>
    <row r="1764" spans="1:21" x14ac:dyDescent="0.3">
      <c r="A1764">
        <v>1763</v>
      </c>
      <c r="B1764">
        <v>0</v>
      </c>
      <c r="C1764" s="9">
        <v>396484</v>
      </c>
      <c r="D1764">
        <v>723</v>
      </c>
      <c r="E1764" s="1">
        <v>1141368</v>
      </c>
      <c r="F1764">
        <v>44</v>
      </c>
      <c r="G1764">
        <v>23968.69</v>
      </c>
      <c r="H1764">
        <v>17</v>
      </c>
      <c r="I1764">
        <v>24</v>
      </c>
      <c r="J1764">
        <v>248938</v>
      </c>
      <c r="K1764">
        <v>557502</v>
      </c>
      <c r="L1764" t="s">
        <v>63</v>
      </c>
      <c r="M1764" t="s">
        <v>1802</v>
      </c>
      <c r="N1764" t="s">
        <v>26</v>
      </c>
      <c r="O1764" t="s">
        <v>21</v>
      </c>
      <c r="P1764" t="s">
        <v>22</v>
      </c>
      <c r="Q1764" t="s">
        <v>23</v>
      </c>
      <c r="R1764" t="b">
        <f>OR(Таблица1[[#This Row],[Ежемесячный платеж]]&lt;$AC$5, Таблица1[[#This Row],[Ежемесячный платеж]]&gt;$AC$6)</f>
        <v>0</v>
      </c>
      <c r="S1764" s="9">
        <f>(Таблица1[[#This Row],[Размер кредита]]-21824)/(789096-21824)</f>
        <v>0.48830141071223765</v>
      </c>
      <c r="T1764" s="9">
        <f>(Таблица1[[#This Row],[Кредитный рейтинг]]-586)/(751-586)</f>
        <v>0.83030303030303032</v>
      </c>
      <c r="U1764" s="9">
        <f>Таблица1[[#This Row],[Ежемесячный платеж]]/(Таблица1[[#This Row],[Годовой доход]]/12)</f>
        <v>0.25199960047942466</v>
      </c>
    </row>
    <row r="1765" spans="1:21" x14ac:dyDescent="0.3">
      <c r="A1765">
        <v>1764</v>
      </c>
      <c r="B1765">
        <v>0</v>
      </c>
      <c r="C1765" s="9">
        <v>110726</v>
      </c>
      <c r="D1765">
        <v>710</v>
      </c>
      <c r="E1765" s="1">
        <v>1606526</v>
      </c>
      <c r="F1765">
        <v>0</v>
      </c>
      <c r="G1765">
        <v>16333.16</v>
      </c>
      <c r="H1765">
        <v>25.6</v>
      </c>
      <c r="I1765">
        <v>12</v>
      </c>
      <c r="J1765">
        <v>130663</v>
      </c>
      <c r="K1765">
        <v>239008</v>
      </c>
      <c r="L1765" t="s">
        <v>52</v>
      </c>
      <c r="M1765" t="s">
        <v>1803</v>
      </c>
      <c r="N1765" t="s">
        <v>20</v>
      </c>
      <c r="O1765" t="s">
        <v>21</v>
      </c>
      <c r="P1765" t="s">
        <v>22</v>
      </c>
      <c r="Q1765" t="s">
        <v>36</v>
      </c>
      <c r="R1765" t="b">
        <f>OR(Таблица1[[#This Row],[Ежемесячный платеж]]&lt;$AC$5, Таблица1[[#This Row],[Ежемесячный платеж]]&gt;$AC$6)</f>
        <v>0</v>
      </c>
      <c r="S1765" s="9">
        <f>(Таблица1[[#This Row],[Размер кредита]]-21824)/(789096-21824)</f>
        <v>0.11586764537217571</v>
      </c>
      <c r="T1765" s="9">
        <f>(Таблица1[[#This Row],[Кредитный рейтинг]]-586)/(751-586)</f>
        <v>0.75151515151515147</v>
      </c>
      <c r="U1765" s="9">
        <f>Таблица1[[#This Row],[Ежемесячный платеж]]/(Таблица1[[#This Row],[Годовой доход]]/12)</f>
        <v>0.12200108806206686</v>
      </c>
    </row>
    <row r="1766" spans="1:21" x14ac:dyDescent="0.3">
      <c r="A1766">
        <v>1765</v>
      </c>
      <c r="B1766">
        <v>0</v>
      </c>
      <c r="D1766">
        <v>740</v>
      </c>
      <c r="E1766" s="1">
        <v>1113438</v>
      </c>
      <c r="F1766">
        <v>0</v>
      </c>
      <c r="G1766">
        <v>28485.37</v>
      </c>
      <c r="H1766">
        <v>12.5</v>
      </c>
      <c r="I1766">
        <v>13</v>
      </c>
      <c r="J1766">
        <v>301625</v>
      </c>
      <c r="K1766">
        <v>481052</v>
      </c>
      <c r="L1766" t="s">
        <v>24</v>
      </c>
      <c r="M1766" t="s">
        <v>1804</v>
      </c>
      <c r="N1766" t="s">
        <v>26</v>
      </c>
      <c r="O1766" t="s">
        <v>21</v>
      </c>
      <c r="P1766" t="s">
        <v>22</v>
      </c>
      <c r="Q1766" t="s">
        <v>23</v>
      </c>
      <c r="R1766" t="b">
        <f>OR(Таблица1[[#This Row],[Ежемесячный платеж]]&lt;$AC$5, Таблица1[[#This Row],[Ежемесячный платеж]]&gt;$AC$6)</f>
        <v>0</v>
      </c>
      <c r="T1766" s="9">
        <f>(Таблица1[[#This Row],[Кредитный рейтинг]]-586)/(751-586)</f>
        <v>0.93333333333333335</v>
      </c>
      <c r="U1766" s="9">
        <f>Таблица1[[#This Row],[Ежемесячный платеж]]/(Таблица1[[#This Row],[Годовой доход]]/12)</f>
        <v>0.30699907852974301</v>
      </c>
    </row>
    <row r="1767" spans="1:21" x14ac:dyDescent="0.3">
      <c r="A1767">
        <v>1766</v>
      </c>
      <c r="B1767">
        <v>0</v>
      </c>
      <c r="C1767" s="9">
        <v>379610</v>
      </c>
      <c r="D1767">
        <f>$Y$13</f>
        <v>723</v>
      </c>
      <c r="E1767">
        <f>$AB$13</f>
        <v>1168044</v>
      </c>
      <c r="F1767">
        <v>0</v>
      </c>
      <c r="G1767">
        <v>9838.58</v>
      </c>
      <c r="H1767">
        <v>20.9</v>
      </c>
      <c r="I1767">
        <v>9</v>
      </c>
      <c r="J1767">
        <v>130302</v>
      </c>
      <c r="K1767">
        <v>414480</v>
      </c>
      <c r="L1767" t="s">
        <v>24</v>
      </c>
      <c r="M1767" t="s">
        <v>1805</v>
      </c>
      <c r="N1767" t="s">
        <v>26</v>
      </c>
      <c r="O1767" t="s">
        <v>21</v>
      </c>
      <c r="P1767" t="s">
        <v>31</v>
      </c>
      <c r="Q1767" t="s">
        <v>23</v>
      </c>
      <c r="R1767" t="b">
        <f>OR(Таблица1[[#This Row],[Ежемесячный платеж]]&lt;$AC$5, Таблица1[[#This Row],[Ежемесячный платеж]]&gt;$AC$6)</f>
        <v>0</v>
      </c>
      <c r="S1767" s="9">
        <f>(Таблица1[[#This Row],[Размер кредита]]-21824)/(789096-21824)</f>
        <v>0.46630920977176282</v>
      </c>
      <c r="T1767" s="9">
        <f>(Таблица1[[#This Row],[Кредитный рейтинг]]-586)/(751-586)</f>
        <v>0.83030303030303032</v>
      </c>
      <c r="U1767" s="9">
        <f>Таблица1[[#This Row],[Ежемесячный платеж]]/(Таблица1[[#This Row],[Годовой доход]]/12)</f>
        <v>0.1010774936560609</v>
      </c>
    </row>
    <row r="1768" spans="1:21" x14ac:dyDescent="0.3">
      <c r="A1768">
        <v>1767</v>
      </c>
      <c r="B1768">
        <v>0</v>
      </c>
      <c r="D1768">
        <v>712</v>
      </c>
      <c r="E1768" s="1">
        <v>1490683</v>
      </c>
      <c r="F1768">
        <v>0</v>
      </c>
      <c r="G1768">
        <v>18384.97</v>
      </c>
      <c r="H1768">
        <v>24.8</v>
      </c>
      <c r="I1768">
        <v>15</v>
      </c>
      <c r="J1768">
        <v>290852</v>
      </c>
      <c r="K1768">
        <v>2118028</v>
      </c>
      <c r="L1768" t="s">
        <v>29</v>
      </c>
      <c r="M1768" t="s">
        <v>1806</v>
      </c>
      <c r="N1768" t="s">
        <v>26</v>
      </c>
      <c r="O1768" t="s">
        <v>34</v>
      </c>
      <c r="P1768" t="s">
        <v>22</v>
      </c>
      <c r="Q1768" t="s">
        <v>23</v>
      </c>
      <c r="R1768" t="b">
        <f>OR(Таблица1[[#This Row],[Ежемесячный платеж]]&lt;$AC$5, Таблица1[[#This Row],[Ежемесячный платеж]]&gt;$AC$6)</f>
        <v>0</v>
      </c>
      <c r="T1768" s="9">
        <f>(Таблица1[[#This Row],[Кредитный рейтинг]]-586)/(751-586)</f>
        <v>0.76363636363636367</v>
      </c>
      <c r="U1768" s="9">
        <f>Таблица1[[#This Row],[Ежемесячный платеж]]/(Таблица1[[#This Row],[Годовой доход]]/12)</f>
        <v>0.14799903131651734</v>
      </c>
    </row>
    <row r="1769" spans="1:21" x14ac:dyDescent="0.3">
      <c r="A1769">
        <v>1768</v>
      </c>
      <c r="B1769">
        <v>0</v>
      </c>
      <c r="C1769" s="9">
        <v>729344</v>
      </c>
      <c r="D1769">
        <v>685</v>
      </c>
      <c r="E1769" s="1">
        <v>4673088</v>
      </c>
      <c r="F1769">
        <v>0</v>
      </c>
      <c r="G1769">
        <v>56076.98</v>
      </c>
      <c r="H1769">
        <v>8.1</v>
      </c>
      <c r="I1769">
        <v>9</v>
      </c>
      <c r="J1769">
        <v>620787</v>
      </c>
      <c r="K1769">
        <v>858792</v>
      </c>
      <c r="L1769" t="s">
        <v>41</v>
      </c>
      <c r="M1769" t="s">
        <v>1807</v>
      </c>
      <c r="N1769" t="s">
        <v>26</v>
      </c>
      <c r="O1769" t="s">
        <v>34</v>
      </c>
      <c r="P1769" t="s">
        <v>31</v>
      </c>
      <c r="Q1769" t="s">
        <v>23</v>
      </c>
      <c r="R1769" t="b">
        <f>OR(Таблица1[[#This Row],[Ежемесячный платеж]]&lt;$AC$5, Таблица1[[#This Row],[Ежемесячный платеж]]&gt;$AC$6)</f>
        <v>1</v>
      </c>
      <c r="S1769" s="9">
        <f>(Таблица1[[#This Row],[Размер кредита]]-21824)/(789096-21824)</f>
        <v>0.92212409680009177</v>
      </c>
      <c r="T1769" s="9">
        <f>(Таблица1[[#This Row],[Кредитный рейтинг]]-586)/(751-586)</f>
        <v>0.6</v>
      </c>
      <c r="U1769" s="9">
        <f>Таблица1[[#This Row],[Ежемесячный платеж]]/(Таблица1[[#This Row],[Годовой доход]]/12)</f>
        <v>0.14399980483996877</v>
      </c>
    </row>
    <row r="1770" spans="1:21" x14ac:dyDescent="0.3">
      <c r="A1770">
        <v>1769</v>
      </c>
      <c r="B1770">
        <v>0</v>
      </c>
      <c r="C1770" s="9">
        <v>457666</v>
      </c>
      <c r="D1770">
        <v>745</v>
      </c>
      <c r="E1770" s="1">
        <v>3293745</v>
      </c>
      <c r="F1770">
        <v>76</v>
      </c>
      <c r="G1770">
        <v>51602.1</v>
      </c>
      <c r="H1770">
        <v>19.7</v>
      </c>
      <c r="I1770">
        <v>22</v>
      </c>
      <c r="J1770">
        <v>640338</v>
      </c>
      <c r="K1770">
        <v>924484</v>
      </c>
      <c r="L1770" t="s">
        <v>63</v>
      </c>
      <c r="M1770" t="s">
        <v>1808</v>
      </c>
      <c r="N1770" t="s">
        <v>26</v>
      </c>
      <c r="O1770" t="s">
        <v>21</v>
      </c>
      <c r="P1770" t="s">
        <v>22</v>
      </c>
      <c r="Q1770" t="s">
        <v>23</v>
      </c>
      <c r="R1770" t="b">
        <f>OR(Таблица1[[#This Row],[Ежемесячный платеж]]&lt;$AC$5, Таблица1[[#This Row],[Ежемесячный платеж]]&gt;$AC$6)</f>
        <v>1</v>
      </c>
      <c r="S1770" s="9">
        <f>(Таблица1[[#This Row],[Размер кредита]]-21824)/(789096-21824)</f>
        <v>0.56804105975455899</v>
      </c>
      <c r="T1770" s="9">
        <f>(Таблица1[[#This Row],[Кредитный рейтинг]]-586)/(751-586)</f>
        <v>0.96363636363636362</v>
      </c>
      <c r="U1770" s="9">
        <f>Таблица1[[#This Row],[Ежемесячный платеж]]/(Таблица1[[#This Row],[Годовой доход]]/12)</f>
        <v>0.18800034611058233</v>
      </c>
    </row>
    <row r="1771" spans="1:21" x14ac:dyDescent="0.3">
      <c r="A1771">
        <v>1770</v>
      </c>
      <c r="B1771">
        <v>0</v>
      </c>
      <c r="C1771" s="9">
        <v>151272</v>
      </c>
      <c r="D1771">
        <v>698</v>
      </c>
      <c r="E1771" s="1">
        <v>1022846</v>
      </c>
      <c r="F1771">
        <v>0</v>
      </c>
      <c r="G1771">
        <v>4185.13</v>
      </c>
      <c r="H1771">
        <v>10.3</v>
      </c>
      <c r="I1771">
        <v>6</v>
      </c>
      <c r="J1771">
        <v>101422</v>
      </c>
      <c r="K1771">
        <v>131384</v>
      </c>
      <c r="L1771" t="s">
        <v>24</v>
      </c>
      <c r="M1771" t="s">
        <v>1809</v>
      </c>
      <c r="N1771" t="s">
        <v>68</v>
      </c>
      <c r="O1771" t="s">
        <v>21</v>
      </c>
      <c r="P1771" t="s">
        <v>22</v>
      </c>
      <c r="Q1771" t="s">
        <v>23</v>
      </c>
      <c r="R1771" t="b">
        <f>OR(Таблица1[[#This Row],[Ежемесячный платеж]]&lt;$AC$5, Таблица1[[#This Row],[Ежемесячный платеж]]&gt;$AC$6)</f>
        <v>0</v>
      </c>
      <c r="S1771" s="9">
        <f>(Таблица1[[#This Row],[Размер кредита]]-21824)/(789096-21824)</f>
        <v>0.16871200825782773</v>
      </c>
      <c r="T1771" s="9">
        <f>(Таблица1[[#This Row],[Кредитный рейтинг]]-586)/(751-586)</f>
        <v>0.67878787878787883</v>
      </c>
      <c r="U1771" s="9">
        <f>Таблица1[[#This Row],[Ежемесячный платеж]]/(Таблица1[[#This Row],[Годовой доход]]/12)</f>
        <v>4.9099825389159267E-2</v>
      </c>
    </row>
    <row r="1772" spans="1:21" x14ac:dyDescent="0.3">
      <c r="A1772">
        <v>1771</v>
      </c>
      <c r="B1772">
        <v>0</v>
      </c>
      <c r="C1772" s="9">
        <v>755150</v>
      </c>
      <c r="D1772">
        <v>723</v>
      </c>
      <c r="E1772" s="1">
        <v>1490664</v>
      </c>
      <c r="F1772">
        <v>42</v>
      </c>
      <c r="G1772">
        <v>24720.33</v>
      </c>
      <c r="H1772">
        <v>25.8</v>
      </c>
      <c r="I1772">
        <v>14</v>
      </c>
      <c r="J1772">
        <v>949924</v>
      </c>
      <c r="K1772">
        <v>1964138</v>
      </c>
      <c r="L1772" t="s">
        <v>24</v>
      </c>
      <c r="M1772" t="s">
        <v>1810</v>
      </c>
      <c r="N1772" t="s">
        <v>26</v>
      </c>
      <c r="O1772" t="s">
        <v>21</v>
      </c>
      <c r="P1772" t="s">
        <v>31</v>
      </c>
      <c r="Q1772" t="s">
        <v>23</v>
      </c>
      <c r="R1772" t="b">
        <f>OR(Таблица1[[#This Row],[Ежемесячный платеж]]&lt;$AC$5, Таблица1[[#This Row],[Ежемесячный платеж]]&gt;$AC$6)</f>
        <v>0</v>
      </c>
      <c r="S1772" s="9">
        <f>(Таблица1[[#This Row],[Размер кредита]]-21824)/(789096-21824)</f>
        <v>0.95575754100240851</v>
      </c>
      <c r="T1772" s="9">
        <f>(Таблица1[[#This Row],[Кредитный рейтинг]]-586)/(751-586)</f>
        <v>0.83030303030303032</v>
      </c>
      <c r="U1772" s="9">
        <f>Таблица1[[#This Row],[Ежемесячный платеж]]/(Таблица1[[#This Row],[Годовой доход]]/12)</f>
        <v>0.19900122361578465</v>
      </c>
    </row>
    <row r="1773" spans="1:21" x14ac:dyDescent="0.3">
      <c r="A1773">
        <v>1772</v>
      </c>
      <c r="B1773">
        <v>0</v>
      </c>
      <c r="C1773" s="9">
        <v>267388</v>
      </c>
      <c r="D1773">
        <v>745</v>
      </c>
      <c r="E1773" s="1">
        <v>2309184</v>
      </c>
      <c r="F1773">
        <v>0</v>
      </c>
      <c r="G1773">
        <v>20205.36</v>
      </c>
      <c r="H1773">
        <v>9.8000000000000007</v>
      </c>
      <c r="I1773">
        <v>12</v>
      </c>
      <c r="J1773">
        <v>80940</v>
      </c>
      <c r="K1773">
        <v>737924</v>
      </c>
      <c r="L1773" t="s">
        <v>29</v>
      </c>
      <c r="M1773" t="s">
        <v>1811</v>
      </c>
      <c r="N1773" t="s">
        <v>68</v>
      </c>
      <c r="O1773" t="s">
        <v>34</v>
      </c>
      <c r="P1773" t="s">
        <v>22</v>
      </c>
      <c r="Q1773" t="s">
        <v>23</v>
      </c>
      <c r="R1773" t="b">
        <f>OR(Таблица1[[#This Row],[Ежемесячный платеж]]&lt;$AC$5, Таблица1[[#This Row],[Ежемесячный платеж]]&gt;$AC$6)</f>
        <v>0</v>
      </c>
      <c r="S1773" s="9">
        <f>(Таблица1[[#This Row],[Размер кредита]]-21824)/(789096-21824)</f>
        <v>0.32004817066177316</v>
      </c>
      <c r="T1773" s="9">
        <f>(Таблица1[[#This Row],[Кредитный рейтинг]]-586)/(751-586)</f>
        <v>0.96363636363636362</v>
      </c>
      <c r="U1773" s="9">
        <f>Таблица1[[#This Row],[Ежемесячный платеж]]/(Таблица1[[#This Row],[Годовой доход]]/12)</f>
        <v>0.105</v>
      </c>
    </row>
    <row r="1774" spans="1:21" x14ac:dyDescent="0.3">
      <c r="A1774">
        <v>1773</v>
      </c>
      <c r="B1774">
        <v>0</v>
      </c>
      <c r="C1774" s="9">
        <v>80102</v>
      </c>
      <c r="D1774">
        <v>747</v>
      </c>
      <c r="E1774" s="1">
        <v>1479530</v>
      </c>
      <c r="F1774">
        <v>0</v>
      </c>
      <c r="G1774">
        <v>12452.6</v>
      </c>
      <c r="H1774">
        <v>15.2</v>
      </c>
      <c r="I1774">
        <v>7</v>
      </c>
      <c r="J1774">
        <v>198778</v>
      </c>
      <c r="K1774">
        <v>582692</v>
      </c>
      <c r="L1774" t="s">
        <v>41</v>
      </c>
      <c r="M1774" t="s">
        <v>1812</v>
      </c>
      <c r="N1774" t="s">
        <v>26</v>
      </c>
      <c r="O1774" t="s">
        <v>34</v>
      </c>
      <c r="P1774" t="s">
        <v>22</v>
      </c>
      <c r="Q1774" t="s">
        <v>23</v>
      </c>
      <c r="R1774" t="b">
        <f>OR(Таблица1[[#This Row],[Ежемесячный платеж]]&lt;$AC$5, Таблица1[[#This Row],[Ежемесячный платеж]]&gt;$AC$6)</f>
        <v>0</v>
      </c>
      <c r="S1774" s="9">
        <f>(Таблица1[[#This Row],[Размер кредита]]-21824)/(789096-21824)</f>
        <v>7.5954811331574723E-2</v>
      </c>
      <c r="T1774" s="9">
        <f>(Таблица1[[#This Row],[Кредитный рейтинг]]-586)/(751-586)</f>
        <v>0.97575757575757571</v>
      </c>
      <c r="U1774" s="9">
        <f>Таблица1[[#This Row],[Ежемесячный платеж]]/(Таблица1[[#This Row],[Годовой доход]]/12)</f>
        <v>0.10099910106587903</v>
      </c>
    </row>
    <row r="1775" spans="1:21" x14ac:dyDescent="0.3">
      <c r="A1775">
        <v>1774</v>
      </c>
      <c r="B1775">
        <v>0</v>
      </c>
      <c r="C1775" s="9">
        <v>288222</v>
      </c>
      <c r="D1775">
        <v>659</v>
      </c>
      <c r="E1775" s="1">
        <v>734027</v>
      </c>
      <c r="F1775">
        <v>0</v>
      </c>
      <c r="G1775">
        <v>20002.439999999999</v>
      </c>
      <c r="H1775">
        <v>8.9</v>
      </c>
      <c r="I1775">
        <v>24</v>
      </c>
      <c r="J1775">
        <v>52383</v>
      </c>
      <c r="K1775">
        <v>196262</v>
      </c>
      <c r="L1775" t="s">
        <v>47</v>
      </c>
      <c r="M1775" t="s">
        <v>1813</v>
      </c>
      <c r="N1775" t="s">
        <v>26</v>
      </c>
      <c r="O1775" t="s">
        <v>34</v>
      </c>
      <c r="P1775" t="s">
        <v>22</v>
      </c>
      <c r="Q1775" t="s">
        <v>36</v>
      </c>
      <c r="R1775" t="b">
        <f>OR(Таблица1[[#This Row],[Ежемесячный платеж]]&lt;$AC$5, Таблица1[[#This Row],[Ежемесячный платеж]]&gt;$AC$6)</f>
        <v>0</v>
      </c>
      <c r="S1775" s="9">
        <f>(Таблица1[[#This Row],[Размер кредита]]-21824)/(789096-21824)</f>
        <v>0.3472015139350843</v>
      </c>
      <c r="T1775" s="9">
        <f>(Таблица1[[#This Row],[Кредитный рейтинг]]-586)/(751-586)</f>
        <v>0.44242424242424244</v>
      </c>
      <c r="U1775" s="9">
        <f>Таблица1[[#This Row],[Ежемесячный платеж]]/(Таблица1[[#This Row],[Годовой доход]]/12)</f>
        <v>0.32700333911422874</v>
      </c>
    </row>
    <row r="1776" spans="1:21" x14ac:dyDescent="0.3">
      <c r="A1776">
        <v>1775</v>
      </c>
      <c r="B1776">
        <v>0</v>
      </c>
      <c r="C1776" s="9">
        <v>419298</v>
      </c>
      <c r="D1776">
        <v>687</v>
      </c>
      <c r="E1776" s="1">
        <v>1524712</v>
      </c>
      <c r="F1776">
        <v>0</v>
      </c>
      <c r="G1776">
        <v>24268.32</v>
      </c>
      <c r="H1776">
        <v>10.5</v>
      </c>
      <c r="I1776">
        <v>11</v>
      </c>
      <c r="J1776">
        <v>208658</v>
      </c>
      <c r="K1776">
        <v>399344</v>
      </c>
      <c r="L1776" t="s">
        <v>24</v>
      </c>
      <c r="M1776" t="s">
        <v>1814</v>
      </c>
      <c r="N1776" t="s">
        <v>26</v>
      </c>
      <c r="O1776" t="s">
        <v>21</v>
      </c>
      <c r="P1776" t="s">
        <v>31</v>
      </c>
      <c r="Q1776" t="s">
        <v>36</v>
      </c>
      <c r="R1776" t="b">
        <f>OR(Таблица1[[#This Row],[Ежемесячный платеж]]&lt;$AC$5, Таблица1[[#This Row],[Ежемесячный платеж]]&gt;$AC$6)</f>
        <v>0</v>
      </c>
      <c r="S1776" s="9">
        <f>(Таблица1[[#This Row],[Размер кредита]]-21824)/(789096-21824)</f>
        <v>0.51803532515196693</v>
      </c>
      <c r="T1776" s="9">
        <f>(Таблица1[[#This Row],[Кредитный рейтинг]]-586)/(751-586)</f>
        <v>0.61212121212121207</v>
      </c>
      <c r="U1776" s="9">
        <f>Таблица1[[#This Row],[Ежемесячный платеж]]/(Таблица1[[#This Row],[Годовой доход]]/12)</f>
        <v>0.19099990030904199</v>
      </c>
    </row>
    <row r="1777" spans="1:21" x14ac:dyDescent="0.3">
      <c r="A1777">
        <v>1776</v>
      </c>
      <c r="B1777">
        <v>0</v>
      </c>
      <c r="C1777" s="9">
        <v>76186</v>
      </c>
      <c r="D1777">
        <v>705</v>
      </c>
      <c r="E1777" s="1">
        <v>451117</v>
      </c>
      <c r="F1777">
        <v>26</v>
      </c>
      <c r="G1777">
        <v>3740.53</v>
      </c>
      <c r="H1777">
        <v>14.8</v>
      </c>
      <c r="I1777">
        <v>9</v>
      </c>
      <c r="J1777">
        <v>99636</v>
      </c>
      <c r="K1777">
        <v>226226</v>
      </c>
      <c r="L1777" t="s">
        <v>41</v>
      </c>
      <c r="M1777" t="s">
        <v>1815</v>
      </c>
      <c r="N1777" t="s">
        <v>26</v>
      </c>
      <c r="O1777" t="s">
        <v>21</v>
      </c>
      <c r="P1777" t="s">
        <v>22</v>
      </c>
      <c r="Q1777" t="s">
        <v>36</v>
      </c>
      <c r="R1777" t="b">
        <f>OR(Таблица1[[#This Row],[Ежемесячный платеж]]&lt;$AC$5, Таблица1[[#This Row],[Ежемесячный платеж]]&gt;$AC$6)</f>
        <v>0</v>
      </c>
      <c r="S1777" s="9">
        <f>(Таблица1[[#This Row],[Размер кредита]]-21824)/(789096-21824)</f>
        <v>7.0851015024658792E-2</v>
      </c>
      <c r="T1777" s="9">
        <f>(Таблица1[[#This Row],[Кредитный рейтинг]]-586)/(751-586)</f>
        <v>0.72121212121212119</v>
      </c>
      <c r="U1777" s="9">
        <f>Таблица1[[#This Row],[Ежемесячный платеж]]/(Таблица1[[#This Row],[Годовой доход]]/12)</f>
        <v>9.950048435328307E-2</v>
      </c>
    </row>
    <row r="1778" spans="1:21" x14ac:dyDescent="0.3">
      <c r="A1778">
        <v>1777</v>
      </c>
      <c r="B1778">
        <v>0</v>
      </c>
      <c r="C1778" s="9">
        <v>105248</v>
      </c>
      <c r="D1778">
        <v>652</v>
      </c>
      <c r="E1778" s="1">
        <v>1117181</v>
      </c>
      <c r="F1778">
        <v>0</v>
      </c>
      <c r="G1778">
        <v>31560.52</v>
      </c>
      <c r="H1778">
        <v>15</v>
      </c>
      <c r="I1778">
        <v>25</v>
      </c>
      <c r="J1778">
        <v>403180</v>
      </c>
      <c r="K1778">
        <v>745734</v>
      </c>
      <c r="L1778" t="s">
        <v>41</v>
      </c>
      <c r="M1778" s="2" t="s">
        <v>1816</v>
      </c>
      <c r="N1778" t="s">
        <v>68</v>
      </c>
      <c r="O1778" t="s">
        <v>34</v>
      </c>
      <c r="P1778" t="s">
        <v>22</v>
      </c>
      <c r="Q1778" t="s">
        <v>36</v>
      </c>
      <c r="R1778" t="b">
        <f>OR(Таблица1[[#This Row],[Ежемесячный платеж]]&lt;$AC$5, Таблица1[[#This Row],[Ежемесячный платеж]]&gt;$AC$6)</f>
        <v>0</v>
      </c>
      <c r="S1778" s="9">
        <f>(Таблица1[[#This Row],[Размер кредита]]-21824)/(789096-21824)</f>
        <v>0.10872806514508544</v>
      </c>
      <c r="T1778" s="9">
        <f>(Таблица1[[#This Row],[Кредитный рейтинг]]-586)/(751-586)</f>
        <v>0.4</v>
      </c>
      <c r="U1778" s="9">
        <f>Таблица1[[#This Row],[Ежемесячный платеж]]/(Таблица1[[#This Row],[Годовой доход]]/12)</f>
        <v>0.33900168370210376</v>
      </c>
    </row>
    <row r="1779" spans="1:21" x14ac:dyDescent="0.3">
      <c r="A1779">
        <v>1778</v>
      </c>
      <c r="B1779">
        <v>1</v>
      </c>
      <c r="C1779" s="9">
        <v>184536</v>
      </c>
      <c r="D1779">
        <f>$Y$13</f>
        <v>723</v>
      </c>
      <c r="E1779">
        <f>$AB$13</f>
        <v>1168044</v>
      </c>
      <c r="F1779">
        <v>0</v>
      </c>
      <c r="G1779">
        <v>15721.17</v>
      </c>
      <c r="H1779">
        <v>18.5</v>
      </c>
      <c r="I1779">
        <v>10</v>
      </c>
      <c r="J1779">
        <v>55138</v>
      </c>
      <c r="K1779">
        <v>249392</v>
      </c>
      <c r="L1779" t="s">
        <v>29</v>
      </c>
      <c r="M1779" t="s">
        <v>1817</v>
      </c>
      <c r="N1779" t="s">
        <v>26</v>
      </c>
      <c r="O1779" t="s">
        <v>21</v>
      </c>
      <c r="P1779" t="s">
        <v>22</v>
      </c>
      <c r="Q1779" t="s">
        <v>23</v>
      </c>
      <c r="R1779" t="b">
        <f>OR(Таблица1[[#This Row],[Ежемесячный платеж]]&lt;$AC$5, Таблица1[[#This Row],[Ежемесячный платеж]]&gt;$AC$6)</f>
        <v>0</v>
      </c>
      <c r="S1779" s="9">
        <f>(Таблица1[[#This Row],[Размер кредита]]-21824)/(789096-21824)</f>
        <v>0.21206560385365295</v>
      </c>
      <c r="T1779" s="9">
        <f>(Таблица1[[#This Row],[Кредитный рейтинг]]-586)/(751-586)</f>
        <v>0.83030303030303032</v>
      </c>
      <c r="U1779" s="9">
        <f>Таблица1[[#This Row],[Ежемесячный платеж]]/(Таблица1[[#This Row],[Годовой доход]]/12)</f>
        <v>0.16151278547725942</v>
      </c>
    </row>
    <row r="1780" spans="1:21" x14ac:dyDescent="0.3">
      <c r="A1780">
        <v>1779</v>
      </c>
      <c r="B1780">
        <v>0</v>
      </c>
      <c r="D1780">
        <v>637</v>
      </c>
      <c r="E1780" s="1">
        <v>1482760</v>
      </c>
      <c r="F1780">
        <v>0</v>
      </c>
      <c r="G1780">
        <v>10552.22</v>
      </c>
      <c r="H1780">
        <v>8.1999999999999993</v>
      </c>
      <c r="I1780">
        <v>5</v>
      </c>
      <c r="J1780">
        <v>22724</v>
      </c>
      <c r="K1780">
        <v>268488</v>
      </c>
      <c r="L1780" t="s">
        <v>63</v>
      </c>
      <c r="M1780" t="s">
        <v>1818</v>
      </c>
      <c r="N1780" t="s">
        <v>2041</v>
      </c>
      <c r="O1780" t="s">
        <v>34</v>
      </c>
      <c r="P1780" t="s">
        <v>31</v>
      </c>
      <c r="Q1780" t="s">
        <v>23</v>
      </c>
      <c r="R1780" t="b">
        <f>OR(Таблица1[[#This Row],[Ежемесячный платеж]]&lt;$AC$5, Таблица1[[#This Row],[Ежемесячный платеж]]&gt;$AC$6)</f>
        <v>0</v>
      </c>
      <c r="T1780" s="9">
        <f>(Таблица1[[#This Row],[Кредитный рейтинг]]-586)/(751-586)</f>
        <v>0.30909090909090908</v>
      </c>
      <c r="U1780" s="9">
        <f>Таблица1[[#This Row],[Ежемесячный платеж]]/(Таблица1[[#This Row],[Годовой доход]]/12)</f>
        <v>8.5399282419272166E-2</v>
      </c>
    </row>
    <row r="1781" spans="1:21" x14ac:dyDescent="0.3">
      <c r="A1781">
        <v>1780</v>
      </c>
      <c r="B1781">
        <v>0</v>
      </c>
      <c r="C1781" s="9">
        <v>353628</v>
      </c>
      <c r="D1781">
        <f>$Y$13</f>
        <v>723</v>
      </c>
      <c r="E1781">
        <f>$AB$13</f>
        <v>1168044</v>
      </c>
      <c r="F1781">
        <v>23</v>
      </c>
      <c r="G1781">
        <v>24350.78</v>
      </c>
      <c r="H1781">
        <v>26.9</v>
      </c>
      <c r="I1781">
        <v>10</v>
      </c>
      <c r="J1781">
        <v>299060</v>
      </c>
      <c r="K1781">
        <v>490490</v>
      </c>
      <c r="L1781" t="s">
        <v>32</v>
      </c>
      <c r="M1781" t="s">
        <v>1819</v>
      </c>
      <c r="N1781" t="s">
        <v>26</v>
      </c>
      <c r="O1781" t="s">
        <v>21</v>
      </c>
      <c r="P1781" t="s">
        <v>22</v>
      </c>
      <c r="Q1781" t="s">
        <v>23</v>
      </c>
      <c r="R1781" t="b">
        <f>OR(Таблица1[[#This Row],[Ежемесячный платеж]]&lt;$AC$5, Таблица1[[#This Row],[Ежемесячный платеж]]&gt;$AC$6)</f>
        <v>0</v>
      </c>
      <c r="S1781" s="9">
        <f>(Таблица1[[#This Row],[Размер кредита]]-21824)/(789096-21824)</f>
        <v>0.43244638146576442</v>
      </c>
      <c r="T1781" s="9">
        <f>(Таблица1[[#This Row],[Кредитный рейтинг]]-586)/(751-586)</f>
        <v>0.83030303030303032</v>
      </c>
      <c r="U1781" s="9">
        <f>Таблица1[[#This Row],[Ежемесячный платеж]]/(Таблица1[[#This Row],[Годовой доход]]/12)</f>
        <v>0.25016982236970525</v>
      </c>
    </row>
    <row r="1782" spans="1:21" x14ac:dyDescent="0.3">
      <c r="A1782">
        <v>1781</v>
      </c>
      <c r="B1782">
        <v>0</v>
      </c>
      <c r="C1782" s="9">
        <v>620488</v>
      </c>
      <c r="D1782">
        <f>$Y$13</f>
        <v>723</v>
      </c>
      <c r="E1782">
        <f>$AB$13</f>
        <v>1168044</v>
      </c>
      <c r="F1782">
        <v>7</v>
      </c>
      <c r="G1782">
        <v>35051.01</v>
      </c>
      <c r="H1782">
        <v>14.2</v>
      </c>
      <c r="I1782">
        <v>7</v>
      </c>
      <c r="J1782">
        <v>141987</v>
      </c>
      <c r="K1782">
        <v>233508</v>
      </c>
      <c r="L1782" t="s">
        <v>24</v>
      </c>
      <c r="M1782" t="s">
        <v>1820</v>
      </c>
      <c r="N1782" t="s">
        <v>26</v>
      </c>
      <c r="O1782" t="s">
        <v>21</v>
      </c>
      <c r="P1782" t="s">
        <v>31</v>
      </c>
      <c r="Q1782" t="s">
        <v>23</v>
      </c>
      <c r="R1782" t="b">
        <f>OR(Таблица1[[#This Row],[Ежемесячный платеж]]&lt;$AC$5, Таблица1[[#This Row],[Ежемесячный платеж]]&gt;$AC$6)</f>
        <v>0</v>
      </c>
      <c r="S1782" s="9">
        <f>(Таблица1[[#This Row],[Размер кредита]]-21824)/(789096-21824)</f>
        <v>0.78025002867301296</v>
      </c>
      <c r="T1782" s="9">
        <f>(Таблица1[[#This Row],[Кредитный рейтинг]]-586)/(751-586)</f>
        <v>0.83030303030303032</v>
      </c>
      <c r="U1782" s="9">
        <f>Таблица1[[#This Row],[Ежемесячный платеж]]/(Таблица1[[#This Row],[Годовой доход]]/12)</f>
        <v>0.36009955104431002</v>
      </c>
    </row>
    <row r="1783" spans="1:21" x14ac:dyDescent="0.3">
      <c r="A1783">
        <v>1782</v>
      </c>
      <c r="B1783">
        <v>0</v>
      </c>
      <c r="C1783" s="9">
        <v>266486</v>
      </c>
      <c r="D1783">
        <v>706</v>
      </c>
      <c r="E1783" s="1">
        <v>1304141</v>
      </c>
      <c r="F1783">
        <v>0</v>
      </c>
      <c r="G1783">
        <v>28147.93</v>
      </c>
      <c r="H1783">
        <v>16.399999999999999</v>
      </c>
      <c r="I1783">
        <v>10</v>
      </c>
      <c r="J1783">
        <v>761672</v>
      </c>
      <c r="K1783">
        <v>1070322</v>
      </c>
      <c r="L1783" t="s">
        <v>24</v>
      </c>
      <c r="M1783" t="s">
        <v>1821</v>
      </c>
      <c r="N1783" t="s">
        <v>103</v>
      </c>
      <c r="O1783" t="s">
        <v>21</v>
      </c>
      <c r="P1783" t="s">
        <v>22</v>
      </c>
      <c r="Q1783" t="s">
        <v>23</v>
      </c>
      <c r="R1783" t="b">
        <f>OR(Таблица1[[#This Row],[Ежемесячный платеж]]&lt;$AC$5, Таблица1[[#This Row],[Ежемесячный платеж]]&gt;$AC$6)</f>
        <v>0</v>
      </c>
      <c r="S1783" s="9">
        <f>(Таблица1[[#This Row],[Размер кредита]]-21824)/(789096-21824)</f>
        <v>0.31887257713040484</v>
      </c>
      <c r="T1783" s="9">
        <f>(Таблица1[[#This Row],[Кредитный рейтинг]]-586)/(751-586)</f>
        <v>0.72727272727272729</v>
      </c>
      <c r="U1783" s="9">
        <f>Таблица1[[#This Row],[Ежемесячный платеж]]/(Таблица1[[#This Row],[Годовой доход]]/12)</f>
        <v>0.25900202508777809</v>
      </c>
    </row>
    <row r="1784" spans="1:21" x14ac:dyDescent="0.3">
      <c r="A1784">
        <v>1783</v>
      </c>
      <c r="B1784">
        <v>0</v>
      </c>
      <c r="C1784" s="9">
        <v>224994</v>
      </c>
      <c r="D1784">
        <v>735</v>
      </c>
      <c r="E1784" s="1">
        <v>1282462</v>
      </c>
      <c r="F1784">
        <v>14</v>
      </c>
      <c r="G1784">
        <v>17740.87</v>
      </c>
      <c r="H1784">
        <v>14.7</v>
      </c>
      <c r="I1784">
        <v>17</v>
      </c>
      <c r="J1784">
        <v>274189</v>
      </c>
      <c r="K1784">
        <v>851180</v>
      </c>
      <c r="L1784" t="s">
        <v>32</v>
      </c>
      <c r="M1784" t="s">
        <v>1822</v>
      </c>
      <c r="N1784" t="s">
        <v>26</v>
      </c>
      <c r="O1784" t="s">
        <v>21</v>
      </c>
      <c r="P1784" t="s">
        <v>22</v>
      </c>
      <c r="Q1784" t="s">
        <v>23</v>
      </c>
      <c r="R1784" t="b">
        <f>OR(Таблица1[[#This Row],[Ежемесячный платеж]]&lt;$AC$5, Таблица1[[#This Row],[Ежемесячный платеж]]&gt;$AC$6)</f>
        <v>0</v>
      </c>
      <c r="S1784" s="9">
        <f>(Таблица1[[#This Row],[Размер кредита]]-21824)/(789096-21824)</f>
        <v>0.26479527468746417</v>
      </c>
      <c r="T1784" s="9">
        <f>(Таблица1[[#This Row],[Кредитный рейтинг]]-586)/(751-586)</f>
        <v>0.90303030303030307</v>
      </c>
      <c r="U1784" s="9">
        <f>Таблица1[[#This Row],[Ежемесячный платеж]]/(Таблица1[[#This Row],[Годовой доход]]/12)</f>
        <v>0.16600136300334825</v>
      </c>
    </row>
    <row r="1785" spans="1:21" x14ac:dyDescent="0.3">
      <c r="A1785">
        <v>1784</v>
      </c>
      <c r="B1785">
        <v>0</v>
      </c>
      <c r="D1785">
        <v>729</v>
      </c>
      <c r="E1785" s="1">
        <v>629698</v>
      </c>
      <c r="F1785">
        <v>46</v>
      </c>
      <c r="G1785">
        <v>13066.11</v>
      </c>
      <c r="H1785">
        <v>28.1</v>
      </c>
      <c r="I1785">
        <v>7</v>
      </c>
      <c r="J1785">
        <v>240331</v>
      </c>
      <c r="K1785">
        <v>302808</v>
      </c>
      <c r="L1785" t="s">
        <v>52</v>
      </c>
      <c r="M1785" t="s">
        <v>1823</v>
      </c>
      <c r="N1785" t="s">
        <v>26</v>
      </c>
      <c r="O1785" t="s">
        <v>34</v>
      </c>
      <c r="P1785" t="s">
        <v>22</v>
      </c>
      <c r="Q1785" t="s">
        <v>23</v>
      </c>
      <c r="R1785" t="b">
        <f>OR(Таблица1[[#This Row],[Ежемесячный платеж]]&lt;$AC$5, Таблица1[[#This Row],[Ежемесячный платеж]]&gt;$AC$6)</f>
        <v>0</v>
      </c>
      <c r="T1785" s="9">
        <f>(Таблица1[[#This Row],[Кредитный рейтинг]]-586)/(751-586)</f>
        <v>0.8666666666666667</v>
      </c>
      <c r="U1785" s="9">
        <f>Таблица1[[#This Row],[Ежемесячный платеж]]/(Таблица1[[#This Row],[Годовой доход]]/12)</f>
        <v>0.24899764649085751</v>
      </c>
    </row>
    <row r="1786" spans="1:21" x14ac:dyDescent="0.3">
      <c r="A1786">
        <v>1785</v>
      </c>
      <c r="B1786">
        <v>0</v>
      </c>
      <c r="C1786" s="9">
        <v>176836</v>
      </c>
      <c r="D1786">
        <f>$Y$13</f>
        <v>723</v>
      </c>
      <c r="E1786">
        <f>$AB$13</f>
        <v>1168044</v>
      </c>
      <c r="F1786">
        <v>39</v>
      </c>
      <c r="G1786">
        <v>16852.810000000001</v>
      </c>
      <c r="H1786">
        <v>14.8</v>
      </c>
      <c r="I1786">
        <v>9</v>
      </c>
      <c r="J1786">
        <v>154280</v>
      </c>
      <c r="K1786">
        <v>207724</v>
      </c>
      <c r="L1786" t="s">
        <v>37</v>
      </c>
      <c r="M1786" t="s">
        <v>1824</v>
      </c>
      <c r="N1786" t="s">
        <v>26</v>
      </c>
      <c r="O1786" t="s">
        <v>34</v>
      </c>
      <c r="P1786" t="s">
        <v>22</v>
      </c>
      <c r="Q1786" t="s">
        <v>23</v>
      </c>
      <c r="R1786" t="b">
        <f>OR(Таблица1[[#This Row],[Ежемесячный платеж]]&lt;$AC$5, Таблица1[[#This Row],[Ежемесячный платеж]]&gt;$AC$6)</f>
        <v>0</v>
      </c>
      <c r="S1786" s="9">
        <f>(Таблица1[[#This Row],[Размер кредита]]-21824)/(789096-21824)</f>
        <v>0.20203004931758228</v>
      </c>
      <c r="T1786" s="9">
        <f>(Таблица1[[#This Row],[Кредитный рейтинг]]-586)/(751-586)</f>
        <v>0.83030303030303032</v>
      </c>
      <c r="U1786" s="9">
        <f>Таблица1[[#This Row],[Ежемесячный платеж]]/(Таблица1[[#This Row],[Годовой доход]]/12)</f>
        <v>0.17313878586765569</v>
      </c>
    </row>
    <row r="1787" spans="1:21" x14ac:dyDescent="0.3">
      <c r="A1787">
        <v>1786</v>
      </c>
      <c r="B1787">
        <v>0</v>
      </c>
      <c r="D1787">
        <v>721</v>
      </c>
      <c r="E1787" s="1">
        <v>2344429</v>
      </c>
      <c r="F1787">
        <v>21</v>
      </c>
      <c r="G1787">
        <v>13597.73</v>
      </c>
      <c r="H1787">
        <v>13.2</v>
      </c>
      <c r="I1787">
        <v>10</v>
      </c>
      <c r="J1787">
        <v>234213</v>
      </c>
      <c r="K1787">
        <v>376134</v>
      </c>
      <c r="L1787" t="s">
        <v>41</v>
      </c>
      <c r="M1787" t="s">
        <v>1825</v>
      </c>
      <c r="N1787" t="s">
        <v>20</v>
      </c>
      <c r="O1787" t="s">
        <v>34</v>
      </c>
      <c r="P1787" t="s">
        <v>22</v>
      </c>
      <c r="Q1787" t="s">
        <v>23</v>
      </c>
      <c r="R1787" t="b">
        <f>OR(Таблица1[[#This Row],[Ежемесячный платеж]]&lt;$AC$5, Таблица1[[#This Row],[Ежемесячный платеж]]&gt;$AC$6)</f>
        <v>0</v>
      </c>
      <c r="T1787" s="9">
        <f>(Таблица1[[#This Row],[Кредитный рейтинг]]-586)/(751-586)</f>
        <v>0.81818181818181823</v>
      </c>
      <c r="U1787" s="9">
        <f>Таблица1[[#This Row],[Ежемесячный платеж]]/(Таблица1[[#This Row],[Годовой доход]]/12)</f>
        <v>6.9600213954016096E-2</v>
      </c>
    </row>
    <row r="1788" spans="1:21" x14ac:dyDescent="0.3">
      <c r="A1788">
        <v>1787</v>
      </c>
      <c r="B1788">
        <v>0</v>
      </c>
      <c r="C1788" s="9">
        <v>206382</v>
      </c>
      <c r="D1788">
        <v>665</v>
      </c>
      <c r="E1788" s="1">
        <v>1336802</v>
      </c>
      <c r="F1788">
        <v>0</v>
      </c>
      <c r="G1788">
        <v>22168.82</v>
      </c>
      <c r="H1788">
        <v>15.9</v>
      </c>
      <c r="I1788">
        <v>16</v>
      </c>
      <c r="J1788">
        <v>846222</v>
      </c>
      <c r="K1788">
        <v>1092344</v>
      </c>
      <c r="L1788" t="s">
        <v>24</v>
      </c>
      <c r="M1788" t="s">
        <v>1826</v>
      </c>
      <c r="N1788" t="s">
        <v>68</v>
      </c>
      <c r="O1788" t="s">
        <v>28</v>
      </c>
      <c r="P1788" t="s">
        <v>22</v>
      </c>
      <c r="Q1788" t="s">
        <v>23</v>
      </c>
      <c r="R1788" t="b">
        <f>OR(Таблица1[[#This Row],[Ежемесячный платеж]]&lt;$AC$5, Таблица1[[#This Row],[Ежемесячный платеж]]&gt;$AC$6)</f>
        <v>0</v>
      </c>
      <c r="S1788" s="9">
        <f>(Таблица1[[#This Row],[Размер кредита]]-21824)/(789096-21824)</f>
        <v>0.24053790572313338</v>
      </c>
      <c r="T1788" s="9">
        <f>(Таблица1[[#This Row],[Кредитный рейтинг]]-586)/(751-586)</f>
        <v>0.47878787878787876</v>
      </c>
      <c r="U1788" s="9">
        <f>Таблица1[[#This Row],[Ежемесячный платеж]]/(Таблица1[[#This Row],[Годовой доход]]/12)</f>
        <v>0.19900167713692826</v>
      </c>
    </row>
    <row r="1789" spans="1:21" x14ac:dyDescent="0.3">
      <c r="A1789">
        <v>1788</v>
      </c>
      <c r="B1789">
        <v>0</v>
      </c>
      <c r="C1789" s="9">
        <v>297330</v>
      </c>
      <c r="D1789">
        <v>732</v>
      </c>
      <c r="E1789" s="1">
        <v>803035</v>
      </c>
      <c r="F1789">
        <v>0</v>
      </c>
      <c r="G1789">
        <v>9034.1200000000008</v>
      </c>
      <c r="H1789">
        <v>11.1</v>
      </c>
      <c r="I1789">
        <v>9</v>
      </c>
      <c r="J1789">
        <v>213237</v>
      </c>
      <c r="K1789">
        <v>447282</v>
      </c>
      <c r="L1789" t="s">
        <v>24</v>
      </c>
      <c r="M1789" t="s">
        <v>1827</v>
      </c>
      <c r="N1789" t="s">
        <v>20</v>
      </c>
      <c r="O1789" t="s">
        <v>21</v>
      </c>
      <c r="P1789" t="s">
        <v>22</v>
      </c>
      <c r="Q1789" t="s">
        <v>36</v>
      </c>
      <c r="R1789" t="b">
        <f>OR(Таблица1[[#This Row],[Ежемесячный платеж]]&lt;$AC$5, Таблица1[[#This Row],[Ежемесячный платеж]]&gt;$AC$6)</f>
        <v>0</v>
      </c>
      <c r="S1789" s="9">
        <f>(Таблица1[[#This Row],[Размер кредита]]-21824)/(789096-21824)</f>
        <v>0.35907214130060788</v>
      </c>
      <c r="T1789" s="9">
        <f>(Таблица1[[#This Row],[Кредитный рейтинг]]-586)/(751-586)</f>
        <v>0.88484848484848488</v>
      </c>
      <c r="U1789" s="9">
        <f>Таблица1[[#This Row],[Ежемесячный платеж]]/(Таблица1[[#This Row],[Годовой доход]]/12)</f>
        <v>0.13499964509641549</v>
      </c>
    </row>
    <row r="1790" spans="1:21" x14ac:dyDescent="0.3">
      <c r="A1790">
        <v>1789</v>
      </c>
      <c r="B1790">
        <v>0</v>
      </c>
      <c r="C1790" s="9">
        <v>766920</v>
      </c>
      <c r="D1790">
        <f>$Y$13</f>
        <v>723</v>
      </c>
      <c r="E1790">
        <f>$AB$13</f>
        <v>1168044</v>
      </c>
      <c r="F1790">
        <v>7</v>
      </c>
      <c r="G1790">
        <v>43296.63</v>
      </c>
      <c r="H1790">
        <v>18.5</v>
      </c>
      <c r="I1790">
        <v>15</v>
      </c>
      <c r="J1790">
        <v>125780</v>
      </c>
      <c r="K1790">
        <v>241538</v>
      </c>
      <c r="L1790" t="s">
        <v>18</v>
      </c>
      <c r="M1790" t="s">
        <v>1828</v>
      </c>
      <c r="N1790" t="s">
        <v>26</v>
      </c>
      <c r="O1790" t="s">
        <v>21</v>
      </c>
      <c r="P1790" t="s">
        <v>22</v>
      </c>
      <c r="Q1790" t="s">
        <v>23</v>
      </c>
      <c r="R1790" t="b">
        <f>OR(Таблица1[[#This Row],[Ежемесячный платеж]]&lt;$AC$5, Таблица1[[#This Row],[Ежемесячный платеж]]&gt;$AC$6)</f>
        <v>0</v>
      </c>
      <c r="S1790" s="9">
        <f>(Таблица1[[#This Row],[Размер кредита]]-21824)/(789096-21824)</f>
        <v>0.97109760293611658</v>
      </c>
      <c r="T1790" s="9">
        <f>(Таблица1[[#This Row],[Кредитный рейтинг]]-586)/(751-586)</f>
        <v>0.83030303030303032</v>
      </c>
      <c r="U1790" s="9">
        <f>Таблица1[[#This Row],[Ежемесячный платеж]]/(Таблица1[[#This Row],[Годовой доход]]/12)</f>
        <v>0.4448116338083154</v>
      </c>
    </row>
    <row r="1791" spans="1:21" x14ac:dyDescent="0.3">
      <c r="A1791">
        <v>1790</v>
      </c>
      <c r="B1791">
        <v>0</v>
      </c>
      <c r="C1791" s="9">
        <v>720126</v>
      </c>
      <c r="D1791">
        <v>676</v>
      </c>
      <c r="E1791" s="1">
        <v>1920919</v>
      </c>
      <c r="F1791">
        <v>5</v>
      </c>
      <c r="G1791">
        <v>31855.21</v>
      </c>
      <c r="H1791">
        <v>24.3</v>
      </c>
      <c r="I1791">
        <v>25</v>
      </c>
      <c r="J1791">
        <v>554401</v>
      </c>
      <c r="K1791">
        <v>1017346</v>
      </c>
      <c r="L1791" t="s">
        <v>24</v>
      </c>
      <c r="M1791" t="s">
        <v>1829</v>
      </c>
      <c r="N1791" t="s">
        <v>26</v>
      </c>
      <c r="O1791" t="s">
        <v>28</v>
      </c>
      <c r="P1791" t="s">
        <v>22</v>
      </c>
      <c r="Q1791" t="s">
        <v>23</v>
      </c>
      <c r="R1791" t="b">
        <f>OR(Таблица1[[#This Row],[Ежемесячный платеж]]&lt;$AC$5, Таблица1[[#This Row],[Ежемесячный платеж]]&gt;$AC$6)</f>
        <v>0</v>
      </c>
      <c r="S1791" s="9">
        <f>(Таблица1[[#This Row],[Размер кредита]]-21824)/(789096-21824)</f>
        <v>0.91011010436976714</v>
      </c>
      <c r="T1791" s="9">
        <f>(Таблица1[[#This Row],[Кредитный рейтинг]]-586)/(751-586)</f>
        <v>0.54545454545454541</v>
      </c>
      <c r="U1791" s="9">
        <f>Таблица1[[#This Row],[Ежемесячный платеж]]/(Таблица1[[#This Row],[Годовой доход]]/12)</f>
        <v>0.19899981206911899</v>
      </c>
    </row>
    <row r="1792" spans="1:21" x14ac:dyDescent="0.3">
      <c r="A1792">
        <v>1791</v>
      </c>
      <c r="B1792">
        <v>0</v>
      </c>
      <c r="C1792" s="9">
        <v>177276</v>
      </c>
      <c r="D1792">
        <f>$Y$13</f>
        <v>723</v>
      </c>
      <c r="E1792">
        <f>$AB$13</f>
        <v>1168044</v>
      </c>
      <c r="F1792">
        <v>23</v>
      </c>
      <c r="G1792">
        <v>15507.04</v>
      </c>
      <c r="H1792">
        <v>20.100000000000001</v>
      </c>
      <c r="I1792">
        <v>9</v>
      </c>
      <c r="J1792">
        <v>127376</v>
      </c>
      <c r="K1792">
        <v>203984</v>
      </c>
      <c r="L1792" t="s">
        <v>41</v>
      </c>
      <c r="M1792" t="s">
        <v>1830</v>
      </c>
      <c r="N1792" t="s">
        <v>26</v>
      </c>
      <c r="O1792" t="s">
        <v>21</v>
      </c>
      <c r="P1792" t="s">
        <v>22</v>
      </c>
      <c r="Q1792" t="s">
        <v>23</v>
      </c>
      <c r="R1792" t="b">
        <f>OR(Таблица1[[#This Row],[Ежемесячный платеж]]&lt;$AC$5, Таблица1[[#This Row],[Ежемесячный платеж]]&gt;$AC$6)</f>
        <v>0</v>
      </c>
      <c r="S1792" s="9">
        <f>(Таблица1[[#This Row],[Размер кредита]]-21824)/(789096-21824)</f>
        <v>0.20260350957678633</v>
      </c>
      <c r="T1792" s="9">
        <f>(Таблица1[[#This Row],[Кредитный рейтинг]]-586)/(751-586)</f>
        <v>0.83030303030303032</v>
      </c>
      <c r="U1792" s="9">
        <f>Таблица1[[#This Row],[Ежемесячный платеж]]/(Таблица1[[#This Row],[Годовой доход]]/12)</f>
        <v>0.15931290259613509</v>
      </c>
    </row>
    <row r="1793" spans="1:21" x14ac:dyDescent="0.3">
      <c r="A1793">
        <v>1792</v>
      </c>
      <c r="B1793">
        <v>0</v>
      </c>
      <c r="C1793" s="9">
        <v>400708</v>
      </c>
      <c r="D1793">
        <f>$Y$13</f>
        <v>723</v>
      </c>
      <c r="E1793">
        <f>$AB$13</f>
        <v>1168044</v>
      </c>
      <c r="F1793">
        <v>6</v>
      </c>
      <c r="G1793">
        <v>8381.66</v>
      </c>
      <c r="H1793">
        <v>34.1</v>
      </c>
      <c r="I1793">
        <v>14</v>
      </c>
      <c r="J1793">
        <v>176073</v>
      </c>
      <c r="K1793">
        <v>350284</v>
      </c>
      <c r="L1793" t="s">
        <v>24</v>
      </c>
      <c r="M1793" t="s">
        <v>1831</v>
      </c>
      <c r="N1793" t="s">
        <v>26</v>
      </c>
      <c r="O1793" t="s">
        <v>21</v>
      </c>
      <c r="P1793" t="s">
        <v>22</v>
      </c>
      <c r="Q1793" t="s">
        <v>36</v>
      </c>
      <c r="R1793" t="b">
        <f>OR(Таблица1[[#This Row],[Ежемесячный платеж]]&lt;$AC$5, Таблица1[[#This Row],[Ежемесячный платеж]]&gt;$AC$6)</f>
        <v>0</v>
      </c>
      <c r="S1793" s="9">
        <f>(Таблица1[[#This Row],[Размер кредита]]-21824)/(789096-21824)</f>
        <v>0.49380662920059643</v>
      </c>
      <c r="T1793" s="9">
        <f>(Таблица1[[#This Row],[Кредитный рейтинг]]-586)/(751-586)</f>
        <v>0.83030303030303032</v>
      </c>
      <c r="U1793" s="9">
        <f>Таблица1[[#This Row],[Ежемесячный платеж]]/(Таблица1[[#This Row],[Годовой доход]]/12)</f>
        <v>8.6109701346867074E-2</v>
      </c>
    </row>
    <row r="1794" spans="1:21" x14ac:dyDescent="0.3">
      <c r="A1794">
        <v>1793</v>
      </c>
      <c r="B1794">
        <v>0</v>
      </c>
      <c r="C1794" s="9">
        <v>393778</v>
      </c>
      <c r="D1794">
        <v>710</v>
      </c>
      <c r="E1794" s="1">
        <v>1757101</v>
      </c>
      <c r="F1794">
        <v>38</v>
      </c>
      <c r="G1794">
        <v>15667.59</v>
      </c>
      <c r="H1794">
        <v>19.600000000000001</v>
      </c>
      <c r="I1794">
        <v>9</v>
      </c>
      <c r="J1794">
        <v>286539</v>
      </c>
      <c r="K1794">
        <v>282128</v>
      </c>
      <c r="L1794" t="s">
        <v>50</v>
      </c>
      <c r="M1794" t="s">
        <v>1832</v>
      </c>
      <c r="N1794" t="s">
        <v>26</v>
      </c>
      <c r="O1794" t="s">
        <v>21</v>
      </c>
      <c r="P1794" t="s">
        <v>22</v>
      </c>
      <c r="Q1794" t="s">
        <v>23</v>
      </c>
      <c r="R1794" t="b">
        <f>OR(Таблица1[[#This Row],[Ежемесячный платеж]]&lt;$AC$5, Таблица1[[#This Row],[Ежемесячный платеж]]&gt;$AC$6)</f>
        <v>0</v>
      </c>
      <c r="S1794" s="9">
        <f>(Таблица1[[#This Row],[Размер кредита]]-21824)/(789096-21824)</f>
        <v>0.48477463011813282</v>
      </c>
      <c r="T1794" s="9">
        <f>(Таблица1[[#This Row],[Кредитный рейтинг]]-586)/(751-586)</f>
        <v>0.75151515151515147</v>
      </c>
      <c r="U1794" s="9">
        <f>Таблица1[[#This Row],[Ежемесячный платеж]]/(Таблица1[[#This Row],[Годовой доход]]/12)</f>
        <v>0.10700072448880285</v>
      </c>
    </row>
    <row r="1795" spans="1:21" x14ac:dyDescent="0.3">
      <c r="A1795">
        <v>1794</v>
      </c>
      <c r="B1795">
        <v>1</v>
      </c>
      <c r="C1795" s="9">
        <v>370282</v>
      </c>
      <c r="D1795">
        <v>680</v>
      </c>
      <c r="E1795" s="1">
        <v>999001</v>
      </c>
      <c r="F1795">
        <v>0</v>
      </c>
      <c r="G1795">
        <v>11155.47</v>
      </c>
      <c r="H1795">
        <v>15.5</v>
      </c>
      <c r="I1795">
        <v>10</v>
      </c>
      <c r="J1795">
        <v>26904</v>
      </c>
      <c r="K1795">
        <v>255288</v>
      </c>
      <c r="L1795" t="s">
        <v>29</v>
      </c>
      <c r="M1795" t="s">
        <v>1833</v>
      </c>
      <c r="N1795" t="s">
        <v>26</v>
      </c>
      <c r="O1795" t="s">
        <v>21</v>
      </c>
      <c r="P1795" t="s">
        <v>31</v>
      </c>
      <c r="Q1795" t="s">
        <v>36</v>
      </c>
      <c r="R1795" t="b">
        <f>OR(Таблица1[[#This Row],[Ежемесячный платеж]]&lt;$AC$5, Таблица1[[#This Row],[Ежемесячный платеж]]&gt;$AC$6)</f>
        <v>0</v>
      </c>
      <c r="S1795" s="9">
        <f>(Таблица1[[#This Row],[Размер кредита]]-21824)/(789096-21824)</f>
        <v>0.45415185227663724</v>
      </c>
      <c r="T1795" s="9">
        <f>(Таблица1[[#This Row],[Кредитный рейтинг]]-586)/(751-586)</f>
        <v>0.5696969696969697</v>
      </c>
      <c r="U1795" s="9">
        <f>Таблица1[[#This Row],[Ежемесячный платеж]]/(Таблица1[[#This Row],[Годовой доход]]/12)</f>
        <v>0.13399950550600048</v>
      </c>
    </row>
    <row r="1796" spans="1:21" x14ac:dyDescent="0.3">
      <c r="A1796">
        <v>1795</v>
      </c>
      <c r="B1796">
        <v>1</v>
      </c>
      <c r="C1796" s="9">
        <v>436876</v>
      </c>
      <c r="D1796">
        <v>721</v>
      </c>
      <c r="E1796" s="1">
        <v>886654</v>
      </c>
      <c r="F1796">
        <v>54</v>
      </c>
      <c r="G1796">
        <v>11305</v>
      </c>
      <c r="H1796">
        <v>25.5</v>
      </c>
      <c r="I1796">
        <v>10</v>
      </c>
      <c r="J1796">
        <v>364667</v>
      </c>
      <c r="K1796">
        <v>497926</v>
      </c>
      <c r="L1796" t="s">
        <v>24</v>
      </c>
      <c r="M1796" t="s">
        <v>1834</v>
      </c>
      <c r="N1796" t="s">
        <v>26</v>
      </c>
      <c r="O1796" t="s">
        <v>34</v>
      </c>
      <c r="P1796" t="s">
        <v>31</v>
      </c>
      <c r="Q1796" t="s">
        <v>23</v>
      </c>
      <c r="R1796" t="b">
        <f>OR(Таблица1[[#This Row],[Ежемесячный платеж]]&lt;$AC$5, Таблица1[[#This Row],[Ежемесячный платеж]]&gt;$AC$6)</f>
        <v>0</v>
      </c>
      <c r="S1796" s="9">
        <f>(Таблица1[[#This Row],[Размер кредита]]-21824)/(789096-21824)</f>
        <v>0.54094506250716823</v>
      </c>
      <c r="T1796" s="9">
        <f>(Таблица1[[#This Row],[Кредитный рейтинг]]-586)/(751-586)</f>
        <v>0.81818181818181823</v>
      </c>
      <c r="U1796" s="9">
        <f>Таблица1[[#This Row],[Ежемесячный платеж]]/(Таблица1[[#This Row],[Годовой доход]]/12)</f>
        <v>0.15300218574551067</v>
      </c>
    </row>
    <row r="1797" spans="1:21" x14ac:dyDescent="0.3">
      <c r="A1797">
        <v>1796</v>
      </c>
      <c r="B1797">
        <v>0</v>
      </c>
      <c r="C1797" s="9">
        <v>270204</v>
      </c>
      <c r="D1797">
        <v>749</v>
      </c>
      <c r="E1797" s="1">
        <v>1633506</v>
      </c>
      <c r="F1797">
        <v>14</v>
      </c>
      <c r="G1797">
        <v>31308.959999999999</v>
      </c>
      <c r="H1797">
        <v>19.5</v>
      </c>
      <c r="I1797">
        <v>15</v>
      </c>
      <c r="J1797">
        <v>605777</v>
      </c>
      <c r="K1797">
        <v>1209362</v>
      </c>
      <c r="L1797" t="s">
        <v>50</v>
      </c>
      <c r="M1797" t="s">
        <v>1835</v>
      </c>
      <c r="N1797" t="s">
        <v>26</v>
      </c>
      <c r="O1797" t="s">
        <v>21</v>
      </c>
      <c r="P1797" t="s">
        <v>22</v>
      </c>
      <c r="Q1797" t="s">
        <v>23</v>
      </c>
      <c r="R1797" t="b">
        <f>OR(Таблица1[[#This Row],[Ежемесячный платеж]]&lt;$AC$5, Таблица1[[#This Row],[Ежемесячный платеж]]&gt;$AC$6)</f>
        <v>0</v>
      </c>
      <c r="S1797" s="9">
        <f>(Таблица1[[#This Row],[Размер кредита]]-21824)/(789096-21824)</f>
        <v>0.32371831632067899</v>
      </c>
      <c r="T1797" s="9">
        <f>(Таблица1[[#This Row],[Кредитный рейтинг]]-586)/(751-586)</f>
        <v>0.98787878787878791</v>
      </c>
      <c r="U1797" s="9">
        <f>Таблица1[[#This Row],[Ежемесячный платеж]]/(Таблица1[[#This Row],[Годовой доход]]/12)</f>
        <v>0.2300006978854072</v>
      </c>
    </row>
    <row r="1798" spans="1:21" x14ac:dyDescent="0.3">
      <c r="A1798">
        <v>1797</v>
      </c>
      <c r="B1798">
        <v>0</v>
      </c>
      <c r="C1798" s="9">
        <v>87934</v>
      </c>
      <c r="D1798">
        <v>729</v>
      </c>
      <c r="E1798" s="1">
        <v>1180964</v>
      </c>
      <c r="F1798">
        <v>0</v>
      </c>
      <c r="G1798">
        <v>23521.05</v>
      </c>
      <c r="H1798">
        <v>16.3</v>
      </c>
      <c r="I1798">
        <v>5</v>
      </c>
      <c r="J1798">
        <v>457254</v>
      </c>
      <c r="K1798">
        <v>545270</v>
      </c>
      <c r="L1798" t="s">
        <v>24</v>
      </c>
      <c r="M1798" t="s">
        <v>1836</v>
      </c>
      <c r="N1798" t="s">
        <v>26</v>
      </c>
      <c r="O1798" t="s">
        <v>28</v>
      </c>
      <c r="P1798" t="s">
        <v>22</v>
      </c>
      <c r="Q1798" t="s">
        <v>23</v>
      </c>
      <c r="R1798" t="b">
        <f>OR(Таблица1[[#This Row],[Ежемесячный платеж]]&lt;$AC$5, Таблица1[[#This Row],[Ежемесячный платеж]]&gt;$AC$6)</f>
        <v>0</v>
      </c>
      <c r="S1798" s="9">
        <f>(Таблица1[[#This Row],[Размер кредита]]-21824)/(789096-21824)</f>
        <v>8.6162403945406585E-2</v>
      </c>
      <c r="T1798" s="9">
        <f>(Таблица1[[#This Row],[Кредитный рейтинг]]-586)/(751-586)</f>
        <v>0.8666666666666667</v>
      </c>
      <c r="U1798" s="9">
        <f>Таблица1[[#This Row],[Ежемесячный платеж]]/(Таблица1[[#This Row],[Годовой доход]]/12)</f>
        <v>0.23900186627196085</v>
      </c>
    </row>
    <row r="1799" spans="1:21" x14ac:dyDescent="0.3">
      <c r="A1799">
        <v>1798</v>
      </c>
      <c r="B1799">
        <v>0</v>
      </c>
      <c r="D1799">
        <v>744</v>
      </c>
      <c r="E1799" s="1">
        <v>1186322</v>
      </c>
      <c r="F1799">
        <v>0</v>
      </c>
      <c r="G1799">
        <v>13593.17</v>
      </c>
      <c r="H1799">
        <v>37</v>
      </c>
      <c r="I1799">
        <v>17</v>
      </c>
      <c r="J1799">
        <v>390127</v>
      </c>
      <c r="K1799">
        <v>955064</v>
      </c>
      <c r="L1799" t="s">
        <v>29</v>
      </c>
      <c r="M1799" t="s">
        <v>1837</v>
      </c>
      <c r="N1799" t="s">
        <v>26</v>
      </c>
      <c r="O1799" t="s">
        <v>34</v>
      </c>
      <c r="P1799" t="s">
        <v>22</v>
      </c>
      <c r="Q1799" t="s">
        <v>23</v>
      </c>
      <c r="R1799" t="b">
        <f>OR(Таблица1[[#This Row],[Ежемесячный платеж]]&lt;$AC$5, Таблица1[[#This Row],[Ежемесячный платеж]]&gt;$AC$6)</f>
        <v>0</v>
      </c>
      <c r="T1799" s="9">
        <f>(Таблица1[[#This Row],[Кредитный рейтинг]]-586)/(751-586)</f>
        <v>0.95757575757575752</v>
      </c>
      <c r="U1799" s="9">
        <f>Таблица1[[#This Row],[Ежемесячный платеж]]/(Таблица1[[#This Row],[Годовой доход]]/12)</f>
        <v>0.13749895896729555</v>
      </c>
    </row>
    <row r="1800" spans="1:21" x14ac:dyDescent="0.3">
      <c r="A1800">
        <v>1799</v>
      </c>
      <c r="B1800">
        <v>1</v>
      </c>
      <c r="C1800" s="9">
        <v>220176</v>
      </c>
      <c r="D1800">
        <v>747</v>
      </c>
      <c r="E1800" s="1">
        <v>1357683</v>
      </c>
      <c r="F1800">
        <v>0</v>
      </c>
      <c r="G1800">
        <v>10420.36</v>
      </c>
      <c r="H1800">
        <v>23.7</v>
      </c>
      <c r="I1800">
        <v>14</v>
      </c>
      <c r="J1800">
        <v>444448</v>
      </c>
      <c r="K1800">
        <v>1111484</v>
      </c>
      <c r="L1800" t="s">
        <v>24</v>
      </c>
      <c r="M1800" t="s">
        <v>1838</v>
      </c>
      <c r="N1800" t="s">
        <v>26</v>
      </c>
      <c r="O1800" t="s">
        <v>21</v>
      </c>
      <c r="P1800" t="s">
        <v>22</v>
      </c>
      <c r="Q1800" t="s">
        <v>23</v>
      </c>
      <c r="R1800" t="b">
        <f>OR(Таблица1[[#This Row],[Ежемесячный платеж]]&lt;$AC$5, Таблица1[[#This Row],[Ежемесячный платеж]]&gt;$AC$6)</f>
        <v>0</v>
      </c>
      <c r="S1800" s="9">
        <f>(Таблица1[[#This Row],[Размер кредита]]-21824)/(789096-21824)</f>
        <v>0.25851588484917998</v>
      </c>
      <c r="T1800" s="9">
        <f>(Таблица1[[#This Row],[Кредитный рейтинг]]-586)/(751-586)</f>
        <v>0.97575757575757571</v>
      </c>
      <c r="U1800" s="9">
        <f>Таблица1[[#This Row],[Ежемесячный платеж]]/(Таблица1[[#This Row],[Годовой доход]]/12)</f>
        <v>9.2101263697048574E-2</v>
      </c>
    </row>
    <row r="1801" spans="1:21" x14ac:dyDescent="0.3">
      <c r="A1801">
        <v>1800</v>
      </c>
      <c r="B1801">
        <v>0</v>
      </c>
      <c r="C1801" s="9">
        <v>499884</v>
      </c>
      <c r="D1801">
        <v>737</v>
      </c>
      <c r="E1801" s="1">
        <v>1126206</v>
      </c>
      <c r="F1801">
        <v>0</v>
      </c>
      <c r="G1801">
        <v>28061.29</v>
      </c>
      <c r="H1801">
        <v>19.7</v>
      </c>
      <c r="I1801">
        <v>7</v>
      </c>
      <c r="J1801">
        <v>126939</v>
      </c>
      <c r="K1801">
        <v>347490</v>
      </c>
      <c r="L1801" t="s">
        <v>24</v>
      </c>
      <c r="M1801" t="s">
        <v>1839</v>
      </c>
      <c r="N1801" t="s">
        <v>26</v>
      </c>
      <c r="O1801" t="s">
        <v>21</v>
      </c>
      <c r="P1801" t="s">
        <v>31</v>
      </c>
      <c r="Q1801" t="s">
        <v>23</v>
      </c>
      <c r="R1801" t="b">
        <f>OR(Таблица1[[#This Row],[Ежемесячный платеж]]&lt;$AC$5, Таблица1[[#This Row],[Ежемесячный платеж]]&gt;$AC$6)</f>
        <v>0</v>
      </c>
      <c r="S1801" s="9">
        <f>(Таблица1[[#This Row],[Размер кредита]]-21824)/(789096-21824)</f>
        <v>0.62306457162518636</v>
      </c>
      <c r="T1801" s="9">
        <f>(Таблица1[[#This Row],[Кредитный рейтинг]]-586)/(751-586)</f>
        <v>0.91515151515151516</v>
      </c>
      <c r="U1801" s="9">
        <f>Таблица1[[#This Row],[Ежемесячный платеж]]/(Таблица1[[#This Row],[Годовой доход]]/12)</f>
        <v>0.29899989877517968</v>
      </c>
    </row>
    <row r="1802" spans="1:21" x14ac:dyDescent="0.3">
      <c r="A1802">
        <v>1801</v>
      </c>
      <c r="B1802">
        <v>0</v>
      </c>
      <c r="C1802" s="9">
        <v>109780</v>
      </c>
      <c r="D1802">
        <v>748</v>
      </c>
      <c r="E1802" s="1">
        <v>2028934</v>
      </c>
      <c r="F1802">
        <v>0</v>
      </c>
      <c r="G1802">
        <v>45989.120000000003</v>
      </c>
      <c r="H1802">
        <v>22.2</v>
      </c>
      <c r="I1802">
        <v>12</v>
      </c>
      <c r="J1802">
        <v>1617375</v>
      </c>
      <c r="K1802">
        <v>3885398</v>
      </c>
      <c r="L1802" t="s">
        <v>24</v>
      </c>
      <c r="M1802" t="s">
        <v>1840</v>
      </c>
      <c r="N1802" t="s">
        <v>26</v>
      </c>
      <c r="O1802" t="s">
        <v>28</v>
      </c>
      <c r="P1802" t="s">
        <v>22</v>
      </c>
      <c r="Q1802" t="s">
        <v>23</v>
      </c>
      <c r="R1802" t="b">
        <f>OR(Таблица1[[#This Row],[Ежемесячный платеж]]&lt;$AC$5, Таблица1[[#This Row],[Ежемесячный платеж]]&gt;$AC$6)</f>
        <v>1</v>
      </c>
      <c r="S1802" s="9">
        <f>(Таблица1[[#This Row],[Размер кредита]]-21824)/(789096-21824)</f>
        <v>0.11463470581488702</v>
      </c>
      <c r="T1802" s="9">
        <f>(Таблица1[[#This Row],[Кредитный рейтинг]]-586)/(751-586)</f>
        <v>0.98181818181818181</v>
      </c>
      <c r="U1802" s="9">
        <f>Таблица1[[#This Row],[Ежемесячный платеж]]/(Таблица1[[#This Row],[Годовой доход]]/12)</f>
        <v>0.27199970033524995</v>
      </c>
    </row>
    <row r="1803" spans="1:21" x14ac:dyDescent="0.3">
      <c r="A1803">
        <v>1802</v>
      </c>
      <c r="B1803">
        <v>0</v>
      </c>
      <c r="C1803" s="9">
        <v>433466</v>
      </c>
      <c r="D1803">
        <v>748</v>
      </c>
      <c r="E1803" s="1">
        <v>947720</v>
      </c>
      <c r="F1803">
        <v>58</v>
      </c>
      <c r="G1803">
        <v>12162.47</v>
      </c>
      <c r="H1803">
        <v>15.9</v>
      </c>
      <c r="I1803">
        <v>11</v>
      </c>
      <c r="J1803">
        <v>255683</v>
      </c>
      <c r="K1803">
        <v>627198</v>
      </c>
      <c r="L1803" t="s">
        <v>69</v>
      </c>
      <c r="M1803" t="s">
        <v>1841</v>
      </c>
      <c r="N1803" t="s">
        <v>26</v>
      </c>
      <c r="O1803" t="s">
        <v>21</v>
      </c>
      <c r="P1803" t="s">
        <v>22</v>
      </c>
      <c r="Q1803" t="s">
        <v>23</v>
      </c>
      <c r="R1803" t="b">
        <f>OR(Таблица1[[#This Row],[Ежемесячный платеж]]&lt;$AC$5, Таблица1[[#This Row],[Ежемесячный платеж]]&gt;$AC$6)</f>
        <v>0</v>
      </c>
      <c r="S1803" s="9">
        <f>(Таблица1[[#This Row],[Размер кредита]]-21824)/(789096-21824)</f>
        <v>0.53650074549833693</v>
      </c>
      <c r="T1803" s="9">
        <f>(Таблица1[[#This Row],[Кредитный рейтинг]]-586)/(751-586)</f>
        <v>0.98181818181818181</v>
      </c>
      <c r="U1803" s="9">
        <f>Таблица1[[#This Row],[Ежемесячный платеж]]/(Таблица1[[#This Row],[Годовой доход]]/12)</f>
        <v>0.15400080192461907</v>
      </c>
    </row>
    <row r="1804" spans="1:21" x14ac:dyDescent="0.3">
      <c r="A1804">
        <v>1803</v>
      </c>
      <c r="B1804">
        <v>0</v>
      </c>
      <c r="C1804" s="9">
        <v>660132</v>
      </c>
      <c r="D1804">
        <v>714</v>
      </c>
      <c r="E1804" s="1">
        <v>1520304</v>
      </c>
      <c r="F1804">
        <v>78</v>
      </c>
      <c r="G1804">
        <v>30532.81</v>
      </c>
      <c r="H1804">
        <v>12.6</v>
      </c>
      <c r="I1804">
        <v>11</v>
      </c>
      <c r="J1804">
        <v>430559</v>
      </c>
      <c r="K1804">
        <v>761112</v>
      </c>
      <c r="L1804" t="s">
        <v>50</v>
      </c>
      <c r="M1804" t="s">
        <v>1842</v>
      </c>
      <c r="N1804" t="s">
        <v>26</v>
      </c>
      <c r="O1804" t="s">
        <v>21</v>
      </c>
      <c r="P1804" t="s">
        <v>31</v>
      </c>
      <c r="Q1804" t="s">
        <v>23</v>
      </c>
      <c r="R1804" t="b">
        <f>OR(Таблица1[[#This Row],[Ежемесячный платеж]]&lt;$AC$5, Таблица1[[#This Row],[Ежемесячный платеж]]&gt;$AC$6)</f>
        <v>0</v>
      </c>
      <c r="S1804" s="9">
        <f>(Таблица1[[#This Row],[Размер кредита]]-21824)/(789096-21824)</f>
        <v>0.83191879802729674</v>
      </c>
      <c r="T1804" s="9">
        <f>(Таблица1[[#This Row],[Кредитный рейтинг]]-586)/(751-586)</f>
        <v>0.77575757575757576</v>
      </c>
      <c r="U1804" s="9">
        <f>Таблица1[[#This Row],[Ежемесячный платеж]]/(Таблица1[[#This Row],[Годовой доход]]/12)</f>
        <v>0.24100029994001201</v>
      </c>
    </row>
    <row r="1805" spans="1:21" x14ac:dyDescent="0.3">
      <c r="A1805">
        <v>1804</v>
      </c>
      <c r="B1805">
        <v>0</v>
      </c>
      <c r="C1805" s="9">
        <v>232540</v>
      </c>
      <c r="D1805">
        <f>$Y$13</f>
        <v>723</v>
      </c>
      <c r="E1805">
        <f>$AB$13</f>
        <v>1168044</v>
      </c>
      <c r="F1805">
        <v>0</v>
      </c>
      <c r="G1805">
        <v>18534.12</v>
      </c>
      <c r="H1805">
        <v>13.4</v>
      </c>
      <c r="I1805">
        <v>13</v>
      </c>
      <c r="J1805">
        <v>159847</v>
      </c>
      <c r="K1805">
        <v>253902</v>
      </c>
      <c r="L1805" t="s">
        <v>24</v>
      </c>
      <c r="M1805" t="s">
        <v>1843</v>
      </c>
      <c r="N1805" t="s">
        <v>26</v>
      </c>
      <c r="O1805" t="s">
        <v>34</v>
      </c>
      <c r="P1805" t="s">
        <v>22</v>
      </c>
      <c r="Q1805" t="s">
        <v>36</v>
      </c>
      <c r="R1805" t="b">
        <f>OR(Таблица1[[#This Row],[Ежемесячный платеж]]&lt;$AC$5, Таблица1[[#This Row],[Ежемесячный платеж]]&gt;$AC$6)</f>
        <v>0</v>
      </c>
      <c r="S1805" s="9">
        <f>(Таблица1[[#This Row],[Размер кредита]]-21824)/(789096-21824)</f>
        <v>0.27463011813281341</v>
      </c>
      <c r="T1805" s="9">
        <f>(Таблица1[[#This Row],[Кредитный рейтинг]]-586)/(751-586)</f>
        <v>0.83030303030303032</v>
      </c>
      <c r="U1805" s="9">
        <f>Таблица1[[#This Row],[Ежемесячный платеж]]/(Таблица1[[#This Row],[Годовой доход]]/12)</f>
        <v>0.19041186804606675</v>
      </c>
    </row>
    <row r="1806" spans="1:21" x14ac:dyDescent="0.3">
      <c r="A1806">
        <v>1805</v>
      </c>
      <c r="B1806">
        <v>1</v>
      </c>
      <c r="C1806" s="9">
        <v>269852</v>
      </c>
      <c r="D1806">
        <v>709</v>
      </c>
      <c r="E1806" s="1">
        <v>1495471</v>
      </c>
      <c r="F1806">
        <v>0</v>
      </c>
      <c r="G1806">
        <v>10505.86</v>
      </c>
      <c r="H1806">
        <v>19.3</v>
      </c>
      <c r="I1806">
        <v>6</v>
      </c>
      <c r="J1806">
        <v>178505</v>
      </c>
      <c r="K1806">
        <v>283536</v>
      </c>
      <c r="L1806" t="s">
        <v>41</v>
      </c>
      <c r="M1806" t="s">
        <v>1844</v>
      </c>
      <c r="N1806" t="s">
        <v>26</v>
      </c>
      <c r="O1806" t="s">
        <v>34</v>
      </c>
      <c r="P1806" t="s">
        <v>31</v>
      </c>
      <c r="Q1806" t="s">
        <v>23</v>
      </c>
      <c r="R1806" t="b">
        <f>OR(Таблица1[[#This Row],[Ежемесячный платеж]]&lt;$AC$5, Таблица1[[#This Row],[Ежемесячный платеж]]&gt;$AC$6)</f>
        <v>0</v>
      </c>
      <c r="S1806" s="9">
        <f>(Таблица1[[#This Row],[Размер кредита]]-21824)/(789096-21824)</f>
        <v>0.32325954811331575</v>
      </c>
      <c r="T1806" s="9">
        <f>(Таблица1[[#This Row],[Кредитный рейтинг]]-586)/(751-586)</f>
        <v>0.74545454545454548</v>
      </c>
      <c r="U1806" s="9">
        <f>Таблица1[[#This Row],[Ежемесячный платеж]]/(Таблица1[[#This Row],[Годовой доход]]/12)</f>
        <v>8.4301414069547331E-2</v>
      </c>
    </row>
    <row r="1807" spans="1:21" x14ac:dyDescent="0.3">
      <c r="A1807">
        <v>1806</v>
      </c>
      <c r="B1807">
        <v>0</v>
      </c>
      <c r="C1807" s="9">
        <v>467082</v>
      </c>
      <c r="D1807">
        <v>724</v>
      </c>
      <c r="E1807" s="1">
        <v>1260574</v>
      </c>
      <c r="F1807">
        <v>0</v>
      </c>
      <c r="G1807">
        <v>9391.1299999999992</v>
      </c>
      <c r="H1807">
        <v>23.6</v>
      </c>
      <c r="I1807">
        <v>6</v>
      </c>
      <c r="J1807">
        <v>103550</v>
      </c>
      <c r="K1807">
        <v>224510</v>
      </c>
      <c r="L1807" t="s">
        <v>24</v>
      </c>
      <c r="M1807" t="s">
        <v>1845</v>
      </c>
      <c r="N1807" t="s">
        <v>26</v>
      </c>
      <c r="O1807" t="s">
        <v>21</v>
      </c>
      <c r="P1807" t="s">
        <v>31</v>
      </c>
      <c r="Q1807" t="s">
        <v>23</v>
      </c>
      <c r="R1807" t="b">
        <f>OR(Таблица1[[#This Row],[Ежемесячный платеж]]&lt;$AC$5, Таблица1[[#This Row],[Ежемесячный платеж]]&gt;$AC$6)</f>
        <v>0</v>
      </c>
      <c r="S1807" s="9">
        <f>(Таблица1[[#This Row],[Размер кредита]]-21824)/(789096-21824)</f>
        <v>0.58031310930152535</v>
      </c>
      <c r="T1807" s="9">
        <f>(Таблица1[[#This Row],[Кредитный рейтинг]]-586)/(751-586)</f>
        <v>0.83636363636363631</v>
      </c>
      <c r="U1807" s="9">
        <f>Таблица1[[#This Row],[Ежемесячный платеж]]/(Таблица1[[#This Row],[Годовой доход]]/12)</f>
        <v>8.9398607301118371E-2</v>
      </c>
    </row>
    <row r="1808" spans="1:21" x14ac:dyDescent="0.3">
      <c r="A1808">
        <v>1807</v>
      </c>
      <c r="B1808">
        <v>0</v>
      </c>
      <c r="C1808" s="9">
        <v>183744</v>
      </c>
      <c r="D1808">
        <f>$Y$13</f>
        <v>723</v>
      </c>
      <c r="E1808">
        <f>$AB$13</f>
        <v>1168044</v>
      </c>
      <c r="F1808">
        <v>0</v>
      </c>
      <c r="G1808">
        <v>16860.79</v>
      </c>
      <c r="H1808">
        <v>12.8</v>
      </c>
      <c r="I1808">
        <v>8</v>
      </c>
      <c r="J1808">
        <v>165680</v>
      </c>
      <c r="K1808">
        <v>266794</v>
      </c>
      <c r="L1808" t="s">
        <v>41</v>
      </c>
      <c r="M1808" t="s">
        <v>1846</v>
      </c>
      <c r="N1808" t="s">
        <v>26</v>
      </c>
      <c r="O1808" t="s">
        <v>34</v>
      </c>
      <c r="P1808" t="s">
        <v>22</v>
      </c>
      <c r="Q1808" t="s">
        <v>36</v>
      </c>
      <c r="R1808" t="b">
        <f>OR(Таблица1[[#This Row],[Ежемесячный платеж]]&lt;$AC$5, Таблица1[[#This Row],[Ежемесячный платеж]]&gt;$AC$6)</f>
        <v>0</v>
      </c>
      <c r="S1808" s="9">
        <f>(Таблица1[[#This Row],[Размер кредита]]-21824)/(789096-21824)</f>
        <v>0.21103337538708566</v>
      </c>
      <c r="T1808" s="9">
        <f>(Таблица1[[#This Row],[Кредитный рейтинг]]-586)/(751-586)</f>
        <v>0.83030303030303032</v>
      </c>
      <c r="U1808" s="9">
        <f>Таблица1[[#This Row],[Ежемесячный платеж]]/(Таблица1[[#This Row],[Годовой доход]]/12)</f>
        <v>0.17322076908061684</v>
      </c>
    </row>
    <row r="1809" spans="1:21" x14ac:dyDescent="0.3">
      <c r="A1809">
        <v>1808</v>
      </c>
      <c r="B1809">
        <v>0</v>
      </c>
      <c r="C1809" s="9">
        <v>377190</v>
      </c>
      <c r="D1809">
        <v>700</v>
      </c>
      <c r="E1809" s="1">
        <v>4690454</v>
      </c>
      <c r="F1809">
        <v>9</v>
      </c>
      <c r="G1809">
        <v>26969.93</v>
      </c>
      <c r="H1809">
        <v>21.9</v>
      </c>
      <c r="I1809">
        <v>11</v>
      </c>
      <c r="J1809">
        <v>280174</v>
      </c>
      <c r="K1809">
        <v>483472</v>
      </c>
      <c r="L1809" t="s">
        <v>50</v>
      </c>
      <c r="M1809" t="s">
        <v>1847</v>
      </c>
      <c r="N1809" t="s">
        <v>26</v>
      </c>
      <c r="O1809" t="s">
        <v>21</v>
      </c>
      <c r="P1809" t="s">
        <v>31</v>
      </c>
      <c r="Q1809" t="s">
        <v>36</v>
      </c>
      <c r="R1809" t="b">
        <f>OR(Таблица1[[#This Row],[Ежемесячный платеж]]&lt;$AC$5, Таблица1[[#This Row],[Ежемесячный платеж]]&gt;$AC$6)</f>
        <v>0</v>
      </c>
      <c r="S1809" s="9">
        <f>(Таблица1[[#This Row],[Размер кредита]]-21824)/(789096-21824)</f>
        <v>0.46315517834614062</v>
      </c>
      <c r="T1809" s="9">
        <f>(Таблица1[[#This Row],[Кредитный рейтинг]]-586)/(751-586)</f>
        <v>0.69090909090909092</v>
      </c>
      <c r="U1809" s="9">
        <f>Таблица1[[#This Row],[Ежемесячный платеж]]/(Таблица1[[#This Row],[Годовой доход]]/12)</f>
        <v>6.8999538211013262E-2</v>
      </c>
    </row>
    <row r="1810" spans="1:21" x14ac:dyDescent="0.3">
      <c r="A1810">
        <v>1809</v>
      </c>
      <c r="B1810">
        <v>0</v>
      </c>
      <c r="C1810" s="9">
        <v>314468</v>
      </c>
      <c r="D1810">
        <v>629</v>
      </c>
      <c r="E1810" s="1">
        <v>921462</v>
      </c>
      <c r="F1810">
        <v>0</v>
      </c>
      <c r="G1810">
        <v>13668.22</v>
      </c>
      <c r="H1810">
        <v>26.5</v>
      </c>
      <c r="I1810">
        <v>17</v>
      </c>
      <c r="J1810">
        <v>193458</v>
      </c>
      <c r="K1810">
        <v>520960</v>
      </c>
      <c r="L1810" t="s">
        <v>63</v>
      </c>
      <c r="M1810" t="s">
        <v>1848</v>
      </c>
      <c r="N1810" t="s">
        <v>26</v>
      </c>
      <c r="O1810" t="s">
        <v>21</v>
      </c>
      <c r="P1810" t="s">
        <v>31</v>
      </c>
      <c r="Q1810" t="s">
        <v>23</v>
      </c>
      <c r="R1810" t="b">
        <f>OR(Таблица1[[#This Row],[Ежемесячный платеж]]&lt;$AC$5, Таблица1[[#This Row],[Ежемесячный платеж]]&gt;$AC$6)</f>
        <v>0</v>
      </c>
      <c r="S1810" s="9">
        <f>(Таблица1[[#This Row],[Размер кредита]]-21824)/(789096-21824)</f>
        <v>0.38140841839660511</v>
      </c>
      <c r="T1810" s="9">
        <f>(Таблица1[[#This Row],[Кредитный рейтинг]]-586)/(751-586)</f>
        <v>0.26060606060606062</v>
      </c>
      <c r="U1810" s="9">
        <f>Таблица1[[#This Row],[Ежемесячный платеж]]/(Таблица1[[#This Row],[Годовой доход]]/12)</f>
        <v>0.17799826796981319</v>
      </c>
    </row>
    <row r="1811" spans="1:21" x14ac:dyDescent="0.3">
      <c r="A1811">
        <v>1810</v>
      </c>
      <c r="B1811">
        <v>1</v>
      </c>
      <c r="C1811" s="9">
        <v>135102</v>
      </c>
      <c r="D1811">
        <v>727</v>
      </c>
      <c r="E1811" s="1">
        <v>795511</v>
      </c>
      <c r="F1811">
        <v>0</v>
      </c>
      <c r="G1811">
        <v>18562.240000000002</v>
      </c>
      <c r="H1811">
        <v>15</v>
      </c>
      <c r="I1811">
        <v>12</v>
      </c>
      <c r="J1811">
        <v>155572</v>
      </c>
      <c r="K1811">
        <v>286374</v>
      </c>
      <c r="L1811" t="s">
        <v>18</v>
      </c>
      <c r="M1811" t="s">
        <v>1849</v>
      </c>
      <c r="N1811" t="s">
        <v>26</v>
      </c>
      <c r="O1811" t="s">
        <v>21</v>
      </c>
      <c r="P1811" t="s">
        <v>22</v>
      </c>
      <c r="Q1811" t="s">
        <v>36</v>
      </c>
      <c r="R1811" t="b">
        <f>OR(Таблица1[[#This Row],[Ежемесячный платеж]]&lt;$AC$5, Таблица1[[#This Row],[Ежемесячный платеж]]&gt;$AC$6)</f>
        <v>0</v>
      </c>
      <c r="S1811" s="9">
        <f>(Таблица1[[#This Row],[Размер кредита]]-21824)/(789096-21824)</f>
        <v>0.14763734373207937</v>
      </c>
      <c r="T1811" s="9">
        <f>(Таблица1[[#This Row],[Кредитный рейтинг]]-586)/(751-586)</f>
        <v>0.8545454545454545</v>
      </c>
      <c r="U1811" s="9">
        <f>Таблица1[[#This Row],[Ежемесячный платеж]]/(Таблица1[[#This Row],[Годовой доход]]/12)</f>
        <v>0.28000477680384062</v>
      </c>
    </row>
    <row r="1812" spans="1:21" x14ac:dyDescent="0.3">
      <c r="A1812">
        <v>1811</v>
      </c>
      <c r="B1812">
        <v>0</v>
      </c>
      <c r="C1812" s="9">
        <v>259116</v>
      </c>
      <c r="D1812">
        <v>735</v>
      </c>
      <c r="E1812" s="1">
        <v>2237820</v>
      </c>
      <c r="F1812">
        <v>14</v>
      </c>
      <c r="G1812">
        <v>19953.990000000002</v>
      </c>
      <c r="H1812">
        <v>21.6</v>
      </c>
      <c r="I1812">
        <v>9</v>
      </c>
      <c r="J1812">
        <v>485241</v>
      </c>
      <c r="K1812">
        <v>855162</v>
      </c>
      <c r="L1812" t="s">
        <v>37</v>
      </c>
      <c r="M1812" t="s">
        <v>1850</v>
      </c>
      <c r="N1812" t="s">
        <v>68</v>
      </c>
      <c r="O1812" t="s">
        <v>34</v>
      </c>
      <c r="P1812" t="s">
        <v>22</v>
      </c>
      <c r="Q1812" t="s">
        <v>23</v>
      </c>
      <c r="R1812" t="b">
        <f>OR(Таблица1[[#This Row],[Ежемесячный платеж]]&lt;$AC$5, Таблица1[[#This Row],[Ежемесячный платеж]]&gt;$AC$6)</f>
        <v>0</v>
      </c>
      <c r="S1812" s="9">
        <f>(Таблица1[[#This Row],[Размер кредита]]-21824)/(789096-21824)</f>
        <v>0.30926711778873722</v>
      </c>
      <c r="T1812" s="9">
        <f>(Таблица1[[#This Row],[Кредитный рейтинг]]-586)/(751-586)</f>
        <v>0.90303030303030307</v>
      </c>
      <c r="U1812" s="9">
        <f>Таблица1[[#This Row],[Ежемесячный платеж]]/(Таблица1[[#This Row],[Годовой доход]]/12)</f>
        <v>0.10700050942435049</v>
      </c>
    </row>
    <row r="1813" spans="1:21" x14ac:dyDescent="0.3">
      <c r="A1813">
        <v>1812</v>
      </c>
      <c r="B1813">
        <v>0</v>
      </c>
      <c r="C1813" s="9">
        <v>249194</v>
      </c>
      <c r="D1813">
        <v>738</v>
      </c>
      <c r="E1813" s="1">
        <v>1056818</v>
      </c>
      <c r="F1813">
        <v>0</v>
      </c>
      <c r="G1813">
        <v>23249.73</v>
      </c>
      <c r="H1813">
        <v>15.8</v>
      </c>
      <c r="I1813">
        <v>15</v>
      </c>
      <c r="J1813">
        <v>587556</v>
      </c>
      <c r="K1813">
        <v>1391258</v>
      </c>
      <c r="L1813" t="s">
        <v>52</v>
      </c>
      <c r="M1813" t="s">
        <v>1851</v>
      </c>
      <c r="N1813" t="s">
        <v>26</v>
      </c>
      <c r="O1813" t="s">
        <v>34</v>
      </c>
      <c r="P1813" t="s">
        <v>31</v>
      </c>
      <c r="Q1813" t="s">
        <v>23</v>
      </c>
      <c r="R1813" t="b">
        <f>OR(Таблица1[[#This Row],[Ежемесячный платеж]]&lt;$AC$5, Таблица1[[#This Row],[Ежемесячный платеж]]&gt;$AC$6)</f>
        <v>0</v>
      </c>
      <c r="S1813" s="9">
        <f>(Таблица1[[#This Row],[Размер кредита]]-21824)/(789096-21824)</f>
        <v>0.29633558894368622</v>
      </c>
      <c r="T1813" s="9">
        <f>(Таблица1[[#This Row],[Кредитный рейтинг]]-586)/(751-586)</f>
        <v>0.92121212121212126</v>
      </c>
      <c r="U1813" s="9">
        <f>Таблица1[[#This Row],[Ежемесячный платеж]]/(Таблица1[[#This Row],[Годовой доход]]/12)</f>
        <v>0.26399697961238355</v>
      </c>
    </row>
    <row r="1814" spans="1:21" x14ac:dyDescent="0.3">
      <c r="A1814">
        <v>1813</v>
      </c>
      <c r="B1814">
        <v>0</v>
      </c>
      <c r="C1814" s="9">
        <v>265342</v>
      </c>
      <c r="D1814">
        <v>738</v>
      </c>
      <c r="E1814" s="1">
        <v>1283127</v>
      </c>
      <c r="F1814">
        <v>8</v>
      </c>
      <c r="G1814">
        <v>23737.84</v>
      </c>
      <c r="H1814">
        <v>27.4</v>
      </c>
      <c r="I1814">
        <v>18</v>
      </c>
      <c r="J1814">
        <v>147592</v>
      </c>
      <c r="K1814">
        <v>336446</v>
      </c>
      <c r="L1814" t="s">
        <v>24</v>
      </c>
      <c r="M1814" t="s">
        <v>1852</v>
      </c>
      <c r="N1814" t="s">
        <v>26</v>
      </c>
      <c r="O1814" t="s">
        <v>34</v>
      </c>
      <c r="P1814" t="s">
        <v>22</v>
      </c>
      <c r="Q1814" t="s">
        <v>23</v>
      </c>
      <c r="R1814" t="b">
        <f>OR(Таблица1[[#This Row],[Ежемесячный платеж]]&lt;$AC$5, Таблица1[[#This Row],[Ежемесячный платеж]]&gt;$AC$6)</f>
        <v>0</v>
      </c>
      <c r="S1814" s="9">
        <f>(Таблица1[[#This Row],[Размер кредита]]-21824)/(789096-21824)</f>
        <v>0.31738158045647435</v>
      </c>
      <c r="T1814" s="9">
        <f>(Таблица1[[#This Row],[Кредитный рейтинг]]-586)/(751-586)</f>
        <v>0.92121212121212126</v>
      </c>
      <c r="U1814" s="9">
        <f>Таблица1[[#This Row],[Ежемесячный платеж]]/(Таблица1[[#This Row],[Годовой доход]]/12)</f>
        <v>0.22199991115454668</v>
      </c>
    </row>
    <row r="1815" spans="1:21" x14ac:dyDescent="0.3">
      <c r="A1815">
        <v>1814</v>
      </c>
      <c r="B1815">
        <v>0</v>
      </c>
      <c r="C1815" s="9">
        <v>129514</v>
      </c>
      <c r="D1815">
        <f>$Y$13</f>
        <v>723</v>
      </c>
      <c r="E1815">
        <f>$AB$13</f>
        <v>1168044</v>
      </c>
      <c r="F1815">
        <v>22</v>
      </c>
      <c r="G1815">
        <v>310.64999999999998</v>
      </c>
      <c r="H1815">
        <v>10.4</v>
      </c>
      <c r="I1815">
        <v>6</v>
      </c>
      <c r="J1815">
        <v>0</v>
      </c>
      <c r="K1815">
        <v>0</v>
      </c>
      <c r="L1815" t="s">
        <v>41</v>
      </c>
      <c r="M1815" t="s">
        <v>1853</v>
      </c>
      <c r="N1815" t="s">
        <v>26</v>
      </c>
      <c r="O1815" t="s">
        <v>34</v>
      </c>
      <c r="P1815" t="s">
        <v>22</v>
      </c>
      <c r="Q1815" t="s">
        <v>23</v>
      </c>
      <c r="R1815" t="b">
        <f>OR(Таблица1[[#This Row],[Ежемесячный платеж]]&lt;$AC$5, Таблица1[[#This Row],[Ежемесячный платеж]]&gt;$AC$6)</f>
        <v>0</v>
      </c>
      <c r="S1815" s="9">
        <f>(Таблица1[[#This Row],[Размер кредита]]-21824)/(789096-21824)</f>
        <v>0.1403543984401881</v>
      </c>
      <c r="T1815" s="9">
        <f>(Таблица1[[#This Row],[Кредитный рейтинг]]-586)/(751-586)</f>
        <v>0.83030303030303032</v>
      </c>
      <c r="U1815" s="9">
        <f>Таблица1[[#This Row],[Ежемесячный платеж]]/(Таблица1[[#This Row],[Годовой доход]]/12)</f>
        <v>3.1914893617021275E-3</v>
      </c>
    </row>
    <row r="1816" spans="1:21" x14ac:dyDescent="0.3">
      <c r="A1816">
        <v>1815</v>
      </c>
      <c r="B1816">
        <v>0</v>
      </c>
      <c r="C1816" s="9">
        <v>446908</v>
      </c>
      <c r="D1816">
        <v>685</v>
      </c>
      <c r="E1816" s="1">
        <v>1583935</v>
      </c>
      <c r="F1816">
        <v>25</v>
      </c>
      <c r="G1816">
        <v>27718.91</v>
      </c>
      <c r="H1816">
        <v>18.899999999999999</v>
      </c>
      <c r="I1816">
        <v>16</v>
      </c>
      <c r="J1816">
        <v>383401</v>
      </c>
      <c r="K1816">
        <v>546062</v>
      </c>
      <c r="L1816" t="s">
        <v>52</v>
      </c>
      <c r="M1816" t="s">
        <v>1854</v>
      </c>
      <c r="N1816" t="s">
        <v>26</v>
      </c>
      <c r="O1816" t="s">
        <v>34</v>
      </c>
      <c r="P1816" t="s">
        <v>31</v>
      </c>
      <c r="Q1816" t="s">
        <v>23</v>
      </c>
      <c r="R1816" t="b">
        <f>OR(Таблица1[[#This Row],[Ежемесячный платеж]]&lt;$AC$5, Таблица1[[#This Row],[Ежемесячный платеж]]&gt;$AC$6)</f>
        <v>0</v>
      </c>
      <c r="S1816" s="9">
        <f>(Таблица1[[#This Row],[Размер кредита]]-21824)/(789096-21824)</f>
        <v>0.55401995641702029</v>
      </c>
      <c r="T1816" s="9">
        <f>(Таблица1[[#This Row],[Кредитный рейтинг]]-586)/(751-586)</f>
        <v>0.6</v>
      </c>
      <c r="U1816" s="9">
        <f>Таблица1[[#This Row],[Ежемесячный платеж]]/(Таблица1[[#This Row],[Годовой доход]]/12)</f>
        <v>0.21000035986325194</v>
      </c>
    </row>
    <row r="1817" spans="1:21" x14ac:dyDescent="0.3">
      <c r="A1817">
        <v>1816</v>
      </c>
      <c r="B1817">
        <v>0</v>
      </c>
      <c r="C1817" s="9">
        <v>563530</v>
      </c>
      <c r="D1817">
        <v>738</v>
      </c>
      <c r="E1817" s="1">
        <v>2316613</v>
      </c>
      <c r="F1817">
        <v>0</v>
      </c>
      <c r="G1817">
        <v>26641.23</v>
      </c>
      <c r="H1817">
        <v>22</v>
      </c>
      <c r="I1817">
        <v>9</v>
      </c>
      <c r="J1817">
        <v>514634</v>
      </c>
      <c r="K1817">
        <v>1398826</v>
      </c>
      <c r="L1817" t="s">
        <v>24</v>
      </c>
      <c r="M1817" t="s">
        <v>1855</v>
      </c>
      <c r="N1817" t="s">
        <v>26</v>
      </c>
      <c r="O1817" t="s">
        <v>28</v>
      </c>
      <c r="P1817" t="s">
        <v>31</v>
      </c>
      <c r="Q1817" t="s">
        <v>23</v>
      </c>
      <c r="R1817" t="b">
        <f>OR(Таблица1[[#This Row],[Ежемесячный платеж]]&lt;$AC$5, Таблица1[[#This Row],[Ежемесячный платеж]]&gt;$AC$6)</f>
        <v>0</v>
      </c>
      <c r="S1817" s="9">
        <f>(Таблица1[[#This Row],[Размер кредита]]-21824)/(789096-21824)</f>
        <v>0.70601559811905035</v>
      </c>
      <c r="T1817" s="9">
        <f>(Таблица1[[#This Row],[Кредитный рейтинг]]-586)/(751-586)</f>
        <v>0.92121212121212126</v>
      </c>
      <c r="U1817" s="9">
        <f>Таблица1[[#This Row],[Ежемесячный платеж]]/(Таблица1[[#This Row],[Годовой доход]]/12)</f>
        <v>0.13800093498568816</v>
      </c>
    </row>
    <row r="1818" spans="1:21" x14ac:dyDescent="0.3">
      <c r="A1818">
        <v>1817</v>
      </c>
      <c r="B1818">
        <v>0</v>
      </c>
      <c r="C1818" s="9">
        <v>421806</v>
      </c>
      <c r="D1818">
        <f>$Y$13</f>
        <v>723</v>
      </c>
      <c r="E1818">
        <f>$AB$13</f>
        <v>1168044</v>
      </c>
      <c r="F1818">
        <v>57</v>
      </c>
      <c r="G1818">
        <v>10571.41</v>
      </c>
      <c r="H1818">
        <v>16.5</v>
      </c>
      <c r="I1818">
        <v>13</v>
      </c>
      <c r="J1818">
        <v>229387</v>
      </c>
      <c r="K1818">
        <v>416966</v>
      </c>
      <c r="L1818" t="s">
        <v>69</v>
      </c>
      <c r="M1818" t="s">
        <v>1856</v>
      </c>
      <c r="N1818" t="s">
        <v>26</v>
      </c>
      <c r="O1818" t="s">
        <v>21</v>
      </c>
      <c r="P1818" t="s">
        <v>31</v>
      </c>
      <c r="Q1818" t="s">
        <v>36</v>
      </c>
      <c r="R1818" t="b">
        <f>OR(Таблица1[[#This Row],[Ежемесячный платеж]]&lt;$AC$5, Таблица1[[#This Row],[Ежемесячный платеж]]&gt;$AC$6)</f>
        <v>0</v>
      </c>
      <c r="S1818" s="9">
        <f>(Таблица1[[#This Row],[Размер кредита]]-21824)/(789096-21824)</f>
        <v>0.52130404862943003</v>
      </c>
      <c r="T1818" s="9">
        <f>(Таблица1[[#This Row],[Кредитный рейтинг]]-586)/(751-586)</f>
        <v>0.83030303030303032</v>
      </c>
      <c r="U1818" s="9">
        <f>Таблица1[[#This Row],[Ежемесячный платеж]]/(Таблица1[[#This Row],[Годовой доход]]/12)</f>
        <v>0.10860628537966036</v>
      </c>
    </row>
    <row r="1819" spans="1:21" x14ac:dyDescent="0.3">
      <c r="A1819">
        <v>1818</v>
      </c>
      <c r="B1819">
        <v>0</v>
      </c>
      <c r="C1819" s="9">
        <v>535084</v>
      </c>
      <c r="D1819">
        <v>682</v>
      </c>
      <c r="E1819" s="1">
        <v>1347822</v>
      </c>
      <c r="F1819">
        <v>8</v>
      </c>
      <c r="G1819">
        <v>26282.51</v>
      </c>
      <c r="H1819">
        <v>18.399999999999999</v>
      </c>
      <c r="I1819">
        <v>10</v>
      </c>
      <c r="J1819">
        <v>254619</v>
      </c>
      <c r="K1819">
        <v>341242</v>
      </c>
      <c r="L1819" t="s">
        <v>24</v>
      </c>
      <c r="M1819" t="s">
        <v>1857</v>
      </c>
      <c r="N1819" t="s">
        <v>26</v>
      </c>
      <c r="O1819" t="s">
        <v>21</v>
      </c>
      <c r="P1819" t="s">
        <v>31</v>
      </c>
      <c r="Q1819" t="s">
        <v>36</v>
      </c>
      <c r="R1819" t="b">
        <f>OR(Таблица1[[#This Row],[Ежемесячный платеж]]&lt;$AC$5, Таблица1[[#This Row],[Ежемесячный платеж]]&gt;$AC$6)</f>
        <v>0</v>
      </c>
      <c r="S1819" s="9">
        <f>(Таблица1[[#This Row],[Размер кредита]]-21824)/(789096-21824)</f>
        <v>0.6689413923615094</v>
      </c>
      <c r="T1819" s="9">
        <f>(Таблица1[[#This Row],[Кредитный рейтинг]]-586)/(751-586)</f>
        <v>0.58181818181818179</v>
      </c>
      <c r="U1819" s="9">
        <f>Таблица1[[#This Row],[Ежемесячный платеж]]/(Таблица1[[#This Row],[Годовой доход]]/12)</f>
        <v>0.23399983083819673</v>
      </c>
    </row>
    <row r="1820" spans="1:21" x14ac:dyDescent="0.3">
      <c r="A1820">
        <v>1819</v>
      </c>
      <c r="B1820">
        <v>0</v>
      </c>
      <c r="C1820" s="9">
        <v>111826</v>
      </c>
      <c r="D1820">
        <v>744</v>
      </c>
      <c r="E1820" s="1">
        <v>521512</v>
      </c>
      <c r="F1820">
        <v>0</v>
      </c>
      <c r="G1820">
        <v>12472.93</v>
      </c>
      <c r="H1820">
        <v>4.5</v>
      </c>
      <c r="I1820">
        <v>7</v>
      </c>
      <c r="J1820">
        <v>78394</v>
      </c>
      <c r="K1820">
        <v>174592</v>
      </c>
      <c r="L1820" t="s">
        <v>41</v>
      </c>
      <c r="M1820" t="s">
        <v>1858</v>
      </c>
      <c r="N1820" t="s">
        <v>20</v>
      </c>
      <c r="O1820" t="s">
        <v>21</v>
      </c>
      <c r="P1820" t="s">
        <v>22</v>
      </c>
      <c r="Q1820" t="s">
        <v>23</v>
      </c>
      <c r="R1820" t="b">
        <f>OR(Таблица1[[#This Row],[Ежемесячный платеж]]&lt;$AC$5, Таблица1[[#This Row],[Ежемесячный платеж]]&gt;$AC$6)</f>
        <v>0</v>
      </c>
      <c r="S1820" s="9">
        <f>(Таблица1[[#This Row],[Размер кредита]]-21824)/(789096-21824)</f>
        <v>0.1173012960201858</v>
      </c>
      <c r="T1820" s="9">
        <f>(Таблица1[[#This Row],[Кредитный рейтинг]]-586)/(751-586)</f>
        <v>0.95757575757575752</v>
      </c>
      <c r="U1820" s="9">
        <f>Таблица1[[#This Row],[Ежемесячный платеж]]/(Таблица1[[#This Row],[Годовой доход]]/12)</f>
        <v>0.28700233168172545</v>
      </c>
    </row>
    <row r="1821" spans="1:21" x14ac:dyDescent="0.3">
      <c r="A1821">
        <v>1820</v>
      </c>
      <c r="B1821">
        <v>0</v>
      </c>
      <c r="C1821" s="9">
        <v>301576</v>
      </c>
      <c r="D1821">
        <v>727</v>
      </c>
      <c r="E1821" s="1">
        <v>525160</v>
      </c>
      <c r="F1821">
        <v>18</v>
      </c>
      <c r="G1821">
        <v>11816.29</v>
      </c>
      <c r="H1821">
        <v>18</v>
      </c>
      <c r="I1821">
        <v>17</v>
      </c>
      <c r="J1821">
        <v>178600</v>
      </c>
      <c r="K1821">
        <v>429924</v>
      </c>
      <c r="L1821" t="s">
        <v>37</v>
      </c>
      <c r="M1821" t="s">
        <v>1859</v>
      </c>
      <c r="N1821" t="s">
        <v>26</v>
      </c>
      <c r="O1821" t="s">
        <v>34</v>
      </c>
      <c r="P1821" t="s">
        <v>22</v>
      </c>
      <c r="Q1821" t="s">
        <v>36</v>
      </c>
      <c r="R1821" t="b">
        <f>OR(Таблица1[[#This Row],[Ежемесячный платеж]]&lt;$AC$5, Таблица1[[#This Row],[Ежемесячный платеж]]&gt;$AC$6)</f>
        <v>0</v>
      </c>
      <c r="S1821" s="9">
        <f>(Таблица1[[#This Row],[Размер кредита]]-21824)/(789096-21824)</f>
        <v>0.36460603280192683</v>
      </c>
      <c r="T1821" s="9">
        <f>(Таблица1[[#This Row],[Кредитный рейтинг]]-586)/(751-586)</f>
        <v>0.8545454545454545</v>
      </c>
      <c r="U1821" s="9">
        <f>Таблица1[[#This Row],[Ежемесячный платеж]]/(Таблица1[[#This Row],[Годовой доход]]/12)</f>
        <v>0.27000434153400871</v>
      </c>
    </row>
    <row r="1822" spans="1:21" x14ac:dyDescent="0.3">
      <c r="A1822">
        <v>1821</v>
      </c>
      <c r="B1822">
        <v>0</v>
      </c>
      <c r="C1822" s="9">
        <v>433180</v>
      </c>
      <c r="D1822">
        <f>$Y$13</f>
        <v>723</v>
      </c>
      <c r="E1822">
        <f>$AB$13</f>
        <v>1168044</v>
      </c>
      <c r="F1822">
        <v>39</v>
      </c>
      <c r="G1822">
        <v>21782.36</v>
      </c>
      <c r="H1822">
        <v>25.6</v>
      </c>
      <c r="I1822">
        <v>19</v>
      </c>
      <c r="J1822">
        <v>203034</v>
      </c>
      <c r="K1822">
        <v>236038</v>
      </c>
      <c r="L1822" t="s">
        <v>24</v>
      </c>
      <c r="M1822" t="s">
        <v>1860</v>
      </c>
      <c r="N1822" t="s">
        <v>26</v>
      </c>
      <c r="O1822" t="s">
        <v>21</v>
      </c>
      <c r="P1822" t="s">
        <v>31</v>
      </c>
      <c r="Q1822" t="s">
        <v>23</v>
      </c>
      <c r="R1822" t="b">
        <f>OR(Таблица1[[#This Row],[Ежемесячный платеж]]&lt;$AC$5, Таблица1[[#This Row],[Ежемесячный платеж]]&gt;$AC$6)</f>
        <v>0</v>
      </c>
      <c r="S1822" s="9">
        <f>(Таблица1[[#This Row],[Размер кредита]]-21824)/(789096-21824)</f>
        <v>0.53612799632985431</v>
      </c>
      <c r="T1822" s="9">
        <f>(Таблица1[[#This Row],[Кредитный рейтинг]]-586)/(751-586)</f>
        <v>0.83030303030303032</v>
      </c>
      <c r="U1822" s="9">
        <f>Таблица1[[#This Row],[Ежемесячный платеж]]/(Таблица1[[#This Row],[Годовой доход]]/12)</f>
        <v>0.22378293968377905</v>
      </c>
    </row>
    <row r="1823" spans="1:21" x14ac:dyDescent="0.3">
      <c r="A1823">
        <v>1822</v>
      </c>
      <c r="B1823">
        <v>1</v>
      </c>
      <c r="C1823" s="9">
        <v>434632</v>
      </c>
      <c r="D1823">
        <v>615</v>
      </c>
      <c r="E1823" s="1">
        <v>1557753</v>
      </c>
      <c r="F1823">
        <v>67</v>
      </c>
      <c r="G1823">
        <v>14539.18</v>
      </c>
      <c r="H1823">
        <v>14.1</v>
      </c>
      <c r="I1823">
        <v>16</v>
      </c>
      <c r="J1823">
        <v>146737</v>
      </c>
      <c r="K1823">
        <v>302302</v>
      </c>
      <c r="L1823" t="s">
        <v>24</v>
      </c>
      <c r="M1823" t="s">
        <v>1861</v>
      </c>
      <c r="N1823" t="s">
        <v>26</v>
      </c>
      <c r="O1823" t="s">
        <v>34</v>
      </c>
      <c r="P1823" t="s">
        <v>31</v>
      </c>
      <c r="Q1823" t="s">
        <v>23</v>
      </c>
      <c r="R1823" t="b">
        <f>OR(Таблица1[[#This Row],[Ежемесячный платеж]]&lt;$AC$5, Таблица1[[#This Row],[Ежемесячный платеж]]&gt;$AC$6)</f>
        <v>0</v>
      </c>
      <c r="S1823" s="9">
        <f>(Таблица1[[#This Row],[Размер кредита]]-21824)/(789096-21824)</f>
        <v>0.5380204151852277</v>
      </c>
      <c r="T1823" s="9">
        <f>(Таблица1[[#This Row],[Кредитный рейтинг]]-586)/(751-586)</f>
        <v>0.17575757575757575</v>
      </c>
      <c r="U1823" s="9">
        <f>Таблица1[[#This Row],[Ежемесячный платеж]]/(Таблица1[[#This Row],[Годовой доход]]/12)</f>
        <v>0.11200117091734056</v>
      </c>
    </row>
    <row r="1824" spans="1:21" x14ac:dyDescent="0.3">
      <c r="A1824">
        <v>1823</v>
      </c>
      <c r="B1824">
        <v>1</v>
      </c>
      <c r="C1824" s="9">
        <v>110946</v>
      </c>
      <c r="D1824">
        <v>718</v>
      </c>
      <c r="E1824" s="1">
        <v>1628889</v>
      </c>
      <c r="F1824">
        <v>0</v>
      </c>
      <c r="G1824">
        <v>22532.86</v>
      </c>
      <c r="H1824">
        <v>22.5</v>
      </c>
      <c r="I1824">
        <v>8</v>
      </c>
      <c r="J1824">
        <v>375326</v>
      </c>
      <c r="K1824">
        <v>510092</v>
      </c>
      <c r="L1824" t="s">
        <v>24</v>
      </c>
      <c r="M1824" t="s">
        <v>1862</v>
      </c>
      <c r="N1824" t="s">
        <v>26</v>
      </c>
      <c r="O1824" t="s">
        <v>28</v>
      </c>
      <c r="P1824" t="s">
        <v>22</v>
      </c>
      <c r="Q1824" t="s">
        <v>23</v>
      </c>
      <c r="R1824" t="b">
        <f>OR(Таблица1[[#This Row],[Ежемесячный платеж]]&lt;$AC$5, Таблица1[[#This Row],[Ежемесячный платеж]]&gt;$AC$6)</f>
        <v>0</v>
      </c>
      <c r="S1824" s="9">
        <f>(Таблица1[[#This Row],[Размер кредита]]-21824)/(789096-21824)</f>
        <v>0.11615437550177772</v>
      </c>
      <c r="T1824" s="9">
        <f>(Таблица1[[#This Row],[Кредитный рейтинг]]-586)/(751-586)</f>
        <v>0.8</v>
      </c>
      <c r="U1824" s="9">
        <f>Таблица1[[#This Row],[Ежемесячный платеж]]/(Таблица1[[#This Row],[Годовой доход]]/12)</f>
        <v>0.16599923015012072</v>
      </c>
    </row>
    <row r="1825" spans="1:21" x14ac:dyDescent="0.3">
      <c r="A1825">
        <v>1824</v>
      </c>
      <c r="B1825">
        <v>2</v>
      </c>
      <c r="C1825" s="9">
        <v>262966</v>
      </c>
      <c r="D1825">
        <v>746</v>
      </c>
      <c r="E1825" s="1">
        <v>757036</v>
      </c>
      <c r="F1825">
        <v>0</v>
      </c>
      <c r="G1825">
        <v>7128.8</v>
      </c>
      <c r="H1825">
        <v>16.8</v>
      </c>
      <c r="I1825">
        <v>7</v>
      </c>
      <c r="J1825">
        <v>189601</v>
      </c>
      <c r="K1825">
        <v>381128</v>
      </c>
      <c r="L1825" t="s">
        <v>52</v>
      </c>
      <c r="M1825" t="s">
        <v>1863</v>
      </c>
      <c r="N1825" t="s">
        <v>26</v>
      </c>
      <c r="O1825" t="s">
        <v>21</v>
      </c>
      <c r="P1825" t="s">
        <v>22</v>
      </c>
      <c r="Q1825" t="s">
        <v>23</v>
      </c>
      <c r="R1825" t="b">
        <f>OR(Таблица1[[#This Row],[Ежемесячный платеж]]&lt;$AC$5, Таблица1[[#This Row],[Ежемесячный платеж]]&gt;$AC$6)</f>
        <v>0</v>
      </c>
      <c r="S1825" s="9">
        <f>(Таблица1[[#This Row],[Размер кредита]]-21824)/(789096-21824)</f>
        <v>0.31428489505677254</v>
      </c>
      <c r="T1825" s="9">
        <f>(Таблица1[[#This Row],[Кредитный рейтинг]]-586)/(751-586)</f>
        <v>0.96969696969696972</v>
      </c>
      <c r="U1825" s="9">
        <f>Таблица1[[#This Row],[Ежемесячный платеж]]/(Таблица1[[#This Row],[Годовой доход]]/12)</f>
        <v>0.11300070274068869</v>
      </c>
    </row>
    <row r="1826" spans="1:21" x14ac:dyDescent="0.3">
      <c r="A1826">
        <v>1825</v>
      </c>
      <c r="B1826">
        <v>0</v>
      </c>
      <c r="C1826" s="9">
        <v>57552</v>
      </c>
      <c r="D1826">
        <v>739</v>
      </c>
      <c r="E1826" s="1">
        <v>439622</v>
      </c>
      <c r="F1826">
        <v>0</v>
      </c>
      <c r="G1826">
        <v>11796.53</v>
      </c>
      <c r="H1826">
        <v>18.5</v>
      </c>
      <c r="I1826">
        <v>9</v>
      </c>
      <c r="J1826">
        <v>237063</v>
      </c>
      <c r="K1826">
        <v>589072</v>
      </c>
      <c r="L1826" t="s">
        <v>69</v>
      </c>
      <c r="M1826" t="s">
        <v>1864</v>
      </c>
      <c r="N1826" t="s">
        <v>26</v>
      </c>
      <c r="O1826" t="s">
        <v>21</v>
      </c>
      <c r="P1826" t="s">
        <v>22</v>
      </c>
      <c r="Q1826" t="s">
        <v>23</v>
      </c>
      <c r="R1826" t="b">
        <f>OR(Таблица1[[#This Row],[Ежемесячный платеж]]&lt;$AC$5, Таблица1[[#This Row],[Ежемесячный платеж]]&gt;$AC$6)</f>
        <v>0</v>
      </c>
      <c r="S1826" s="9">
        <f>(Таблица1[[#This Row],[Размер кредита]]-21824)/(789096-21824)</f>
        <v>4.6564973047367821E-2</v>
      </c>
      <c r="T1826" s="9">
        <f>(Таблица1[[#This Row],[Кредитный рейтинг]]-586)/(751-586)</f>
        <v>0.92727272727272725</v>
      </c>
      <c r="U1826" s="9">
        <f>Таблица1[[#This Row],[Ежемесячный платеж]]/(Таблица1[[#This Row],[Годовой доход]]/12)</f>
        <v>0.3220001728757888</v>
      </c>
    </row>
    <row r="1827" spans="1:21" x14ac:dyDescent="0.3">
      <c r="A1827">
        <v>1826</v>
      </c>
      <c r="B1827">
        <v>1</v>
      </c>
      <c r="C1827" s="9">
        <v>240570</v>
      </c>
      <c r="D1827">
        <f>$Y$13</f>
        <v>723</v>
      </c>
      <c r="E1827">
        <f>$AB$13</f>
        <v>1168044</v>
      </c>
      <c r="F1827">
        <v>0</v>
      </c>
      <c r="G1827">
        <v>12324.35</v>
      </c>
      <c r="H1827">
        <v>13.4</v>
      </c>
      <c r="I1827">
        <v>7</v>
      </c>
      <c r="J1827">
        <v>119852</v>
      </c>
      <c r="K1827">
        <v>236390</v>
      </c>
      <c r="L1827" t="s">
        <v>63</v>
      </c>
      <c r="M1827" t="s">
        <v>1865</v>
      </c>
      <c r="N1827" t="s">
        <v>26</v>
      </c>
      <c r="O1827" t="s">
        <v>34</v>
      </c>
      <c r="P1827" t="s">
        <v>31</v>
      </c>
      <c r="Q1827" t="s">
        <v>36</v>
      </c>
      <c r="R1827" t="b">
        <f>OR(Таблица1[[#This Row],[Ежемесячный платеж]]&lt;$AC$5, Таблица1[[#This Row],[Ежемесячный платеж]]&gt;$AC$6)</f>
        <v>0</v>
      </c>
      <c r="S1827" s="9">
        <f>(Таблица1[[#This Row],[Размер кредита]]-21824)/(789096-21824)</f>
        <v>0.28509576786328705</v>
      </c>
      <c r="T1827" s="9">
        <f>(Таблица1[[#This Row],[Кредитный рейтинг]]-586)/(751-586)</f>
        <v>0.83030303030303032</v>
      </c>
      <c r="U1827" s="9">
        <f>Таблица1[[#This Row],[Ежемесячный платеж]]/(Таблица1[[#This Row],[Годовой доход]]/12)</f>
        <v>0.12661526449346086</v>
      </c>
    </row>
    <row r="1828" spans="1:21" x14ac:dyDescent="0.3">
      <c r="A1828">
        <v>1827</v>
      </c>
      <c r="B1828">
        <v>0</v>
      </c>
      <c r="C1828" s="9">
        <v>44660</v>
      </c>
      <c r="D1828">
        <v>715</v>
      </c>
      <c r="E1828" s="1">
        <v>867749</v>
      </c>
      <c r="F1828">
        <v>0</v>
      </c>
      <c r="G1828">
        <v>7672.39</v>
      </c>
      <c r="H1828">
        <v>11</v>
      </c>
      <c r="I1828">
        <v>5</v>
      </c>
      <c r="J1828">
        <v>16986</v>
      </c>
      <c r="K1828">
        <v>22330</v>
      </c>
      <c r="L1828" t="s">
        <v>37</v>
      </c>
      <c r="M1828" t="s">
        <v>1866</v>
      </c>
      <c r="N1828" t="s">
        <v>68</v>
      </c>
      <c r="O1828" t="s">
        <v>34</v>
      </c>
      <c r="P1828" t="s">
        <v>22</v>
      </c>
      <c r="Q1828" t="s">
        <v>36</v>
      </c>
      <c r="R1828" t="b">
        <f>OR(Таблица1[[#This Row],[Ежемесячный платеж]]&lt;$AC$5, Таблица1[[#This Row],[Ежемесячный платеж]]&gt;$AC$6)</f>
        <v>0</v>
      </c>
      <c r="S1828" s="9">
        <f>(Таблица1[[#This Row],[Размер кредита]]-21824)/(789096-21824)</f>
        <v>2.9762587452689528E-2</v>
      </c>
      <c r="T1828" s="9">
        <f>(Таблица1[[#This Row],[Кредитный рейтинг]]-586)/(751-586)</f>
        <v>0.78181818181818186</v>
      </c>
      <c r="U1828" s="9">
        <f>Таблица1[[#This Row],[Ежемесячный платеж]]/(Таблица1[[#This Row],[Годовой доход]]/12)</f>
        <v>0.10610058899520483</v>
      </c>
    </row>
    <row r="1829" spans="1:21" x14ac:dyDescent="0.3">
      <c r="A1829">
        <v>1828</v>
      </c>
      <c r="B1829">
        <v>0</v>
      </c>
      <c r="C1829" s="9">
        <v>448624</v>
      </c>
      <c r="D1829">
        <f>$Y$13</f>
        <v>723</v>
      </c>
      <c r="E1829">
        <f>$AB$13</f>
        <v>1168044</v>
      </c>
      <c r="F1829">
        <v>0</v>
      </c>
      <c r="G1829">
        <v>19010.830000000002</v>
      </c>
      <c r="H1829">
        <v>21.4</v>
      </c>
      <c r="I1829">
        <v>8</v>
      </c>
      <c r="J1829">
        <v>389348</v>
      </c>
      <c r="K1829">
        <v>585464</v>
      </c>
      <c r="L1829" t="s">
        <v>24</v>
      </c>
      <c r="M1829" t="s">
        <v>1867</v>
      </c>
      <c r="N1829" t="s">
        <v>26</v>
      </c>
      <c r="O1829" t="s">
        <v>21</v>
      </c>
      <c r="P1829" t="s">
        <v>22</v>
      </c>
      <c r="Q1829" t="s">
        <v>23</v>
      </c>
      <c r="R1829" t="b">
        <f>OR(Таблица1[[#This Row],[Ежемесячный платеж]]&lt;$AC$5, Таблица1[[#This Row],[Ежемесячный платеж]]&gt;$AC$6)</f>
        <v>0</v>
      </c>
      <c r="S1829" s="9">
        <f>(Таблица1[[#This Row],[Размер кредита]]-21824)/(789096-21824)</f>
        <v>0.55625645142791602</v>
      </c>
      <c r="T1829" s="9">
        <f>(Таблица1[[#This Row],[Кредитный рейтинг]]-586)/(751-586)</f>
        <v>0.83030303030303032</v>
      </c>
      <c r="U1829" s="9">
        <f>Таблица1[[#This Row],[Ежемесячный платеж]]/(Таблица1[[#This Row],[Годовой доход]]/12)</f>
        <v>0.19530938902986533</v>
      </c>
    </row>
    <row r="1830" spans="1:21" x14ac:dyDescent="0.3">
      <c r="A1830">
        <v>1829</v>
      </c>
      <c r="B1830">
        <v>0</v>
      </c>
      <c r="C1830" s="9">
        <v>341352</v>
      </c>
      <c r="D1830">
        <v>712</v>
      </c>
      <c r="E1830" s="1">
        <v>751108</v>
      </c>
      <c r="F1830">
        <v>0</v>
      </c>
      <c r="G1830">
        <v>10327.83</v>
      </c>
      <c r="H1830">
        <v>13.3</v>
      </c>
      <c r="I1830">
        <v>11</v>
      </c>
      <c r="J1830">
        <v>81377</v>
      </c>
      <c r="K1830">
        <v>110858</v>
      </c>
      <c r="L1830" t="s">
        <v>37</v>
      </c>
      <c r="M1830" t="s">
        <v>248</v>
      </c>
      <c r="N1830" t="s">
        <v>26</v>
      </c>
      <c r="O1830" t="s">
        <v>21</v>
      </c>
      <c r="P1830" t="s">
        <v>31</v>
      </c>
      <c r="Q1830" t="s">
        <v>23</v>
      </c>
      <c r="R1830" t="b">
        <f>OR(Таблица1[[#This Row],[Ежемесячный платеж]]&lt;$AC$5, Таблица1[[#This Row],[Ежемесячный платеж]]&gt;$AC$6)</f>
        <v>0</v>
      </c>
      <c r="S1830" s="9">
        <f>(Таблица1[[#This Row],[Размер кредита]]-21824)/(789096-21824)</f>
        <v>0.41644684023397177</v>
      </c>
      <c r="T1830" s="9">
        <f>(Таблица1[[#This Row],[Кредитный рейтинг]]-586)/(751-586)</f>
        <v>0.76363636363636367</v>
      </c>
      <c r="U1830" s="9">
        <f>Таблица1[[#This Row],[Ежемесячный платеж]]/(Таблица1[[#This Row],[Годовой доход]]/12)</f>
        <v>0.16500151775776586</v>
      </c>
    </row>
    <row r="1831" spans="1:21" x14ac:dyDescent="0.3">
      <c r="A1831">
        <v>1830</v>
      </c>
      <c r="B1831">
        <v>0</v>
      </c>
      <c r="C1831" s="9">
        <v>446952</v>
      </c>
      <c r="D1831">
        <f>$Y$13</f>
        <v>723</v>
      </c>
      <c r="E1831">
        <f>$AB$13</f>
        <v>1168044</v>
      </c>
      <c r="F1831">
        <v>36</v>
      </c>
      <c r="G1831">
        <v>31668.44</v>
      </c>
      <c r="H1831">
        <v>21.5</v>
      </c>
      <c r="I1831">
        <v>13</v>
      </c>
      <c r="J1831">
        <v>298813</v>
      </c>
      <c r="K1831">
        <v>596530</v>
      </c>
      <c r="L1831" t="s">
        <v>24</v>
      </c>
      <c r="M1831" t="s">
        <v>1868</v>
      </c>
      <c r="N1831" t="s">
        <v>26</v>
      </c>
      <c r="O1831" t="s">
        <v>21</v>
      </c>
      <c r="P1831" t="s">
        <v>31</v>
      </c>
      <c r="Q1831" t="s">
        <v>36</v>
      </c>
      <c r="R1831" t="b">
        <f>OR(Таблица1[[#This Row],[Ежемесячный платеж]]&lt;$AC$5, Таблица1[[#This Row],[Ежемесячный платеж]]&gt;$AC$6)</f>
        <v>0</v>
      </c>
      <c r="S1831" s="9">
        <f>(Таблица1[[#This Row],[Размер кредита]]-21824)/(789096-21824)</f>
        <v>0.55407730244294073</v>
      </c>
      <c r="T1831" s="9">
        <f>(Таблица1[[#This Row],[Кредитный рейтинг]]-586)/(751-586)</f>
        <v>0.83030303030303032</v>
      </c>
      <c r="U1831" s="9">
        <f>Таблица1[[#This Row],[Ежемесячный платеж]]/(Таблица1[[#This Row],[Годовой доход]]/12)</f>
        <v>0.3253484286550849</v>
      </c>
    </row>
    <row r="1832" spans="1:21" x14ac:dyDescent="0.3">
      <c r="A1832">
        <v>1831</v>
      </c>
      <c r="B1832">
        <v>0</v>
      </c>
      <c r="C1832" s="9">
        <v>175802</v>
      </c>
      <c r="D1832">
        <f>$Y$13</f>
        <v>723</v>
      </c>
      <c r="E1832">
        <f>$AB$13</f>
        <v>1168044</v>
      </c>
      <c r="F1832">
        <v>0</v>
      </c>
      <c r="G1832">
        <v>11914.52</v>
      </c>
      <c r="H1832">
        <v>12.7</v>
      </c>
      <c r="I1832">
        <v>13</v>
      </c>
      <c r="J1832">
        <v>202711</v>
      </c>
      <c r="K1832">
        <v>342650</v>
      </c>
      <c r="L1832" t="s">
        <v>63</v>
      </c>
      <c r="M1832" t="s">
        <v>1869</v>
      </c>
      <c r="N1832" t="s">
        <v>26</v>
      </c>
      <c r="O1832" t="s">
        <v>34</v>
      </c>
      <c r="P1832" t="s">
        <v>22</v>
      </c>
      <c r="Q1832" t="s">
        <v>23</v>
      </c>
      <c r="R1832" t="b">
        <f>OR(Таблица1[[#This Row],[Ежемесячный платеж]]&lt;$AC$5, Таблица1[[#This Row],[Ежемесячный платеж]]&gt;$AC$6)</f>
        <v>0</v>
      </c>
      <c r="S1832" s="9">
        <f>(Таблица1[[#This Row],[Размер кредита]]-21824)/(789096-21824)</f>
        <v>0.2006824177084528</v>
      </c>
      <c r="T1832" s="9">
        <f>(Таблица1[[#This Row],[Кредитный рейтинг]]-586)/(751-586)</f>
        <v>0.83030303030303032</v>
      </c>
      <c r="U1832" s="9">
        <f>Таблица1[[#This Row],[Ежемесячный платеж]]/(Таблица1[[#This Row],[Годовой доход]]/12)</f>
        <v>0.12240484091352724</v>
      </c>
    </row>
    <row r="1833" spans="1:21" x14ac:dyDescent="0.3">
      <c r="A1833">
        <v>1832</v>
      </c>
      <c r="B1833">
        <v>1</v>
      </c>
      <c r="C1833" s="9">
        <v>109670</v>
      </c>
      <c r="D1833">
        <v>740</v>
      </c>
      <c r="E1833" s="1">
        <v>852359</v>
      </c>
      <c r="F1833">
        <v>0</v>
      </c>
      <c r="G1833">
        <v>22303.15</v>
      </c>
      <c r="H1833">
        <v>35.5</v>
      </c>
      <c r="I1833">
        <v>16</v>
      </c>
      <c r="J1833">
        <v>110181</v>
      </c>
      <c r="K1833">
        <v>302302</v>
      </c>
      <c r="L1833" t="s">
        <v>47</v>
      </c>
      <c r="M1833" t="s">
        <v>1870</v>
      </c>
      <c r="N1833" t="s">
        <v>20</v>
      </c>
      <c r="O1833" t="s">
        <v>28</v>
      </c>
      <c r="P1833" t="s">
        <v>22</v>
      </c>
      <c r="Q1833" t="s">
        <v>23</v>
      </c>
      <c r="R1833" t="b">
        <f>OR(Таблица1[[#This Row],[Ежемесячный платеж]]&lt;$AC$5, Таблица1[[#This Row],[Ежемесячный платеж]]&gt;$AC$6)</f>
        <v>0</v>
      </c>
      <c r="S1833" s="9">
        <f>(Таблица1[[#This Row],[Размер кредита]]-21824)/(789096-21824)</f>
        <v>0.11449134075008602</v>
      </c>
      <c r="T1833" s="9">
        <f>(Таблица1[[#This Row],[Кредитный рейтинг]]-586)/(751-586)</f>
        <v>0.93333333333333335</v>
      </c>
      <c r="U1833" s="9">
        <f>Таблица1[[#This Row],[Ежемесячный платеж]]/(Таблица1[[#This Row],[Годовой доход]]/12)</f>
        <v>0.31399656717416019</v>
      </c>
    </row>
    <row r="1834" spans="1:21" x14ac:dyDescent="0.3">
      <c r="A1834">
        <v>1833</v>
      </c>
      <c r="B1834">
        <v>0</v>
      </c>
      <c r="C1834" s="9">
        <v>529848</v>
      </c>
      <c r="D1834">
        <v>694</v>
      </c>
      <c r="E1834" s="1">
        <v>1151172</v>
      </c>
      <c r="F1834">
        <v>0</v>
      </c>
      <c r="G1834">
        <v>27819.99</v>
      </c>
      <c r="H1834">
        <v>18.3</v>
      </c>
      <c r="I1834">
        <v>9</v>
      </c>
      <c r="J1834">
        <v>376029</v>
      </c>
      <c r="K1834">
        <v>570658</v>
      </c>
      <c r="L1834" t="s">
        <v>41</v>
      </c>
      <c r="M1834" t="s">
        <v>1871</v>
      </c>
      <c r="N1834" t="s">
        <v>26</v>
      </c>
      <c r="O1834" t="s">
        <v>34</v>
      </c>
      <c r="P1834" t="s">
        <v>31</v>
      </c>
      <c r="Q1834" t="s">
        <v>23</v>
      </c>
      <c r="R1834" t="b">
        <f>OR(Таблица1[[#This Row],[Ежемесячный платеж]]&lt;$AC$5, Таблица1[[#This Row],[Ежемесячный платеж]]&gt;$AC$6)</f>
        <v>0</v>
      </c>
      <c r="S1834" s="9">
        <f>(Таблица1[[#This Row],[Размер кредита]]-21824)/(789096-21824)</f>
        <v>0.66211721527698131</v>
      </c>
      <c r="T1834" s="9">
        <f>(Таблица1[[#This Row],[Кредитный рейтинг]]-586)/(751-586)</f>
        <v>0.65454545454545454</v>
      </c>
      <c r="U1834" s="9">
        <f>Таблица1[[#This Row],[Ежемесячный платеж]]/(Таблица1[[#This Row],[Годовой доход]]/12)</f>
        <v>0.29000000000000004</v>
      </c>
    </row>
    <row r="1835" spans="1:21" x14ac:dyDescent="0.3">
      <c r="A1835">
        <v>1834</v>
      </c>
      <c r="B1835">
        <v>0</v>
      </c>
      <c r="C1835" s="9">
        <v>173932</v>
      </c>
      <c r="D1835">
        <f>$Y$13</f>
        <v>723</v>
      </c>
      <c r="E1835">
        <f>$AB$13</f>
        <v>1168044</v>
      </c>
      <c r="F1835">
        <v>10</v>
      </c>
      <c r="G1835">
        <v>12697.7</v>
      </c>
      <c r="H1835">
        <v>18.399999999999999</v>
      </c>
      <c r="I1835">
        <v>7</v>
      </c>
      <c r="J1835">
        <v>85937</v>
      </c>
      <c r="K1835">
        <v>546678</v>
      </c>
      <c r="L1835" t="s">
        <v>63</v>
      </c>
      <c r="M1835" t="s">
        <v>1872</v>
      </c>
      <c r="N1835" t="s">
        <v>26</v>
      </c>
      <c r="O1835" t="s">
        <v>21</v>
      </c>
      <c r="P1835" t="s">
        <v>22</v>
      </c>
      <c r="Q1835" t="s">
        <v>23</v>
      </c>
      <c r="R1835" t="b">
        <f>OR(Таблица1[[#This Row],[Ежемесячный платеж]]&lt;$AC$5, Таблица1[[#This Row],[Ежемесячный платеж]]&gt;$AC$6)</f>
        <v>0</v>
      </c>
      <c r="S1835" s="9">
        <f>(Таблица1[[#This Row],[Размер кредита]]-21824)/(789096-21824)</f>
        <v>0.19824521160683564</v>
      </c>
      <c r="T1835" s="9">
        <f>(Таблица1[[#This Row],[Кредитный рейтинг]]-586)/(751-586)</f>
        <v>0.83030303030303032</v>
      </c>
      <c r="U1835" s="9">
        <f>Таблица1[[#This Row],[Ежемесячный платеж]]/(Таблица1[[#This Row],[Годовой доход]]/12)</f>
        <v>0.13045090767128636</v>
      </c>
    </row>
    <row r="1836" spans="1:21" x14ac:dyDescent="0.3">
      <c r="A1836">
        <v>1835</v>
      </c>
      <c r="B1836">
        <v>0</v>
      </c>
      <c r="C1836" s="9">
        <v>348766</v>
      </c>
      <c r="D1836">
        <v>712</v>
      </c>
      <c r="E1836" s="1">
        <v>1351546</v>
      </c>
      <c r="F1836">
        <v>50</v>
      </c>
      <c r="G1836">
        <v>38406.410000000003</v>
      </c>
      <c r="H1836">
        <v>15.4</v>
      </c>
      <c r="I1836">
        <v>16</v>
      </c>
      <c r="J1836">
        <v>583661</v>
      </c>
      <c r="K1836">
        <v>1071004</v>
      </c>
      <c r="L1836" t="s">
        <v>24</v>
      </c>
      <c r="M1836" t="s">
        <v>1873</v>
      </c>
      <c r="N1836" t="s">
        <v>26</v>
      </c>
      <c r="O1836" t="s">
        <v>21</v>
      </c>
      <c r="P1836" t="s">
        <v>31</v>
      </c>
      <c r="Q1836" t="s">
        <v>23</v>
      </c>
      <c r="R1836" t="b">
        <f>OR(Таблица1[[#This Row],[Ежемесячный платеж]]&lt;$AC$5, Таблица1[[#This Row],[Ежемесячный платеж]]&gt;$AC$6)</f>
        <v>0</v>
      </c>
      <c r="S1836" s="9">
        <f>(Таблица1[[#This Row],[Размер кредита]]-21824)/(789096-21824)</f>
        <v>0.42610964560155984</v>
      </c>
      <c r="T1836" s="9">
        <f>(Таблица1[[#This Row],[Кредитный рейтинг]]-586)/(751-586)</f>
        <v>0.76363636363636367</v>
      </c>
      <c r="U1836" s="9">
        <f>Таблица1[[#This Row],[Ежемесячный платеж]]/(Таблица1[[#This Row],[Годовой доход]]/12)</f>
        <v>0.34099980318834877</v>
      </c>
    </row>
    <row r="1837" spans="1:21" x14ac:dyDescent="0.3">
      <c r="A1837">
        <v>1836</v>
      </c>
      <c r="B1837">
        <v>0</v>
      </c>
      <c r="C1837" s="9">
        <v>650826</v>
      </c>
      <c r="D1837">
        <v>648</v>
      </c>
      <c r="E1837" s="1">
        <v>1592561</v>
      </c>
      <c r="F1837">
        <v>5</v>
      </c>
      <c r="G1837">
        <v>26409.81</v>
      </c>
      <c r="H1837">
        <v>22.2</v>
      </c>
      <c r="I1837">
        <v>8</v>
      </c>
      <c r="J1837">
        <v>221939</v>
      </c>
      <c r="K1837">
        <v>293018</v>
      </c>
      <c r="L1837" t="s">
        <v>24</v>
      </c>
      <c r="M1837" t="s">
        <v>1874</v>
      </c>
      <c r="N1837" t="s">
        <v>76</v>
      </c>
      <c r="O1837" t="s">
        <v>34</v>
      </c>
      <c r="P1837" t="s">
        <v>31</v>
      </c>
      <c r="Q1837" t="s">
        <v>36</v>
      </c>
      <c r="R1837" t="b">
        <f>OR(Таблица1[[#This Row],[Ежемесячный платеж]]&lt;$AC$5, Таблица1[[#This Row],[Ежемесячный платеж]]&gt;$AC$6)</f>
        <v>0</v>
      </c>
      <c r="S1837" s="9">
        <f>(Таблица1[[#This Row],[Размер кредита]]-21824)/(789096-21824)</f>
        <v>0.81979011354513132</v>
      </c>
      <c r="T1837" s="9">
        <f>(Таблица1[[#This Row],[Кредитный рейтинг]]-586)/(751-586)</f>
        <v>0.37575757575757573</v>
      </c>
      <c r="U1837" s="9">
        <f>Таблица1[[#This Row],[Ежемесячный платеж]]/(Таблица1[[#This Row],[Годовой доход]]/12)</f>
        <v>0.19899879502260825</v>
      </c>
    </row>
    <row r="1838" spans="1:21" x14ac:dyDescent="0.3">
      <c r="A1838">
        <v>1837</v>
      </c>
      <c r="B1838">
        <v>0</v>
      </c>
      <c r="C1838" s="9">
        <v>420244</v>
      </c>
      <c r="D1838">
        <v>703</v>
      </c>
      <c r="E1838" s="1">
        <v>728707</v>
      </c>
      <c r="F1838">
        <v>3</v>
      </c>
      <c r="G1838">
        <v>15424.2</v>
      </c>
      <c r="H1838">
        <v>37.1</v>
      </c>
      <c r="I1838">
        <v>13</v>
      </c>
      <c r="J1838">
        <v>341335</v>
      </c>
      <c r="K1838">
        <v>811558</v>
      </c>
      <c r="L1838" t="s">
        <v>24</v>
      </c>
      <c r="M1838" t="s">
        <v>1875</v>
      </c>
      <c r="N1838" t="s">
        <v>26</v>
      </c>
      <c r="O1838" t="s">
        <v>21</v>
      </c>
      <c r="P1838" t="s">
        <v>31</v>
      </c>
      <c r="Q1838" t="s">
        <v>23</v>
      </c>
      <c r="R1838" t="b">
        <f>OR(Таблица1[[#This Row],[Ежемесячный платеж]]&lt;$AC$5, Таблица1[[#This Row],[Ежемесячный платеж]]&gt;$AC$6)</f>
        <v>0</v>
      </c>
      <c r="S1838" s="9">
        <f>(Таблица1[[#This Row],[Размер кредита]]-21824)/(789096-21824)</f>
        <v>0.51926826470925569</v>
      </c>
      <c r="T1838" s="9">
        <f>(Таблица1[[#This Row],[Кредитный рейтинг]]-586)/(751-586)</f>
        <v>0.70909090909090911</v>
      </c>
      <c r="U1838" s="9">
        <f>Таблица1[[#This Row],[Ежемесячный платеж]]/(Таблица1[[#This Row],[Годовой доход]]/12)</f>
        <v>0.25399838343806219</v>
      </c>
    </row>
    <row r="1839" spans="1:21" x14ac:dyDescent="0.3">
      <c r="A1839">
        <v>1838</v>
      </c>
      <c r="B1839">
        <v>0</v>
      </c>
      <c r="C1839" s="9">
        <v>466972</v>
      </c>
      <c r="D1839">
        <v>722</v>
      </c>
      <c r="E1839" s="1">
        <v>1442328</v>
      </c>
      <c r="F1839">
        <v>43</v>
      </c>
      <c r="G1839">
        <v>21009.82</v>
      </c>
      <c r="H1839">
        <v>38</v>
      </c>
      <c r="I1839">
        <v>12</v>
      </c>
      <c r="J1839">
        <v>606290</v>
      </c>
      <c r="K1839">
        <v>879736</v>
      </c>
      <c r="L1839" t="s">
        <v>24</v>
      </c>
      <c r="M1839" t="s">
        <v>1876</v>
      </c>
      <c r="N1839" t="s">
        <v>26</v>
      </c>
      <c r="O1839" t="s">
        <v>21</v>
      </c>
      <c r="P1839" t="s">
        <v>22</v>
      </c>
      <c r="Q1839" t="s">
        <v>23</v>
      </c>
      <c r="R1839" t="b">
        <f>OR(Таблица1[[#This Row],[Ежемесячный платеж]]&lt;$AC$5, Таблица1[[#This Row],[Ежемесячный платеж]]&gt;$AC$6)</f>
        <v>0</v>
      </c>
      <c r="S1839" s="9">
        <f>(Таблица1[[#This Row],[Размер кредита]]-21824)/(789096-21824)</f>
        <v>0.58016974423672441</v>
      </c>
      <c r="T1839" s="9">
        <f>(Таблица1[[#This Row],[Кредитный рейтинг]]-586)/(751-586)</f>
        <v>0.82424242424242422</v>
      </c>
      <c r="U1839" s="9">
        <f>Таблица1[[#This Row],[Ежемесячный платеж]]/(Таблица1[[#This Row],[Годовой доход]]/12)</f>
        <v>0.17479924122668353</v>
      </c>
    </row>
    <row r="1840" spans="1:21" x14ac:dyDescent="0.3">
      <c r="A1840">
        <v>1839</v>
      </c>
      <c r="B1840">
        <v>0</v>
      </c>
      <c r="C1840" s="9">
        <v>131846</v>
      </c>
      <c r="D1840">
        <v>730</v>
      </c>
      <c r="E1840" s="1">
        <v>1518176</v>
      </c>
      <c r="F1840">
        <v>7</v>
      </c>
      <c r="G1840">
        <v>14675.6</v>
      </c>
      <c r="H1840">
        <v>15.6</v>
      </c>
      <c r="I1840">
        <v>16</v>
      </c>
      <c r="J1840">
        <v>118617</v>
      </c>
      <c r="K1840">
        <v>164890</v>
      </c>
      <c r="L1840" t="s">
        <v>69</v>
      </c>
      <c r="M1840" t="s">
        <v>1877</v>
      </c>
      <c r="N1840" t="s">
        <v>26</v>
      </c>
      <c r="O1840" t="s">
        <v>28</v>
      </c>
      <c r="P1840" t="s">
        <v>22</v>
      </c>
      <c r="Q1840" t="s">
        <v>23</v>
      </c>
      <c r="R1840" t="b">
        <f>OR(Таблица1[[#This Row],[Ежемесячный платеж]]&lt;$AC$5, Таблица1[[#This Row],[Ежемесячный платеж]]&gt;$AC$6)</f>
        <v>0</v>
      </c>
      <c r="S1840" s="9">
        <f>(Таблица1[[#This Row],[Размер кредита]]-21824)/(789096-21824)</f>
        <v>0.1433937378139695</v>
      </c>
      <c r="T1840" s="9">
        <f>(Таблица1[[#This Row],[Кредитный рейтинг]]-586)/(751-586)</f>
        <v>0.87272727272727268</v>
      </c>
      <c r="U1840" s="9">
        <f>Таблица1[[#This Row],[Ежемесячный платеж]]/(Таблица1[[#This Row],[Годовой доход]]/12)</f>
        <v>0.11599919903884662</v>
      </c>
    </row>
    <row r="1841" spans="1:21" x14ac:dyDescent="0.3">
      <c r="A1841">
        <v>1840</v>
      </c>
      <c r="B1841">
        <v>0</v>
      </c>
      <c r="C1841" s="9">
        <v>304722</v>
      </c>
      <c r="D1841">
        <v>731</v>
      </c>
      <c r="E1841" s="1">
        <v>558942</v>
      </c>
      <c r="F1841">
        <v>52</v>
      </c>
      <c r="G1841">
        <v>8477.23</v>
      </c>
      <c r="H1841">
        <v>16.399999999999999</v>
      </c>
      <c r="I1841">
        <v>5</v>
      </c>
      <c r="J1841">
        <v>453473</v>
      </c>
      <c r="K1841">
        <v>1039742</v>
      </c>
      <c r="L1841" t="s">
        <v>47</v>
      </c>
      <c r="M1841" t="s">
        <v>1878</v>
      </c>
      <c r="N1841" t="s">
        <v>26</v>
      </c>
      <c r="O1841" t="s">
        <v>34</v>
      </c>
      <c r="P1841" t="s">
        <v>22</v>
      </c>
      <c r="Q1841" t="s">
        <v>23</v>
      </c>
      <c r="R1841" t="b">
        <f>OR(Таблица1[[#This Row],[Ежемесячный платеж]]&lt;$AC$5, Таблица1[[#This Row],[Ежемесячный платеж]]&gt;$AC$6)</f>
        <v>0</v>
      </c>
      <c r="S1841" s="9">
        <f>(Таблица1[[#This Row],[Размер кредита]]-21824)/(789096-21824)</f>
        <v>0.36870627365523567</v>
      </c>
      <c r="T1841" s="9">
        <f>(Таблица1[[#This Row],[Кредитный рейтинг]]-586)/(751-586)</f>
        <v>0.87878787878787878</v>
      </c>
      <c r="U1841" s="9">
        <f>Таблица1[[#This Row],[Ежемесячный платеж]]/(Таблица1[[#This Row],[Годовой доход]]/12)</f>
        <v>0.181998776259433</v>
      </c>
    </row>
    <row r="1842" spans="1:21" x14ac:dyDescent="0.3">
      <c r="A1842">
        <v>1841</v>
      </c>
      <c r="B1842">
        <v>0</v>
      </c>
      <c r="C1842" s="9">
        <v>176660</v>
      </c>
      <c r="D1842">
        <v>705</v>
      </c>
      <c r="E1842" s="1">
        <v>1844444</v>
      </c>
      <c r="F1842">
        <v>14</v>
      </c>
      <c r="G1842">
        <v>23347.58</v>
      </c>
      <c r="H1842">
        <v>28.9</v>
      </c>
      <c r="I1842">
        <v>16</v>
      </c>
      <c r="J1842">
        <v>1009394</v>
      </c>
      <c r="K1842">
        <v>2850672</v>
      </c>
      <c r="L1842" t="s">
        <v>37</v>
      </c>
      <c r="M1842" t="s">
        <v>1879</v>
      </c>
      <c r="N1842" t="s">
        <v>71</v>
      </c>
      <c r="O1842" t="s">
        <v>21</v>
      </c>
      <c r="P1842" t="s">
        <v>31</v>
      </c>
      <c r="Q1842" t="s">
        <v>23</v>
      </c>
      <c r="R1842" t="b">
        <f>OR(Таблица1[[#This Row],[Ежемесячный платеж]]&lt;$AC$5, Таблица1[[#This Row],[Ежемесячный платеж]]&gt;$AC$6)</f>
        <v>0</v>
      </c>
      <c r="S1842" s="9">
        <f>(Таблица1[[#This Row],[Размер кредита]]-21824)/(789096-21824)</f>
        <v>0.20180066521390067</v>
      </c>
      <c r="T1842" s="9">
        <f>(Таблица1[[#This Row],[Кредитный рейтинг]]-586)/(751-586)</f>
        <v>0.72121212121212119</v>
      </c>
      <c r="U1842" s="9">
        <f>Таблица1[[#This Row],[Ежемесячный платеж]]/(Таблица1[[#This Row],[Годовой доход]]/12)</f>
        <v>0.15189995467468789</v>
      </c>
    </row>
    <row r="1843" spans="1:21" x14ac:dyDescent="0.3">
      <c r="A1843">
        <v>1842</v>
      </c>
      <c r="B1843">
        <v>0</v>
      </c>
      <c r="C1843" s="9">
        <v>220528</v>
      </c>
      <c r="D1843">
        <v>664</v>
      </c>
      <c r="E1843" s="1">
        <v>914185</v>
      </c>
      <c r="F1843">
        <v>6</v>
      </c>
      <c r="G1843">
        <v>13103.35</v>
      </c>
      <c r="H1843">
        <v>32.5</v>
      </c>
      <c r="I1843">
        <v>8</v>
      </c>
      <c r="J1843">
        <v>78261</v>
      </c>
      <c r="K1843">
        <v>187594</v>
      </c>
      <c r="L1843" t="s">
        <v>29</v>
      </c>
      <c r="M1843" t="s">
        <v>1880</v>
      </c>
      <c r="N1843" t="s">
        <v>68</v>
      </c>
      <c r="O1843" t="s">
        <v>34</v>
      </c>
      <c r="P1843" t="s">
        <v>22</v>
      </c>
      <c r="Q1843" t="s">
        <v>36</v>
      </c>
      <c r="R1843" t="b">
        <f>OR(Таблица1[[#This Row],[Ежемесячный платеж]]&lt;$AC$5, Таблица1[[#This Row],[Ежемесячный платеж]]&gt;$AC$6)</f>
        <v>0</v>
      </c>
      <c r="S1843" s="9">
        <f>(Таблица1[[#This Row],[Размер кредита]]-21824)/(789096-21824)</f>
        <v>0.25897465305654316</v>
      </c>
      <c r="T1843" s="9">
        <f>(Таблица1[[#This Row],[Кредитный рейтинг]]-586)/(751-586)</f>
        <v>0.47272727272727272</v>
      </c>
      <c r="U1843" s="9">
        <f>Таблица1[[#This Row],[Ежемесячный платеж]]/(Таблица1[[#This Row],[Годовой доход]]/12)</f>
        <v>0.17200041567078875</v>
      </c>
    </row>
    <row r="1844" spans="1:21" x14ac:dyDescent="0.3">
      <c r="A1844">
        <v>1843</v>
      </c>
      <c r="B1844">
        <v>0</v>
      </c>
      <c r="C1844" s="9">
        <v>179036</v>
      </c>
      <c r="D1844">
        <f>$Y$13</f>
        <v>723</v>
      </c>
      <c r="E1844">
        <f>$AB$13</f>
        <v>1168044</v>
      </c>
      <c r="F1844">
        <v>0</v>
      </c>
      <c r="G1844">
        <v>29207.18</v>
      </c>
      <c r="H1844">
        <v>21.5</v>
      </c>
      <c r="I1844">
        <v>16</v>
      </c>
      <c r="J1844">
        <v>587689</v>
      </c>
      <c r="K1844">
        <v>1283942</v>
      </c>
      <c r="L1844" t="s">
        <v>52</v>
      </c>
      <c r="M1844" t="s">
        <v>1881</v>
      </c>
      <c r="N1844" t="s">
        <v>26</v>
      </c>
      <c r="O1844" t="s">
        <v>21</v>
      </c>
      <c r="P1844" t="s">
        <v>22</v>
      </c>
      <c r="Q1844" t="s">
        <v>23</v>
      </c>
      <c r="R1844" t="b">
        <f>OR(Таблица1[[#This Row],[Ежемесячный платеж]]&lt;$AC$5, Таблица1[[#This Row],[Ежемесячный платеж]]&gt;$AC$6)</f>
        <v>0</v>
      </c>
      <c r="S1844" s="9">
        <f>(Таблица1[[#This Row],[Размер кредита]]-21824)/(789096-21824)</f>
        <v>0.20489735061360248</v>
      </c>
      <c r="T1844" s="9">
        <f>(Таблица1[[#This Row],[Кредитный рейтинг]]-586)/(751-586)</f>
        <v>0.83030303030303032</v>
      </c>
      <c r="U1844" s="9">
        <f>Таблица1[[#This Row],[Ежемесячный платеж]]/(Таблица1[[#This Row],[Годовой доход]]/12)</f>
        <v>0.30006246340035136</v>
      </c>
    </row>
    <row r="1845" spans="1:21" x14ac:dyDescent="0.3">
      <c r="A1845">
        <v>1844</v>
      </c>
      <c r="B1845">
        <v>0</v>
      </c>
      <c r="C1845" s="9">
        <v>133100</v>
      </c>
      <c r="D1845">
        <f>$Y$13</f>
        <v>723</v>
      </c>
      <c r="E1845">
        <f>$AB$13</f>
        <v>1168044</v>
      </c>
      <c r="F1845">
        <v>0</v>
      </c>
      <c r="G1845">
        <v>7548.89</v>
      </c>
      <c r="H1845">
        <v>28.1</v>
      </c>
      <c r="I1845">
        <v>7</v>
      </c>
      <c r="J1845">
        <v>195111</v>
      </c>
      <c r="K1845">
        <v>430298</v>
      </c>
      <c r="L1845" t="s">
        <v>24</v>
      </c>
      <c r="M1845" t="s">
        <v>1882</v>
      </c>
      <c r="N1845" t="s">
        <v>26</v>
      </c>
      <c r="O1845" t="s">
        <v>28</v>
      </c>
      <c r="P1845" t="s">
        <v>22</v>
      </c>
      <c r="Q1845" t="s">
        <v>23</v>
      </c>
      <c r="R1845" t="b">
        <f>OR(Таблица1[[#This Row],[Ежемесячный платеж]]&lt;$AC$5, Таблица1[[#This Row],[Ежемесячный платеж]]&gt;$AC$6)</f>
        <v>0</v>
      </c>
      <c r="S1845" s="9">
        <f>(Таблица1[[#This Row],[Размер кредита]]-21824)/(789096-21824)</f>
        <v>0.14502809955270099</v>
      </c>
      <c r="T1845" s="9">
        <f>(Таблица1[[#This Row],[Кредитный рейтинг]]-586)/(751-586)</f>
        <v>0.83030303030303032</v>
      </c>
      <c r="U1845" s="9">
        <f>Таблица1[[#This Row],[Ежемесячный платеж]]/(Таблица1[[#This Row],[Годовой доход]]/12)</f>
        <v>7.7554167479992192E-2</v>
      </c>
    </row>
    <row r="1846" spans="1:21" x14ac:dyDescent="0.3">
      <c r="A1846">
        <v>1845</v>
      </c>
      <c r="B1846">
        <v>0</v>
      </c>
      <c r="C1846" s="9">
        <v>448624</v>
      </c>
      <c r="D1846">
        <v>709</v>
      </c>
      <c r="E1846" s="1">
        <v>1356068</v>
      </c>
      <c r="F1846">
        <v>0</v>
      </c>
      <c r="G1846">
        <v>15594.82</v>
      </c>
      <c r="H1846">
        <v>23.4</v>
      </c>
      <c r="I1846">
        <v>6</v>
      </c>
      <c r="J1846">
        <v>219488</v>
      </c>
      <c r="K1846">
        <v>531696</v>
      </c>
      <c r="L1846" t="s">
        <v>52</v>
      </c>
      <c r="M1846" t="s">
        <v>1883</v>
      </c>
      <c r="N1846" t="s">
        <v>26</v>
      </c>
      <c r="O1846" t="s">
        <v>34</v>
      </c>
      <c r="P1846" t="s">
        <v>31</v>
      </c>
      <c r="Q1846" t="s">
        <v>23</v>
      </c>
      <c r="R1846" t="b">
        <f>OR(Таблица1[[#This Row],[Ежемесячный платеж]]&lt;$AC$5, Таблица1[[#This Row],[Ежемесячный платеж]]&gt;$AC$6)</f>
        <v>0</v>
      </c>
      <c r="S1846" s="9">
        <f>(Таблица1[[#This Row],[Размер кредита]]-21824)/(789096-21824)</f>
        <v>0.55625645142791602</v>
      </c>
      <c r="T1846" s="9">
        <f>(Таблица1[[#This Row],[Кредитный рейтинг]]-586)/(751-586)</f>
        <v>0.74545454545454548</v>
      </c>
      <c r="U1846" s="9">
        <f>Таблица1[[#This Row],[Ежемесячный платеж]]/(Таблица1[[#This Row],[Годовой доход]]/12)</f>
        <v>0.13800033626632291</v>
      </c>
    </row>
    <row r="1847" spans="1:21" x14ac:dyDescent="0.3">
      <c r="A1847">
        <v>1846</v>
      </c>
      <c r="B1847">
        <v>0</v>
      </c>
      <c r="C1847" s="9">
        <v>460372</v>
      </c>
      <c r="D1847">
        <v>701</v>
      </c>
      <c r="E1847" s="1">
        <v>1322153</v>
      </c>
      <c r="F1847">
        <v>72</v>
      </c>
      <c r="G1847">
        <v>10103.44</v>
      </c>
      <c r="H1847">
        <v>13.5</v>
      </c>
      <c r="I1847">
        <v>8</v>
      </c>
      <c r="J1847">
        <v>208354</v>
      </c>
      <c r="K1847">
        <v>334620</v>
      </c>
      <c r="L1847" t="s">
        <v>24</v>
      </c>
      <c r="M1847" t="s">
        <v>1884</v>
      </c>
      <c r="N1847" t="s">
        <v>26</v>
      </c>
      <c r="O1847" t="s">
        <v>21</v>
      </c>
      <c r="P1847" t="s">
        <v>31</v>
      </c>
      <c r="Q1847" t="s">
        <v>23</v>
      </c>
      <c r="R1847" t="b">
        <f>OR(Таблица1[[#This Row],[Ежемесячный платеж]]&lt;$AC$5, Таблица1[[#This Row],[Ежемесячный платеж]]&gt;$AC$6)</f>
        <v>0</v>
      </c>
      <c r="S1847" s="9">
        <f>(Таблица1[[#This Row],[Размер кредита]]-21824)/(789096-21824)</f>
        <v>0.57156784034866381</v>
      </c>
      <c r="T1847" s="9">
        <f>(Таблица1[[#This Row],[Кредитный рейтинг]]-586)/(751-586)</f>
        <v>0.69696969696969702</v>
      </c>
      <c r="U1847" s="9">
        <f>Таблица1[[#This Row],[Ежемесячный платеж]]/(Таблица1[[#This Row],[Годовой доход]]/12)</f>
        <v>9.1699886473048123E-2</v>
      </c>
    </row>
    <row r="1848" spans="1:21" x14ac:dyDescent="0.3">
      <c r="A1848">
        <v>1847</v>
      </c>
      <c r="B1848">
        <v>0</v>
      </c>
      <c r="C1848" s="9">
        <v>233332</v>
      </c>
      <c r="D1848">
        <v>724</v>
      </c>
      <c r="E1848" s="1">
        <v>921272</v>
      </c>
      <c r="F1848">
        <v>34</v>
      </c>
      <c r="G1848">
        <v>12437.21</v>
      </c>
      <c r="H1848">
        <v>17</v>
      </c>
      <c r="I1848">
        <v>10</v>
      </c>
      <c r="J1848">
        <v>123120</v>
      </c>
      <c r="K1848">
        <v>304612</v>
      </c>
      <c r="L1848" t="s">
        <v>24</v>
      </c>
      <c r="M1848" t="s">
        <v>1885</v>
      </c>
      <c r="N1848" t="s">
        <v>26</v>
      </c>
      <c r="O1848" t="s">
        <v>21</v>
      </c>
      <c r="P1848" t="s">
        <v>22</v>
      </c>
      <c r="Q1848" t="s">
        <v>23</v>
      </c>
      <c r="R1848" t="b">
        <f>OR(Таблица1[[#This Row],[Ежемесячный платеж]]&lt;$AC$5, Таблица1[[#This Row],[Ежемесячный платеж]]&gt;$AC$6)</f>
        <v>0</v>
      </c>
      <c r="S1848" s="9">
        <f>(Таблица1[[#This Row],[Размер кредита]]-21824)/(789096-21824)</f>
        <v>0.27566234659938066</v>
      </c>
      <c r="T1848" s="9">
        <f>(Таблица1[[#This Row],[Кредитный рейтинг]]-586)/(751-586)</f>
        <v>0.83636363636363631</v>
      </c>
      <c r="U1848" s="9">
        <f>Таблица1[[#This Row],[Ежемесячный платеж]]/(Таблица1[[#This Row],[Годовой доход]]/12)</f>
        <v>0.16200049496782706</v>
      </c>
    </row>
    <row r="1849" spans="1:21" x14ac:dyDescent="0.3">
      <c r="A1849">
        <v>1848</v>
      </c>
      <c r="B1849">
        <v>0</v>
      </c>
      <c r="C1849" s="9">
        <v>440572</v>
      </c>
      <c r="D1849">
        <f>$Y$13</f>
        <v>723</v>
      </c>
      <c r="E1849">
        <f>$AB$13</f>
        <v>1168044</v>
      </c>
      <c r="F1849">
        <v>0</v>
      </c>
      <c r="G1849">
        <v>26634.58</v>
      </c>
      <c r="H1849">
        <v>17.3</v>
      </c>
      <c r="I1849">
        <v>10</v>
      </c>
      <c r="J1849">
        <v>1229167</v>
      </c>
      <c r="K1849">
        <v>1581382</v>
      </c>
      <c r="L1849" t="s">
        <v>24</v>
      </c>
      <c r="M1849" t="s">
        <v>1886</v>
      </c>
      <c r="N1849" t="s">
        <v>26</v>
      </c>
      <c r="O1849" t="s">
        <v>21</v>
      </c>
      <c r="P1849" t="s">
        <v>22</v>
      </c>
      <c r="Q1849" t="s">
        <v>23</v>
      </c>
      <c r="R1849" t="b">
        <f>OR(Таблица1[[#This Row],[Ежемесячный платеж]]&lt;$AC$5, Таблица1[[#This Row],[Ежемесячный платеж]]&gt;$AC$6)</f>
        <v>0</v>
      </c>
      <c r="S1849" s="9">
        <f>(Таблица1[[#This Row],[Размер кредита]]-21824)/(789096-21824)</f>
        <v>0.54576212868448215</v>
      </c>
      <c r="T1849" s="9">
        <f>(Таблица1[[#This Row],[Кредитный рейтинг]]-586)/(751-586)</f>
        <v>0.83030303030303032</v>
      </c>
      <c r="U1849" s="9">
        <f>Таблица1[[#This Row],[Ежемесячный платеж]]/(Таблица1[[#This Row],[Годовой доход]]/12)</f>
        <v>0.27363263712668362</v>
      </c>
    </row>
    <row r="1850" spans="1:21" x14ac:dyDescent="0.3">
      <c r="A1850">
        <v>1849</v>
      </c>
      <c r="B1850">
        <v>0</v>
      </c>
      <c r="C1850" s="9">
        <v>281138</v>
      </c>
      <c r="D1850">
        <f>$Y$13</f>
        <v>723</v>
      </c>
      <c r="E1850">
        <f>$AB$13</f>
        <v>1168044</v>
      </c>
      <c r="F1850">
        <v>64</v>
      </c>
      <c r="G1850">
        <v>21366.45</v>
      </c>
      <c r="H1850">
        <v>12.9</v>
      </c>
      <c r="I1850">
        <v>10</v>
      </c>
      <c r="J1850">
        <v>121809</v>
      </c>
      <c r="K1850">
        <v>476498</v>
      </c>
      <c r="L1850" t="s">
        <v>29</v>
      </c>
      <c r="M1850" t="s">
        <v>1887</v>
      </c>
      <c r="N1850" t="s">
        <v>26</v>
      </c>
      <c r="O1850" t="s">
        <v>34</v>
      </c>
      <c r="P1850" t="s">
        <v>22</v>
      </c>
      <c r="Q1850" t="s">
        <v>23</v>
      </c>
      <c r="R1850" t="b">
        <f>OR(Таблица1[[#This Row],[Ежемесячный платеж]]&lt;$AC$5, Таблица1[[#This Row],[Ежемесячный платеж]]&gt;$AC$6)</f>
        <v>0</v>
      </c>
      <c r="S1850" s="9">
        <f>(Таблица1[[#This Row],[Размер кредита]]-21824)/(789096-21824)</f>
        <v>0.33796880376189931</v>
      </c>
      <c r="T1850" s="9">
        <f>(Таблица1[[#This Row],[Кредитный рейтинг]]-586)/(751-586)</f>
        <v>0.83030303030303032</v>
      </c>
      <c r="U1850" s="9">
        <f>Таблица1[[#This Row],[Ежемесячный платеж]]/(Таблица1[[#This Row],[Годовой доход]]/12)</f>
        <v>0.21951005270349405</v>
      </c>
    </row>
    <row r="1851" spans="1:21" x14ac:dyDescent="0.3">
      <c r="A1851">
        <v>1850</v>
      </c>
      <c r="B1851">
        <v>0</v>
      </c>
      <c r="D1851">
        <v>736</v>
      </c>
      <c r="E1851" s="1">
        <v>2649094</v>
      </c>
      <c r="F1851">
        <v>34</v>
      </c>
      <c r="G1851">
        <v>51657.39</v>
      </c>
      <c r="H1851">
        <v>28</v>
      </c>
      <c r="I1851">
        <v>22</v>
      </c>
      <c r="J1851">
        <v>699067</v>
      </c>
      <c r="K1851">
        <v>1140062</v>
      </c>
      <c r="L1851" t="s">
        <v>24</v>
      </c>
      <c r="M1851" t="s">
        <v>1888</v>
      </c>
      <c r="N1851" t="s">
        <v>26</v>
      </c>
      <c r="O1851" t="s">
        <v>21</v>
      </c>
      <c r="P1851" t="s">
        <v>22</v>
      </c>
      <c r="Q1851" t="s">
        <v>23</v>
      </c>
      <c r="R1851" t="b">
        <f>OR(Таблица1[[#This Row],[Ежемесячный платеж]]&lt;$AC$5, Таблица1[[#This Row],[Ежемесячный платеж]]&gt;$AC$6)</f>
        <v>1</v>
      </c>
      <c r="T1851" s="9">
        <f>(Таблица1[[#This Row],[Кредитный рейтинг]]-586)/(751-586)</f>
        <v>0.90909090909090906</v>
      </c>
      <c r="U1851" s="9">
        <f>Таблица1[[#This Row],[Ежемесячный платеж]]/(Таблица1[[#This Row],[Годовой доход]]/12)</f>
        <v>0.23400025820148321</v>
      </c>
    </row>
    <row r="1852" spans="1:21" x14ac:dyDescent="0.3">
      <c r="A1852">
        <v>1851</v>
      </c>
      <c r="B1852">
        <v>0</v>
      </c>
      <c r="D1852">
        <v>738</v>
      </c>
      <c r="E1852" s="1">
        <v>1223030</v>
      </c>
      <c r="F1852">
        <v>59</v>
      </c>
      <c r="G1852">
        <v>16714.490000000002</v>
      </c>
      <c r="H1852">
        <v>27</v>
      </c>
      <c r="I1852">
        <v>12</v>
      </c>
      <c r="J1852">
        <v>419482</v>
      </c>
      <c r="K1852">
        <v>1029050</v>
      </c>
      <c r="L1852" t="s">
        <v>47</v>
      </c>
      <c r="M1852" t="s">
        <v>1889</v>
      </c>
      <c r="N1852" t="s">
        <v>26</v>
      </c>
      <c r="O1852" t="s">
        <v>21</v>
      </c>
      <c r="P1852" t="s">
        <v>22</v>
      </c>
      <c r="Q1852" t="s">
        <v>23</v>
      </c>
      <c r="R1852" t="b">
        <f>OR(Таблица1[[#This Row],[Ежемесячный платеж]]&lt;$AC$5, Таблица1[[#This Row],[Ежемесячный платеж]]&gt;$AC$6)</f>
        <v>0</v>
      </c>
      <c r="T1852" s="9">
        <f>(Таблица1[[#This Row],[Кредитный рейтинг]]-586)/(751-586)</f>
        <v>0.92121212121212126</v>
      </c>
      <c r="U1852" s="9">
        <f>Таблица1[[#This Row],[Ежемесячный платеж]]/(Таблица1[[#This Row],[Годовой доход]]/12)</f>
        <v>0.16399751437004817</v>
      </c>
    </row>
    <row r="1853" spans="1:21" x14ac:dyDescent="0.3">
      <c r="A1853">
        <v>1852</v>
      </c>
      <c r="B1853">
        <v>1</v>
      </c>
      <c r="C1853" s="9">
        <v>144848</v>
      </c>
      <c r="D1853">
        <f>$Y$13</f>
        <v>723</v>
      </c>
      <c r="E1853">
        <f>$AB$13</f>
        <v>1168044</v>
      </c>
      <c r="F1853">
        <v>26</v>
      </c>
      <c r="G1853">
        <v>4193.1099999999997</v>
      </c>
      <c r="H1853">
        <v>12.3</v>
      </c>
      <c r="I1853">
        <v>7</v>
      </c>
      <c r="J1853">
        <v>123785</v>
      </c>
      <c r="K1853">
        <v>528880</v>
      </c>
      <c r="L1853" t="s">
        <v>24</v>
      </c>
      <c r="M1853" t="s">
        <v>1890</v>
      </c>
      <c r="N1853" t="s">
        <v>26</v>
      </c>
      <c r="O1853" t="s">
        <v>21</v>
      </c>
      <c r="P1853" t="s">
        <v>22</v>
      </c>
      <c r="Q1853" t="s">
        <v>23</v>
      </c>
      <c r="R1853" t="b">
        <f>OR(Таблица1[[#This Row],[Ежемесячный платеж]]&lt;$AC$5, Таблица1[[#This Row],[Ежемесячный платеж]]&gt;$AC$6)</f>
        <v>0</v>
      </c>
      <c r="S1853" s="9">
        <f>(Таблица1[[#This Row],[Размер кредита]]-21824)/(789096-21824)</f>
        <v>0.16033948847344878</v>
      </c>
      <c r="T1853" s="9">
        <f>(Таблица1[[#This Row],[Кредитный рейтинг]]-586)/(751-586)</f>
        <v>0.83030303030303032</v>
      </c>
      <c r="U1853" s="9">
        <f>Таблица1[[#This Row],[Ежемесячный платеж]]/(Таблица1[[#This Row],[Годовой доход]]/12)</f>
        <v>4.3078274448565289E-2</v>
      </c>
    </row>
    <row r="1854" spans="1:21" x14ac:dyDescent="0.3">
      <c r="A1854">
        <v>1853</v>
      </c>
      <c r="B1854">
        <v>0</v>
      </c>
      <c r="D1854">
        <v>749</v>
      </c>
      <c r="E1854" s="1">
        <v>1025981</v>
      </c>
      <c r="F1854">
        <v>0</v>
      </c>
      <c r="G1854">
        <v>19151.62</v>
      </c>
      <c r="H1854">
        <v>13.1</v>
      </c>
      <c r="I1854">
        <v>8</v>
      </c>
      <c r="J1854">
        <v>144267</v>
      </c>
      <c r="K1854">
        <v>431640</v>
      </c>
      <c r="L1854" t="s">
        <v>52</v>
      </c>
      <c r="M1854" t="s">
        <v>1891</v>
      </c>
      <c r="N1854" t="s">
        <v>26</v>
      </c>
      <c r="O1854" t="s">
        <v>21</v>
      </c>
      <c r="P1854" t="s">
        <v>22</v>
      </c>
      <c r="Q1854" t="s">
        <v>23</v>
      </c>
      <c r="R1854" t="b">
        <f>OR(Таблица1[[#This Row],[Ежемесячный платеж]]&lt;$AC$5, Таблица1[[#This Row],[Ежемесячный платеж]]&gt;$AC$6)</f>
        <v>0</v>
      </c>
      <c r="T1854" s="9">
        <f>(Таблица1[[#This Row],[Кредитный рейтинг]]-586)/(751-586)</f>
        <v>0.98787878787878791</v>
      </c>
      <c r="U1854" s="9">
        <f>Таблица1[[#This Row],[Ежемесячный платеж]]/(Таблица1[[#This Row],[Годовой доход]]/12)</f>
        <v>0.22399970369821662</v>
      </c>
    </row>
    <row r="1855" spans="1:21" x14ac:dyDescent="0.3">
      <c r="A1855">
        <v>1854</v>
      </c>
      <c r="B1855">
        <v>0</v>
      </c>
      <c r="C1855" s="9">
        <v>380314</v>
      </c>
      <c r="D1855">
        <f>$Y$13</f>
        <v>723</v>
      </c>
      <c r="E1855">
        <f>$AB$13</f>
        <v>1168044</v>
      </c>
      <c r="F1855">
        <v>0</v>
      </c>
      <c r="G1855">
        <v>32346.36</v>
      </c>
      <c r="H1855">
        <v>17.5</v>
      </c>
      <c r="I1855">
        <v>12</v>
      </c>
      <c r="J1855">
        <v>380893</v>
      </c>
      <c r="K1855">
        <v>598422</v>
      </c>
      <c r="L1855" t="s">
        <v>52</v>
      </c>
      <c r="M1855" t="s">
        <v>1892</v>
      </c>
      <c r="N1855" t="s">
        <v>26</v>
      </c>
      <c r="O1855" t="s">
        <v>21</v>
      </c>
      <c r="P1855" t="s">
        <v>31</v>
      </c>
      <c r="Q1855" t="s">
        <v>36</v>
      </c>
      <c r="R1855" t="b">
        <f>OR(Таблица1[[#This Row],[Ежемесячный платеж]]&lt;$AC$5, Таблица1[[#This Row],[Ежемесячный платеж]]&gt;$AC$6)</f>
        <v>0</v>
      </c>
      <c r="S1855" s="9">
        <f>(Таблица1[[#This Row],[Размер кредита]]-21824)/(789096-21824)</f>
        <v>0.46722674618648929</v>
      </c>
      <c r="T1855" s="9">
        <f>(Таблица1[[#This Row],[Кредитный рейтинг]]-586)/(751-586)</f>
        <v>0.83030303030303032</v>
      </c>
      <c r="U1855" s="9">
        <f>Таблица1[[#This Row],[Ежемесячный платеж]]/(Таблица1[[#This Row],[Годовой доход]]/12)</f>
        <v>0.33231309779426116</v>
      </c>
    </row>
    <row r="1856" spans="1:21" x14ac:dyDescent="0.3">
      <c r="A1856">
        <v>1855</v>
      </c>
      <c r="B1856">
        <v>0</v>
      </c>
      <c r="C1856" s="9">
        <v>174284</v>
      </c>
      <c r="D1856">
        <v>751</v>
      </c>
      <c r="E1856" s="1">
        <v>1625678</v>
      </c>
      <c r="F1856">
        <v>0</v>
      </c>
      <c r="G1856">
        <v>9916.67</v>
      </c>
      <c r="H1856">
        <v>34.200000000000003</v>
      </c>
      <c r="I1856">
        <v>17</v>
      </c>
      <c r="J1856">
        <v>145559</v>
      </c>
      <c r="K1856">
        <v>3064402</v>
      </c>
      <c r="L1856" t="s">
        <v>24</v>
      </c>
      <c r="M1856" t="s">
        <v>1893</v>
      </c>
      <c r="N1856" t="s">
        <v>76</v>
      </c>
      <c r="O1856" t="s">
        <v>21</v>
      </c>
      <c r="P1856" t="s">
        <v>22</v>
      </c>
      <c r="Q1856" t="s">
        <v>23</v>
      </c>
      <c r="R1856" t="b">
        <f>OR(Таблица1[[#This Row],[Ежемесячный платеж]]&lt;$AC$5, Таблица1[[#This Row],[Ежемесячный платеж]]&gt;$AC$6)</f>
        <v>0</v>
      </c>
      <c r="S1856" s="9">
        <f>(Таблица1[[#This Row],[Размер кредита]]-21824)/(789096-21824)</f>
        <v>0.19870397981419888</v>
      </c>
      <c r="T1856" s="9">
        <f>(Таблица1[[#This Row],[Кредитный рейтинг]]-586)/(751-586)</f>
        <v>1</v>
      </c>
      <c r="U1856" s="9">
        <f>Таблица1[[#This Row],[Ежемесячный платеж]]/(Таблица1[[#This Row],[Годовой доход]]/12)</f>
        <v>7.320025244851687E-2</v>
      </c>
    </row>
    <row r="1857" spans="1:21" x14ac:dyDescent="0.3">
      <c r="A1857">
        <v>1856</v>
      </c>
      <c r="B1857">
        <v>0</v>
      </c>
      <c r="C1857" s="9">
        <v>553080</v>
      </c>
      <c r="D1857">
        <v>657</v>
      </c>
      <c r="E1857" s="1">
        <v>2178122</v>
      </c>
      <c r="F1857">
        <v>62</v>
      </c>
      <c r="G1857">
        <v>24631.03</v>
      </c>
      <c r="H1857">
        <v>16.399999999999999</v>
      </c>
      <c r="I1857">
        <v>9</v>
      </c>
      <c r="J1857">
        <v>605302</v>
      </c>
      <c r="K1857">
        <v>787512</v>
      </c>
      <c r="L1857" t="s">
        <v>24</v>
      </c>
      <c r="M1857" t="s">
        <v>1894</v>
      </c>
      <c r="N1857" t="s">
        <v>26</v>
      </c>
      <c r="O1857" t="s">
        <v>21</v>
      </c>
      <c r="P1857" t="s">
        <v>31</v>
      </c>
      <c r="Q1857" t="s">
        <v>23</v>
      </c>
      <c r="R1857" t="b">
        <f>OR(Таблица1[[#This Row],[Ежемесячный платеж]]&lt;$AC$5, Таблица1[[#This Row],[Ежемесячный платеж]]&gt;$AC$6)</f>
        <v>0</v>
      </c>
      <c r="S1857" s="9">
        <f>(Таблица1[[#This Row],[Размер кредита]]-21824)/(789096-21824)</f>
        <v>0.69239591696295444</v>
      </c>
      <c r="T1857" s="9">
        <f>(Таблица1[[#This Row],[Кредитный рейтинг]]-586)/(751-586)</f>
        <v>0.4303030303030303</v>
      </c>
      <c r="U1857" s="9">
        <f>Таблица1[[#This Row],[Ежемесячный платеж]]/(Таблица1[[#This Row],[Годовой доход]]/12)</f>
        <v>0.13570055304523806</v>
      </c>
    </row>
    <row r="1858" spans="1:21" x14ac:dyDescent="0.3">
      <c r="A1858">
        <v>1857</v>
      </c>
      <c r="B1858">
        <v>0</v>
      </c>
      <c r="C1858" s="9">
        <v>77506</v>
      </c>
      <c r="D1858">
        <f>$Y$13</f>
        <v>723</v>
      </c>
      <c r="E1858">
        <f>$AB$13</f>
        <v>1168044</v>
      </c>
      <c r="F1858">
        <v>51</v>
      </c>
      <c r="G1858">
        <v>26428.62</v>
      </c>
      <c r="H1858">
        <v>23</v>
      </c>
      <c r="I1858">
        <v>9</v>
      </c>
      <c r="J1858">
        <v>393167</v>
      </c>
      <c r="K1858">
        <v>701448</v>
      </c>
      <c r="L1858" t="s">
        <v>29</v>
      </c>
      <c r="M1858" t="s">
        <v>1895</v>
      </c>
      <c r="N1858" t="s">
        <v>26</v>
      </c>
      <c r="O1858" t="s">
        <v>28</v>
      </c>
      <c r="P1858" t="s">
        <v>22</v>
      </c>
      <c r="Q1858" t="s">
        <v>23</v>
      </c>
      <c r="R1858" t="b">
        <f>OR(Таблица1[[#This Row],[Ежемесячный платеж]]&lt;$AC$5, Таблица1[[#This Row],[Ежемесячный платеж]]&gt;$AC$6)</f>
        <v>0</v>
      </c>
      <c r="S1858" s="9">
        <f>(Таблица1[[#This Row],[Размер кредита]]-21824)/(789096-21824)</f>
        <v>7.2571395802270899E-2</v>
      </c>
      <c r="T1858" s="9">
        <f>(Таблица1[[#This Row],[Кредитный рейтинг]]-586)/(751-586)</f>
        <v>0.83030303030303032</v>
      </c>
      <c r="U1858" s="9">
        <f>Таблица1[[#This Row],[Ежемесячный платеж]]/(Таблица1[[#This Row],[Годовой доход]]/12)</f>
        <v>0.27151668943978136</v>
      </c>
    </row>
    <row r="1859" spans="1:21" x14ac:dyDescent="0.3">
      <c r="A1859">
        <v>1858</v>
      </c>
      <c r="B1859">
        <v>0</v>
      </c>
      <c r="C1859" s="9">
        <v>234102</v>
      </c>
      <c r="D1859">
        <v>728</v>
      </c>
      <c r="E1859" s="1">
        <v>1141710</v>
      </c>
      <c r="F1859">
        <v>0</v>
      </c>
      <c r="G1859">
        <v>5423.17</v>
      </c>
      <c r="H1859">
        <v>17</v>
      </c>
      <c r="I1859">
        <v>6</v>
      </c>
      <c r="J1859">
        <v>124146</v>
      </c>
      <c r="K1859">
        <v>151932</v>
      </c>
      <c r="L1859" t="s">
        <v>24</v>
      </c>
      <c r="M1859" t="s">
        <v>1896</v>
      </c>
      <c r="N1859" t="s">
        <v>26</v>
      </c>
      <c r="O1859" t="s">
        <v>34</v>
      </c>
      <c r="P1859" t="s">
        <v>22</v>
      </c>
      <c r="Q1859" t="s">
        <v>23</v>
      </c>
      <c r="R1859" t="b">
        <f>OR(Таблица1[[#This Row],[Ежемесячный платеж]]&lt;$AC$5, Таблица1[[#This Row],[Ежемесячный платеж]]&gt;$AC$6)</f>
        <v>0</v>
      </c>
      <c r="S1859" s="9">
        <f>(Таблица1[[#This Row],[Размер кредита]]-21824)/(789096-21824)</f>
        <v>0.27666590205298774</v>
      </c>
      <c r="T1859" s="9">
        <f>(Таблица1[[#This Row],[Кредитный рейтинг]]-586)/(751-586)</f>
        <v>0.8606060606060606</v>
      </c>
      <c r="U1859" s="9">
        <f>Таблица1[[#This Row],[Ежемесячный платеж]]/(Таблица1[[#This Row],[Годовой доход]]/12)</f>
        <v>5.7000499251123313E-2</v>
      </c>
    </row>
    <row r="1860" spans="1:21" x14ac:dyDescent="0.3">
      <c r="A1860">
        <v>1859</v>
      </c>
      <c r="B1860">
        <v>1</v>
      </c>
      <c r="C1860" s="9">
        <v>163548</v>
      </c>
      <c r="D1860">
        <v>739</v>
      </c>
      <c r="E1860" s="1">
        <v>405859</v>
      </c>
      <c r="F1860">
        <v>66</v>
      </c>
      <c r="G1860">
        <v>4160.05</v>
      </c>
      <c r="H1860">
        <v>12.4</v>
      </c>
      <c r="I1860">
        <v>11</v>
      </c>
      <c r="J1860">
        <v>63460</v>
      </c>
      <c r="K1860">
        <v>247390</v>
      </c>
      <c r="L1860" t="s">
        <v>24</v>
      </c>
      <c r="M1860" t="s">
        <v>1897</v>
      </c>
      <c r="N1860" t="s">
        <v>26</v>
      </c>
      <c r="O1860" t="s">
        <v>34</v>
      </c>
      <c r="P1860" t="s">
        <v>22</v>
      </c>
      <c r="Q1860" t="s">
        <v>23</v>
      </c>
      <c r="R1860" t="b">
        <f>OR(Таблица1[[#This Row],[Ежемесячный платеж]]&lt;$AC$5, Таблица1[[#This Row],[Ежемесячный платеж]]&gt;$AC$6)</f>
        <v>0</v>
      </c>
      <c r="S1860" s="9">
        <f>(Таблица1[[#This Row],[Размер кредита]]-21824)/(789096-21824)</f>
        <v>0.18471154948962037</v>
      </c>
      <c r="T1860" s="9">
        <f>(Таблица1[[#This Row],[Кредитный рейтинг]]-586)/(751-586)</f>
        <v>0.92727272727272725</v>
      </c>
      <c r="U1860" s="9">
        <f>Таблица1[[#This Row],[Ежемесячный платеж]]/(Таблица1[[#This Row],[Годовой доход]]/12)</f>
        <v>0.12299985955713684</v>
      </c>
    </row>
    <row r="1861" spans="1:21" x14ac:dyDescent="0.3">
      <c r="A1861">
        <v>1860</v>
      </c>
      <c r="B1861">
        <v>0</v>
      </c>
      <c r="C1861" s="9">
        <v>295966</v>
      </c>
      <c r="D1861">
        <f>$Y$13</f>
        <v>723</v>
      </c>
      <c r="E1861">
        <f>$AB$13</f>
        <v>1168044</v>
      </c>
      <c r="F1861">
        <v>0</v>
      </c>
      <c r="G1861">
        <v>6380.01</v>
      </c>
      <c r="H1861">
        <v>29</v>
      </c>
      <c r="I1861">
        <v>6</v>
      </c>
      <c r="J1861">
        <v>263644</v>
      </c>
      <c r="K1861">
        <v>444356</v>
      </c>
      <c r="L1861" t="s">
        <v>47</v>
      </c>
      <c r="M1861" t="s">
        <v>1898</v>
      </c>
      <c r="N1861" t="s">
        <v>26</v>
      </c>
      <c r="O1861" t="s">
        <v>21</v>
      </c>
      <c r="P1861" t="s">
        <v>22</v>
      </c>
      <c r="Q1861" t="s">
        <v>23</v>
      </c>
      <c r="R1861" t="b">
        <f>OR(Таблица1[[#This Row],[Ежемесячный платеж]]&lt;$AC$5, Таблица1[[#This Row],[Ежемесячный платеж]]&gt;$AC$6)</f>
        <v>0</v>
      </c>
      <c r="S1861" s="9">
        <f>(Таблица1[[#This Row],[Размер кредита]]-21824)/(789096-21824)</f>
        <v>0.35729441449707533</v>
      </c>
      <c r="T1861" s="9">
        <f>(Таблица1[[#This Row],[Кредитный рейтинг]]-586)/(751-586)</f>
        <v>0.83030303030303032</v>
      </c>
      <c r="U1861" s="9">
        <f>Таблица1[[#This Row],[Ежемесячный платеж]]/(Таблица1[[#This Row],[Годовой доход]]/12)</f>
        <v>6.5545578762443879E-2</v>
      </c>
    </row>
    <row r="1862" spans="1:21" x14ac:dyDescent="0.3">
      <c r="A1862">
        <v>1861</v>
      </c>
      <c r="B1862">
        <v>0</v>
      </c>
      <c r="C1862" s="9">
        <v>219648</v>
      </c>
      <c r="D1862">
        <v>681</v>
      </c>
      <c r="E1862" s="1">
        <v>777822</v>
      </c>
      <c r="F1862">
        <v>0</v>
      </c>
      <c r="G1862">
        <v>8232.1299999999992</v>
      </c>
      <c r="H1862">
        <v>14</v>
      </c>
      <c r="I1862">
        <v>5</v>
      </c>
      <c r="J1862">
        <v>43833</v>
      </c>
      <c r="K1862">
        <v>131846</v>
      </c>
      <c r="L1862" t="s">
        <v>29</v>
      </c>
      <c r="M1862" t="s">
        <v>1899</v>
      </c>
      <c r="N1862" t="s">
        <v>26</v>
      </c>
      <c r="O1862" t="s">
        <v>34</v>
      </c>
      <c r="P1862" t="s">
        <v>31</v>
      </c>
      <c r="Q1862" t="s">
        <v>23</v>
      </c>
      <c r="R1862" t="b">
        <f>OR(Таблица1[[#This Row],[Ежемесячный платеж]]&lt;$AC$5, Таблица1[[#This Row],[Ежемесячный платеж]]&gt;$AC$6)</f>
        <v>0</v>
      </c>
      <c r="S1862" s="9">
        <f>(Таблица1[[#This Row],[Размер кредита]]-21824)/(789096-21824)</f>
        <v>0.25782773253813512</v>
      </c>
      <c r="T1862" s="9">
        <f>(Таблица1[[#This Row],[Кредитный рейтинг]]-586)/(751-586)</f>
        <v>0.5757575757575758</v>
      </c>
      <c r="U1862" s="9">
        <f>Таблица1[[#This Row],[Ежемесячный платеж]]/(Таблица1[[#This Row],[Годовой доход]]/12)</f>
        <v>0.12700278469881282</v>
      </c>
    </row>
    <row r="1863" spans="1:21" x14ac:dyDescent="0.3">
      <c r="A1863">
        <v>1862</v>
      </c>
      <c r="B1863">
        <v>0</v>
      </c>
      <c r="C1863" s="9">
        <v>181192</v>
      </c>
      <c r="D1863">
        <f>$Y$13</f>
        <v>723</v>
      </c>
      <c r="E1863">
        <f>$AB$13</f>
        <v>1168044</v>
      </c>
      <c r="F1863">
        <v>38</v>
      </c>
      <c r="G1863">
        <v>14566.73</v>
      </c>
      <c r="H1863">
        <v>20.2</v>
      </c>
      <c r="I1863">
        <v>8</v>
      </c>
      <c r="J1863">
        <v>138700</v>
      </c>
      <c r="K1863">
        <v>176682</v>
      </c>
      <c r="L1863" t="s">
        <v>24</v>
      </c>
      <c r="M1863" t="s">
        <v>1900</v>
      </c>
      <c r="N1863" t="s">
        <v>26</v>
      </c>
      <c r="O1863" t="s">
        <v>21</v>
      </c>
      <c r="P1863" t="s">
        <v>22</v>
      </c>
      <c r="Q1863" t="s">
        <v>23</v>
      </c>
      <c r="R1863" t="b">
        <f>OR(Таблица1[[#This Row],[Ежемесячный платеж]]&lt;$AC$5, Таблица1[[#This Row],[Ежемесячный платеж]]&gt;$AC$6)</f>
        <v>0</v>
      </c>
      <c r="S1863" s="9">
        <f>(Таблица1[[#This Row],[Размер кредита]]-21824)/(789096-21824)</f>
        <v>0.20770730588370226</v>
      </c>
      <c r="T1863" s="9">
        <f>(Таблица1[[#This Row],[Кредитный рейтинг]]-586)/(751-586)</f>
        <v>0.83030303030303032</v>
      </c>
      <c r="U1863" s="9">
        <f>Таблица1[[#This Row],[Ежемесячный платеж]]/(Таблица1[[#This Row],[Годовой доход]]/12)</f>
        <v>0.14965254733554556</v>
      </c>
    </row>
    <row r="1864" spans="1:21" x14ac:dyDescent="0.3">
      <c r="A1864">
        <v>1863</v>
      </c>
      <c r="B1864">
        <v>0</v>
      </c>
      <c r="C1864" s="9">
        <v>262284</v>
      </c>
      <c r="D1864">
        <v>738</v>
      </c>
      <c r="E1864" s="1">
        <v>1653589</v>
      </c>
      <c r="F1864">
        <v>0</v>
      </c>
      <c r="G1864">
        <v>19705.09</v>
      </c>
      <c r="H1864">
        <v>9.3000000000000007</v>
      </c>
      <c r="I1864">
        <v>10</v>
      </c>
      <c r="J1864">
        <v>389804</v>
      </c>
      <c r="K1864">
        <v>732710</v>
      </c>
      <c r="L1864" t="s">
        <v>69</v>
      </c>
      <c r="M1864" t="s">
        <v>1901</v>
      </c>
      <c r="N1864" t="s">
        <v>68</v>
      </c>
      <c r="O1864" t="s">
        <v>34</v>
      </c>
      <c r="P1864" t="s">
        <v>22</v>
      </c>
      <c r="Q1864" t="s">
        <v>23</v>
      </c>
      <c r="R1864" t="b">
        <f>OR(Таблица1[[#This Row],[Ежемесячный платеж]]&lt;$AC$5, Таблица1[[#This Row],[Ежемесячный платеж]]&gt;$AC$6)</f>
        <v>0</v>
      </c>
      <c r="S1864" s="9">
        <f>(Таблица1[[#This Row],[Размер кредита]]-21824)/(789096-21824)</f>
        <v>0.31339603165500629</v>
      </c>
      <c r="T1864" s="9">
        <f>(Таблица1[[#This Row],[Кредитный рейтинг]]-586)/(751-586)</f>
        <v>0.92121212121212126</v>
      </c>
      <c r="U1864" s="9">
        <f>Таблица1[[#This Row],[Ежемесячный платеж]]/(Таблица1[[#This Row],[Годовой доход]]/12)</f>
        <v>0.14299870161206926</v>
      </c>
    </row>
    <row r="1865" spans="1:21" x14ac:dyDescent="0.3">
      <c r="A1865">
        <v>1864</v>
      </c>
      <c r="B1865">
        <v>0</v>
      </c>
      <c r="C1865" s="9">
        <v>66770</v>
      </c>
      <c r="D1865">
        <v>733</v>
      </c>
      <c r="E1865" s="1">
        <v>358701</v>
      </c>
      <c r="F1865">
        <v>0</v>
      </c>
      <c r="G1865">
        <v>4573.49</v>
      </c>
      <c r="H1865">
        <v>19.399999999999999</v>
      </c>
      <c r="I1865">
        <v>8</v>
      </c>
      <c r="J1865">
        <v>121410</v>
      </c>
      <c r="K1865">
        <v>182336</v>
      </c>
      <c r="L1865" t="s">
        <v>24</v>
      </c>
      <c r="M1865" t="s">
        <v>1902</v>
      </c>
      <c r="N1865" t="s">
        <v>26</v>
      </c>
      <c r="O1865" t="s">
        <v>34</v>
      </c>
      <c r="P1865" t="s">
        <v>22</v>
      </c>
      <c r="Q1865" t="s">
        <v>23</v>
      </c>
      <c r="R1865" t="b">
        <f>OR(Таблица1[[#This Row],[Ежемесячный платеж]]&lt;$AC$5, Таблица1[[#This Row],[Ежемесячный платеж]]&gt;$AC$6)</f>
        <v>0</v>
      </c>
      <c r="S1865" s="9">
        <f>(Таблица1[[#This Row],[Размер кредита]]-21824)/(789096-21824)</f>
        <v>5.8578965477692396E-2</v>
      </c>
      <c r="T1865" s="9">
        <f>(Таблица1[[#This Row],[Кредитный рейтинг]]-586)/(751-586)</f>
        <v>0.89090909090909087</v>
      </c>
      <c r="U1865" s="9">
        <f>Таблица1[[#This Row],[Ежемесячный платеж]]/(Таблица1[[#This Row],[Годовой доход]]/12)</f>
        <v>0.15300174797393928</v>
      </c>
    </row>
    <row r="1866" spans="1:21" x14ac:dyDescent="0.3">
      <c r="A1866">
        <v>1865</v>
      </c>
      <c r="B1866">
        <v>0</v>
      </c>
      <c r="C1866" s="9">
        <v>328944</v>
      </c>
      <c r="D1866">
        <v>663</v>
      </c>
      <c r="E1866" s="1">
        <v>1231048</v>
      </c>
      <c r="F1866">
        <v>27</v>
      </c>
      <c r="G1866">
        <v>25954.57</v>
      </c>
      <c r="H1866">
        <v>22.5</v>
      </c>
      <c r="I1866">
        <v>17</v>
      </c>
      <c r="J1866">
        <v>205523</v>
      </c>
      <c r="K1866">
        <v>401302</v>
      </c>
      <c r="L1866" t="s">
        <v>37</v>
      </c>
      <c r="M1866" t="s">
        <v>1903</v>
      </c>
      <c r="N1866" t="s">
        <v>26</v>
      </c>
      <c r="O1866" t="s">
        <v>34</v>
      </c>
      <c r="P1866" t="s">
        <v>22</v>
      </c>
      <c r="Q1866" t="s">
        <v>23</v>
      </c>
      <c r="R1866" t="b">
        <f>OR(Таблица1[[#This Row],[Ежемесячный платеж]]&lt;$AC$5, Таблица1[[#This Row],[Ежемесячный платеж]]&gt;$AC$6)</f>
        <v>0</v>
      </c>
      <c r="S1866" s="9">
        <f>(Таблица1[[#This Row],[Размер кредита]]-21824)/(789096-21824)</f>
        <v>0.40027526092441795</v>
      </c>
      <c r="T1866" s="9">
        <f>(Таблица1[[#This Row],[Кредитный рейтинг]]-586)/(751-586)</f>
        <v>0.46666666666666667</v>
      </c>
      <c r="U1866" s="9">
        <f>Таблица1[[#This Row],[Ежемесячный платеж]]/(Таблица1[[#This Row],[Годовой доход]]/12)</f>
        <v>0.25299975305593286</v>
      </c>
    </row>
    <row r="1867" spans="1:21" x14ac:dyDescent="0.3">
      <c r="A1867">
        <v>1866</v>
      </c>
      <c r="B1867">
        <v>0</v>
      </c>
      <c r="C1867" s="9">
        <v>288508</v>
      </c>
      <c r="D1867">
        <v>661</v>
      </c>
      <c r="E1867" s="1">
        <v>808583</v>
      </c>
      <c r="F1867">
        <v>1</v>
      </c>
      <c r="G1867">
        <v>3591.38</v>
      </c>
      <c r="H1867">
        <v>11.4</v>
      </c>
      <c r="I1867">
        <v>4</v>
      </c>
      <c r="J1867">
        <v>102714</v>
      </c>
      <c r="K1867">
        <v>172106</v>
      </c>
      <c r="L1867" t="s">
        <v>52</v>
      </c>
      <c r="M1867" t="s">
        <v>1904</v>
      </c>
      <c r="N1867" t="s">
        <v>26</v>
      </c>
      <c r="O1867" t="s">
        <v>21</v>
      </c>
      <c r="P1867" t="s">
        <v>22</v>
      </c>
      <c r="Q1867" t="s">
        <v>23</v>
      </c>
      <c r="R1867" t="b">
        <f>OR(Таблица1[[#This Row],[Ежемесячный платеж]]&lt;$AC$5, Таблица1[[#This Row],[Ежемесячный платеж]]&gt;$AC$6)</f>
        <v>0</v>
      </c>
      <c r="S1867" s="9">
        <f>(Таблица1[[#This Row],[Размер кредита]]-21824)/(789096-21824)</f>
        <v>0.34757426310356693</v>
      </c>
      <c r="T1867" s="9">
        <f>(Таблица1[[#This Row],[Кредитный рейтинг]]-586)/(751-586)</f>
        <v>0.45454545454545453</v>
      </c>
      <c r="U1867" s="9">
        <f>Таблица1[[#This Row],[Ежемесячный платеж]]/(Таблица1[[#This Row],[Годовой доход]]/12)</f>
        <v>5.3298869751157267E-2</v>
      </c>
    </row>
    <row r="1868" spans="1:21" x14ac:dyDescent="0.3">
      <c r="A1868">
        <v>1867</v>
      </c>
      <c r="B1868">
        <v>0</v>
      </c>
      <c r="C1868" s="9">
        <v>173492</v>
      </c>
      <c r="D1868">
        <v>728</v>
      </c>
      <c r="E1868" s="1">
        <v>561906</v>
      </c>
      <c r="F1868">
        <v>0</v>
      </c>
      <c r="G1868">
        <v>7258</v>
      </c>
      <c r="H1868">
        <v>23.6</v>
      </c>
      <c r="I1868">
        <v>5</v>
      </c>
      <c r="J1868">
        <v>229178</v>
      </c>
      <c r="K1868">
        <v>305008</v>
      </c>
      <c r="L1868" t="s">
        <v>29</v>
      </c>
      <c r="M1868" t="s">
        <v>1905</v>
      </c>
      <c r="N1868" t="s">
        <v>26</v>
      </c>
      <c r="O1868" t="s">
        <v>34</v>
      </c>
      <c r="P1868" t="s">
        <v>22</v>
      </c>
      <c r="Q1868" t="s">
        <v>36</v>
      </c>
      <c r="R1868" t="b">
        <f>OR(Таблица1[[#This Row],[Ежемесячный платеж]]&lt;$AC$5, Таблица1[[#This Row],[Ежемесячный платеж]]&gt;$AC$6)</f>
        <v>0</v>
      </c>
      <c r="S1868" s="9">
        <f>(Таблица1[[#This Row],[Размер кредита]]-21824)/(789096-21824)</f>
        <v>0.1976717513476316</v>
      </c>
      <c r="T1868" s="9">
        <f>(Таблица1[[#This Row],[Кредитный рейтинг]]-586)/(751-586)</f>
        <v>0.8606060606060606</v>
      </c>
      <c r="U1868" s="9">
        <f>Таблица1[[#This Row],[Ежемесячный платеж]]/(Таблица1[[#This Row],[Годовой доход]]/12)</f>
        <v>0.15500101440454453</v>
      </c>
    </row>
    <row r="1869" spans="1:21" x14ac:dyDescent="0.3">
      <c r="A1869">
        <v>1868</v>
      </c>
      <c r="B1869">
        <v>0</v>
      </c>
      <c r="C1869" s="9">
        <v>131384</v>
      </c>
      <c r="D1869">
        <v>739</v>
      </c>
      <c r="E1869" s="1">
        <v>945630</v>
      </c>
      <c r="F1869">
        <v>0</v>
      </c>
      <c r="G1869">
        <v>23483.24</v>
      </c>
      <c r="H1869">
        <v>18.3</v>
      </c>
      <c r="I1869">
        <v>9</v>
      </c>
      <c r="J1869">
        <v>157662</v>
      </c>
      <c r="K1869">
        <v>310992</v>
      </c>
      <c r="L1869" t="s">
        <v>63</v>
      </c>
      <c r="M1869" t="s">
        <v>1906</v>
      </c>
      <c r="N1869" t="s">
        <v>26</v>
      </c>
      <c r="O1869" t="s">
        <v>34</v>
      </c>
      <c r="P1869" t="s">
        <v>22</v>
      </c>
      <c r="Q1869" t="s">
        <v>36</v>
      </c>
      <c r="R1869" t="b">
        <f>OR(Таблица1[[#This Row],[Ежемесячный платеж]]&lt;$AC$5, Таблица1[[#This Row],[Ежемесячный платеж]]&gt;$AC$6)</f>
        <v>0</v>
      </c>
      <c r="S1869" s="9">
        <f>(Таблица1[[#This Row],[Размер кредита]]-21824)/(789096-21824)</f>
        <v>0.14279160454180526</v>
      </c>
      <c r="T1869" s="9">
        <f>(Таблица1[[#This Row],[Кредитный рейтинг]]-586)/(751-586)</f>
        <v>0.92727272727272725</v>
      </c>
      <c r="U1869" s="9">
        <f>Таблица1[[#This Row],[Ежемесячный платеж]]/(Таблица1[[#This Row],[Годовой доход]]/12)</f>
        <v>0.29800120554550935</v>
      </c>
    </row>
    <row r="1870" spans="1:21" x14ac:dyDescent="0.3">
      <c r="A1870">
        <v>1869</v>
      </c>
      <c r="B1870">
        <v>0</v>
      </c>
      <c r="C1870" s="9">
        <v>649374</v>
      </c>
      <c r="D1870">
        <v>675</v>
      </c>
      <c r="E1870" s="1">
        <v>1682469</v>
      </c>
      <c r="F1870">
        <v>40</v>
      </c>
      <c r="G1870">
        <v>33088.5</v>
      </c>
      <c r="H1870">
        <v>18</v>
      </c>
      <c r="I1870">
        <v>20</v>
      </c>
      <c r="J1870">
        <v>261098</v>
      </c>
      <c r="K1870">
        <v>439428</v>
      </c>
      <c r="L1870" t="s">
        <v>29</v>
      </c>
      <c r="M1870" t="s">
        <v>1907</v>
      </c>
      <c r="N1870" t="s">
        <v>26</v>
      </c>
      <c r="O1870" t="s">
        <v>34</v>
      </c>
      <c r="P1870" t="s">
        <v>22</v>
      </c>
      <c r="Q1870" t="s">
        <v>23</v>
      </c>
      <c r="R1870" t="b">
        <f>OR(Таблица1[[#This Row],[Ежемесячный платеж]]&lt;$AC$5, Таблица1[[#This Row],[Ежемесячный платеж]]&gt;$AC$6)</f>
        <v>0</v>
      </c>
      <c r="S1870" s="9">
        <f>(Таблица1[[#This Row],[Размер кредита]]-21824)/(789096-21824)</f>
        <v>0.81789769468975804</v>
      </c>
      <c r="T1870" s="9">
        <f>(Таблица1[[#This Row],[Кредитный рейтинг]]-586)/(751-586)</f>
        <v>0.53939393939393943</v>
      </c>
      <c r="U1870" s="9">
        <f>Таблица1[[#This Row],[Ежемесячный платеж]]/(Таблица1[[#This Row],[Годовой доход]]/12)</f>
        <v>0.23599959345461938</v>
      </c>
    </row>
    <row r="1871" spans="1:21" x14ac:dyDescent="0.3">
      <c r="A1871">
        <v>1870</v>
      </c>
      <c r="B1871">
        <v>1</v>
      </c>
      <c r="C1871" s="9">
        <v>772024</v>
      </c>
      <c r="D1871">
        <v>723</v>
      </c>
      <c r="E1871" s="1">
        <v>2908748</v>
      </c>
      <c r="F1871">
        <v>0</v>
      </c>
      <c r="G1871">
        <v>34662.65</v>
      </c>
      <c r="H1871">
        <v>12</v>
      </c>
      <c r="I1871">
        <v>17</v>
      </c>
      <c r="J1871">
        <v>572812</v>
      </c>
      <c r="K1871">
        <v>741070</v>
      </c>
      <c r="L1871" t="s">
        <v>63</v>
      </c>
      <c r="M1871" t="s">
        <v>1908</v>
      </c>
      <c r="N1871" t="s">
        <v>26</v>
      </c>
      <c r="O1871" t="s">
        <v>21</v>
      </c>
      <c r="P1871" t="s">
        <v>22</v>
      </c>
      <c r="Q1871" t="s">
        <v>23</v>
      </c>
      <c r="R1871" t="b">
        <f>OR(Таблица1[[#This Row],[Ежемесячный платеж]]&lt;$AC$5, Таблица1[[#This Row],[Ежемесячный платеж]]&gt;$AC$6)</f>
        <v>0</v>
      </c>
      <c r="S1871" s="9">
        <f>(Таблица1[[#This Row],[Размер кредита]]-21824)/(789096-21824)</f>
        <v>0.97774974194288333</v>
      </c>
      <c r="T1871" s="9">
        <f>(Таблица1[[#This Row],[Кредитный рейтинг]]-586)/(751-586)</f>
        <v>0.83030303030303032</v>
      </c>
      <c r="U1871" s="9">
        <f>Таблица1[[#This Row],[Ежемесячный платеж]]/(Таблица1[[#This Row],[Годовой доход]]/12)</f>
        <v>0.14300028740887832</v>
      </c>
    </row>
    <row r="1872" spans="1:21" x14ac:dyDescent="0.3">
      <c r="A1872">
        <v>1871</v>
      </c>
      <c r="B1872">
        <v>0</v>
      </c>
      <c r="C1872" s="9">
        <v>26708</v>
      </c>
      <c r="D1872">
        <v>715</v>
      </c>
      <c r="E1872" s="1">
        <v>192166</v>
      </c>
      <c r="F1872">
        <v>6</v>
      </c>
      <c r="G1872">
        <v>1326.01</v>
      </c>
      <c r="H1872">
        <v>12.7</v>
      </c>
      <c r="I1872">
        <v>4</v>
      </c>
      <c r="J1872">
        <v>15409</v>
      </c>
      <c r="K1872">
        <v>283250</v>
      </c>
      <c r="L1872" t="s">
        <v>41</v>
      </c>
      <c r="M1872" t="s">
        <v>1909</v>
      </c>
      <c r="N1872" t="s">
        <v>26</v>
      </c>
      <c r="O1872" t="s">
        <v>34</v>
      </c>
      <c r="P1872" t="s">
        <v>22</v>
      </c>
      <c r="Q1872" t="s">
        <v>36</v>
      </c>
      <c r="R1872" t="b">
        <f>OR(Таблица1[[#This Row],[Ежемесячный платеж]]&lt;$AC$5, Таблица1[[#This Row],[Ежемесячный платеж]]&gt;$AC$6)</f>
        <v>0</v>
      </c>
      <c r="S1872" s="9">
        <f>(Таблица1[[#This Row],[Размер кредита]]-21824)/(789096-21824)</f>
        <v>6.3654088771648125E-3</v>
      </c>
      <c r="T1872" s="9">
        <f>(Таблица1[[#This Row],[Кредитный рейтинг]]-586)/(751-586)</f>
        <v>0.78181818181818186</v>
      </c>
      <c r="U1872" s="9">
        <f>Таблица1[[#This Row],[Ежемесячный платеж]]/(Таблица1[[#This Row],[Годовой доход]]/12)</f>
        <v>8.2804034012260233E-2</v>
      </c>
    </row>
    <row r="1873" spans="1:21" x14ac:dyDescent="0.3">
      <c r="A1873">
        <v>1872</v>
      </c>
      <c r="B1873">
        <v>1</v>
      </c>
      <c r="C1873" s="9">
        <v>322740</v>
      </c>
      <c r="D1873">
        <v>717</v>
      </c>
      <c r="E1873" s="1">
        <v>1765290</v>
      </c>
      <c r="F1873">
        <v>0</v>
      </c>
      <c r="G1873">
        <v>43985</v>
      </c>
      <c r="H1873">
        <v>20.7</v>
      </c>
      <c r="I1873">
        <v>16</v>
      </c>
      <c r="J1873">
        <v>446329</v>
      </c>
      <c r="K1873">
        <v>891022</v>
      </c>
      <c r="L1873" t="s">
        <v>24</v>
      </c>
      <c r="M1873" t="s">
        <v>699</v>
      </c>
      <c r="N1873" t="s">
        <v>26</v>
      </c>
      <c r="O1873" t="s">
        <v>21</v>
      </c>
      <c r="P1873" t="s">
        <v>22</v>
      </c>
      <c r="Q1873" t="s">
        <v>23</v>
      </c>
      <c r="R1873" t="b">
        <f>OR(Таблица1[[#This Row],[Ежемесячный платеж]]&lt;$AC$5, Таблица1[[#This Row],[Ежемесячный платеж]]&gt;$AC$6)</f>
        <v>1</v>
      </c>
      <c r="S1873" s="9">
        <f>(Таблица1[[#This Row],[Размер кредита]]-21824)/(789096-21824)</f>
        <v>0.39218947126964099</v>
      </c>
      <c r="T1873" s="9">
        <f>(Таблица1[[#This Row],[Кредитный рейтинг]]-586)/(751-586)</f>
        <v>0.79393939393939394</v>
      </c>
      <c r="U1873" s="9">
        <f>Таблица1[[#This Row],[Ежемесячный платеж]]/(Таблица1[[#This Row],[Годовой доход]]/12)</f>
        <v>0.29899903132063288</v>
      </c>
    </row>
    <row r="1874" spans="1:21" x14ac:dyDescent="0.3">
      <c r="A1874">
        <v>1873</v>
      </c>
      <c r="B1874">
        <v>0</v>
      </c>
      <c r="C1874" s="9">
        <v>223608</v>
      </c>
      <c r="D1874">
        <v>739</v>
      </c>
      <c r="E1874" s="1">
        <v>869022</v>
      </c>
      <c r="F1874">
        <v>0</v>
      </c>
      <c r="G1874">
        <v>12745.58</v>
      </c>
      <c r="H1874">
        <v>12.4</v>
      </c>
      <c r="I1874">
        <v>9</v>
      </c>
      <c r="J1874">
        <v>195700</v>
      </c>
      <c r="K1874">
        <v>272690</v>
      </c>
      <c r="L1874" t="s">
        <v>29</v>
      </c>
      <c r="M1874" t="s">
        <v>1910</v>
      </c>
      <c r="N1874" t="s">
        <v>26</v>
      </c>
      <c r="O1874" t="s">
        <v>21</v>
      </c>
      <c r="P1874" t="s">
        <v>22</v>
      </c>
      <c r="Q1874" t="s">
        <v>23</v>
      </c>
      <c r="R1874" t="b">
        <f>OR(Таблица1[[#This Row],[Ежемесячный платеж]]&lt;$AC$5, Таблица1[[#This Row],[Ежемесячный платеж]]&gt;$AC$6)</f>
        <v>0</v>
      </c>
      <c r="S1874" s="9">
        <f>(Таблица1[[#This Row],[Размер кредита]]-21824)/(789096-21824)</f>
        <v>0.26298887487097145</v>
      </c>
      <c r="T1874" s="9">
        <f>(Таблица1[[#This Row],[Кредитный рейтинг]]-586)/(751-586)</f>
        <v>0.92727272727272725</v>
      </c>
      <c r="U1874" s="9">
        <f>Таблица1[[#This Row],[Ежемесячный платеж]]/(Таблица1[[#This Row],[Годовой доход]]/12)</f>
        <v>0.17599895054440509</v>
      </c>
    </row>
    <row r="1875" spans="1:21" x14ac:dyDescent="0.3">
      <c r="A1875">
        <v>1874</v>
      </c>
      <c r="B1875">
        <v>0</v>
      </c>
      <c r="C1875" s="9">
        <v>182358</v>
      </c>
      <c r="D1875">
        <v>724</v>
      </c>
      <c r="E1875" s="1">
        <v>648508</v>
      </c>
      <c r="F1875">
        <v>0</v>
      </c>
      <c r="G1875">
        <v>7133.55</v>
      </c>
      <c r="H1875">
        <v>35.4</v>
      </c>
      <c r="I1875">
        <v>14</v>
      </c>
      <c r="J1875">
        <v>74860</v>
      </c>
      <c r="K1875">
        <v>291852</v>
      </c>
      <c r="L1875" t="s">
        <v>29</v>
      </c>
      <c r="M1875" t="s">
        <v>1911</v>
      </c>
      <c r="N1875" t="s">
        <v>68</v>
      </c>
      <c r="O1875" t="s">
        <v>21</v>
      </c>
      <c r="P1875" t="s">
        <v>22</v>
      </c>
      <c r="Q1875" t="s">
        <v>23</v>
      </c>
      <c r="R1875" t="b">
        <f>OR(Таблица1[[#This Row],[Ежемесячный платеж]]&lt;$AC$5, Таблица1[[#This Row],[Ежемесячный платеж]]&gt;$AC$6)</f>
        <v>0</v>
      </c>
      <c r="S1875" s="9">
        <f>(Таблица1[[#This Row],[Размер кредита]]-21824)/(789096-21824)</f>
        <v>0.20922697557059297</v>
      </c>
      <c r="T1875" s="9">
        <f>(Таблица1[[#This Row],[Кредитный рейтинг]]-586)/(751-586)</f>
        <v>0.83636363636363631</v>
      </c>
      <c r="U1875" s="9">
        <f>Таблица1[[#This Row],[Ежемесячный платеж]]/(Таблица1[[#This Row],[Годовой доход]]/12)</f>
        <v>0.13199929684753312</v>
      </c>
    </row>
    <row r="1876" spans="1:21" x14ac:dyDescent="0.3">
      <c r="A1876">
        <v>1875</v>
      </c>
      <c r="B1876">
        <v>0</v>
      </c>
      <c r="C1876" s="9">
        <v>557040</v>
      </c>
      <c r="D1876">
        <v>640</v>
      </c>
      <c r="E1876" s="1">
        <v>1828104</v>
      </c>
      <c r="F1876">
        <v>0</v>
      </c>
      <c r="G1876">
        <v>18281.04</v>
      </c>
      <c r="H1876">
        <v>19.2</v>
      </c>
      <c r="I1876">
        <v>4</v>
      </c>
      <c r="J1876">
        <v>123557</v>
      </c>
      <c r="K1876">
        <v>364980</v>
      </c>
      <c r="L1876" t="s">
        <v>47</v>
      </c>
      <c r="M1876" t="s">
        <v>1912</v>
      </c>
      <c r="N1876" t="s">
        <v>68</v>
      </c>
      <c r="O1876" t="s">
        <v>34</v>
      </c>
      <c r="P1876" t="s">
        <v>22</v>
      </c>
      <c r="Q1876" t="s">
        <v>36</v>
      </c>
      <c r="R1876" t="b">
        <f>OR(Таблица1[[#This Row],[Ежемесячный платеж]]&lt;$AC$5, Таблица1[[#This Row],[Ежемесячный платеж]]&gt;$AC$6)</f>
        <v>0</v>
      </c>
      <c r="S1876" s="9">
        <f>(Таблица1[[#This Row],[Размер кредита]]-21824)/(789096-21824)</f>
        <v>0.69755705929579082</v>
      </c>
      <c r="T1876" s="9">
        <f>(Таблица1[[#This Row],[Кредитный рейтинг]]-586)/(751-586)</f>
        <v>0.32727272727272727</v>
      </c>
      <c r="U1876" s="9">
        <f>Таблица1[[#This Row],[Ежемесячный платеж]]/(Таблица1[[#This Row],[Годовой доход]]/12)</f>
        <v>0.12000000000000001</v>
      </c>
    </row>
    <row r="1877" spans="1:21" x14ac:dyDescent="0.3">
      <c r="A1877">
        <v>1876</v>
      </c>
      <c r="B1877">
        <v>0</v>
      </c>
      <c r="C1877" s="9">
        <v>94358</v>
      </c>
      <c r="D1877">
        <v>681</v>
      </c>
      <c r="E1877" s="1">
        <v>379050</v>
      </c>
      <c r="F1877">
        <v>51</v>
      </c>
      <c r="G1877">
        <v>2577.54</v>
      </c>
      <c r="H1877">
        <v>7</v>
      </c>
      <c r="I1877">
        <v>7</v>
      </c>
      <c r="J1877">
        <v>47861</v>
      </c>
      <c r="K1877">
        <v>179916</v>
      </c>
      <c r="L1877" t="s">
        <v>24</v>
      </c>
      <c r="M1877" t="s">
        <v>1913</v>
      </c>
      <c r="N1877" t="s">
        <v>26</v>
      </c>
      <c r="O1877" t="s">
        <v>34</v>
      </c>
      <c r="P1877" t="s">
        <v>22</v>
      </c>
      <c r="Q1877" t="s">
        <v>23</v>
      </c>
      <c r="R1877" t="b">
        <f>OR(Таблица1[[#This Row],[Ежемесячный платеж]]&lt;$AC$5, Таблица1[[#This Row],[Ежемесячный платеж]]&gt;$AC$6)</f>
        <v>0</v>
      </c>
      <c r="S1877" s="9">
        <f>(Таблица1[[#This Row],[Размер кредита]]-21824)/(789096-21824)</f>
        <v>9.453492372978553E-2</v>
      </c>
      <c r="T1877" s="9">
        <f>(Таблица1[[#This Row],[Кредитный рейтинг]]-586)/(751-586)</f>
        <v>0.5757575757575758</v>
      </c>
      <c r="U1877" s="9">
        <f>Таблица1[[#This Row],[Ежемесячный платеж]]/(Таблица1[[#This Row],[Годовой доход]]/12)</f>
        <v>8.1599999999999992E-2</v>
      </c>
    </row>
    <row r="1878" spans="1:21" x14ac:dyDescent="0.3">
      <c r="A1878">
        <v>1877</v>
      </c>
      <c r="B1878">
        <v>0</v>
      </c>
      <c r="C1878" s="9">
        <v>549450</v>
      </c>
      <c r="D1878">
        <v>728</v>
      </c>
      <c r="E1878" s="1">
        <v>2372625</v>
      </c>
      <c r="F1878">
        <v>46</v>
      </c>
      <c r="G1878">
        <v>26098.97</v>
      </c>
      <c r="H1878">
        <v>21.7</v>
      </c>
      <c r="I1878">
        <v>10</v>
      </c>
      <c r="J1878">
        <v>574218</v>
      </c>
      <c r="K1878">
        <v>1183050</v>
      </c>
      <c r="L1878" t="s">
        <v>63</v>
      </c>
      <c r="M1878" t="s">
        <v>1914</v>
      </c>
      <c r="N1878" t="s">
        <v>26</v>
      </c>
      <c r="O1878" t="s">
        <v>34</v>
      </c>
      <c r="P1878" t="s">
        <v>22</v>
      </c>
      <c r="Q1878" t="s">
        <v>23</v>
      </c>
      <c r="R1878" t="b">
        <f>OR(Таблица1[[#This Row],[Ежемесячный платеж]]&lt;$AC$5, Таблица1[[#This Row],[Ежемесячный платеж]]&gt;$AC$6)</f>
        <v>0</v>
      </c>
      <c r="S1878" s="9">
        <f>(Таблица1[[#This Row],[Размер кредита]]-21824)/(789096-21824)</f>
        <v>0.68766486982452113</v>
      </c>
      <c r="T1878" s="9">
        <f>(Таблица1[[#This Row],[Кредитный рейтинг]]-586)/(751-586)</f>
        <v>0.8606060606060606</v>
      </c>
      <c r="U1878" s="9">
        <f>Таблица1[[#This Row],[Ежемесячный платеж]]/(Таблица1[[#This Row],[Годовой доход]]/12)</f>
        <v>0.13200048048048049</v>
      </c>
    </row>
    <row r="1879" spans="1:21" x14ac:dyDescent="0.3">
      <c r="A1879">
        <v>1878</v>
      </c>
      <c r="B1879">
        <v>0</v>
      </c>
      <c r="C1879" s="9">
        <v>628144</v>
      </c>
      <c r="D1879">
        <f>$Y$13</f>
        <v>723</v>
      </c>
      <c r="E1879">
        <f>$AB$13</f>
        <v>1168044</v>
      </c>
      <c r="F1879">
        <v>32</v>
      </c>
      <c r="G1879">
        <v>19793.439999999999</v>
      </c>
      <c r="H1879">
        <v>22.5</v>
      </c>
      <c r="I1879">
        <v>6</v>
      </c>
      <c r="J1879">
        <v>298566</v>
      </c>
      <c r="K1879">
        <v>909744</v>
      </c>
      <c r="L1879" t="s">
        <v>63</v>
      </c>
      <c r="M1879" t="s">
        <v>1915</v>
      </c>
      <c r="N1879" t="s">
        <v>26</v>
      </c>
      <c r="O1879" t="s">
        <v>34</v>
      </c>
      <c r="P1879" t="s">
        <v>31</v>
      </c>
      <c r="Q1879" t="s">
        <v>23</v>
      </c>
      <c r="R1879" t="b">
        <f>OR(Таблица1[[#This Row],[Ежемесячный платеж]]&lt;$AC$5, Таблица1[[#This Row],[Ежемесячный платеж]]&gt;$AC$6)</f>
        <v>0</v>
      </c>
      <c r="S1879" s="9">
        <f>(Таблица1[[#This Row],[Размер кредита]]-21824)/(789096-21824)</f>
        <v>0.79022823718316315</v>
      </c>
      <c r="T1879" s="9">
        <f>(Таблица1[[#This Row],[Кредитный рейтинг]]-586)/(751-586)</f>
        <v>0.83030303030303032</v>
      </c>
      <c r="U1879" s="9">
        <f>Таблица1[[#This Row],[Ежемесячный платеж]]/(Таблица1[[#This Row],[Годовой доход]]/12)</f>
        <v>0.20334959984384149</v>
      </c>
    </row>
    <row r="1880" spans="1:21" x14ac:dyDescent="0.3">
      <c r="A1880">
        <v>1879</v>
      </c>
      <c r="B1880">
        <v>0</v>
      </c>
      <c r="D1880">
        <v>730</v>
      </c>
      <c r="E1880" s="1">
        <v>965770</v>
      </c>
      <c r="F1880">
        <v>0</v>
      </c>
      <c r="G1880">
        <v>23822.2</v>
      </c>
      <c r="H1880">
        <v>20.9</v>
      </c>
      <c r="I1880">
        <v>15</v>
      </c>
      <c r="J1880">
        <v>462555</v>
      </c>
      <c r="K1880">
        <v>577126</v>
      </c>
      <c r="L1880" t="s">
        <v>24</v>
      </c>
      <c r="M1880" t="s">
        <v>1916</v>
      </c>
      <c r="N1880" t="s">
        <v>26</v>
      </c>
      <c r="O1880" t="s">
        <v>21</v>
      </c>
      <c r="P1880" t="s">
        <v>22</v>
      </c>
      <c r="Q1880" t="s">
        <v>23</v>
      </c>
      <c r="R1880" t="b">
        <f>OR(Таблица1[[#This Row],[Ежемесячный платеж]]&lt;$AC$5, Таблица1[[#This Row],[Ежемесячный платеж]]&gt;$AC$6)</f>
        <v>0</v>
      </c>
      <c r="T1880" s="9">
        <f>(Таблица1[[#This Row],[Кредитный рейтинг]]-586)/(751-586)</f>
        <v>0.87272727272727268</v>
      </c>
      <c r="U1880" s="9">
        <f>Таблица1[[#This Row],[Ежемесячный платеж]]/(Таблица1[[#This Row],[Годовой доход]]/12)</f>
        <v>0.29599842612630339</v>
      </c>
    </row>
    <row r="1881" spans="1:21" x14ac:dyDescent="0.3">
      <c r="A1881">
        <v>1880</v>
      </c>
      <c r="B1881">
        <v>0</v>
      </c>
      <c r="C1881" s="9">
        <v>263846</v>
      </c>
      <c r="D1881">
        <v>724</v>
      </c>
      <c r="E1881" s="1">
        <v>759544</v>
      </c>
      <c r="F1881">
        <v>25</v>
      </c>
      <c r="G1881">
        <v>13355.29</v>
      </c>
      <c r="H1881">
        <v>12.5</v>
      </c>
      <c r="I1881">
        <v>10</v>
      </c>
      <c r="J1881">
        <v>123253</v>
      </c>
      <c r="K1881">
        <v>248622</v>
      </c>
      <c r="L1881" t="s">
        <v>41</v>
      </c>
      <c r="M1881" t="s">
        <v>1917</v>
      </c>
      <c r="N1881" t="s">
        <v>26</v>
      </c>
      <c r="O1881" t="s">
        <v>34</v>
      </c>
      <c r="P1881" t="s">
        <v>22</v>
      </c>
      <c r="Q1881" t="s">
        <v>23</v>
      </c>
      <c r="R1881" t="b">
        <f>OR(Таблица1[[#This Row],[Ежемесячный платеж]]&lt;$AC$5, Таблица1[[#This Row],[Ежемесячный платеж]]&gt;$AC$6)</f>
        <v>0</v>
      </c>
      <c r="S1881" s="9">
        <f>(Таблица1[[#This Row],[Размер кредита]]-21824)/(789096-21824)</f>
        <v>0.31543181557518063</v>
      </c>
      <c r="T1881" s="9">
        <f>(Таблица1[[#This Row],[Кредитный рейтинг]]-586)/(751-586)</f>
        <v>0.83636363636363631</v>
      </c>
      <c r="U1881" s="9">
        <f>Таблица1[[#This Row],[Ежемесячный платеж]]/(Таблица1[[#This Row],[Годовой доход]]/12)</f>
        <v>0.21099959975985591</v>
      </c>
    </row>
    <row r="1882" spans="1:21" x14ac:dyDescent="0.3">
      <c r="A1882">
        <v>1881</v>
      </c>
      <c r="B1882">
        <v>0</v>
      </c>
      <c r="C1882" s="9">
        <v>189310</v>
      </c>
      <c r="D1882">
        <v>735</v>
      </c>
      <c r="E1882" s="1">
        <v>488262</v>
      </c>
      <c r="F1882">
        <v>71</v>
      </c>
      <c r="G1882">
        <v>12816.83</v>
      </c>
      <c r="H1882">
        <v>22.5</v>
      </c>
      <c r="I1882">
        <v>13</v>
      </c>
      <c r="J1882">
        <v>247608</v>
      </c>
      <c r="K1882">
        <v>666754</v>
      </c>
      <c r="L1882" t="s">
        <v>24</v>
      </c>
      <c r="M1882" t="s">
        <v>1918</v>
      </c>
      <c r="N1882" t="s">
        <v>26</v>
      </c>
      <c r="O1882" t="s">
        <v>34</v>
      </c>
      <c r="P1882" t="s">
        <v>22</v>
      </c>
      <c r="Q1882" t="s">
        <v>23</v>
      </c>
      <c r="R1882" t="b">
        <f>OR(Таблица1[[#This Row],[Ежемесячный платеж]]&lt;$AC$5, Таблица1[[#This Row],[Ежемесячный платеж]]&gt;$AC$6)</f>
        <v>0</v>
      </c>
      <c r="S1882" s="9">
        <f>(Таблица1[[#This Row],[Размер кредита]]-21824)/(789096-21824)</f>
        <v>0.21828764766601674</v>
      </c>
      <c r="T1882" s="9">
        <f>(Таблица1[[#This Row],[Кредитный рейтинг]]-586)/(751-586)</f>
        <v>0.90303030303030307</v>
      </c>
      <c r="U1882" s="9">
        <f>Таблица1[[#This Row],[Ежемесячный платеж]]/(Таблица1[[#This Row],[Годовой доход]]/12)</f>
        <v>0.31499883259397621</v>
      </c>
    </row>
    <row r="1883" spans="1:21" x14ac:dyDescent="0.3">
      <c r="A1883">
        <v>1882</v>
      </c>
      <c r="B1883">
        <v>0</v>
      </c>
      <c r="C1883" s="9">
        <v>199914</v>
      </c>
      <c r="D1883">
        <f>$Y$13</f>
        <v>723</v>
      </c>
      <c r="E1883">
        <f>$AB$13</f>
        <v>1168044</v>
      </c>
      <c r="F1883">
        <v>0</v>
      </c>
      <c r="G1883">
        <v>10356.33</v>
      </c>
      <c r="H1883">
        <v>12.4</v>
      </c>
      <c r="I1883">
        <v>7</v>
      </c>
      <c r="J1883">
        <v>274512</v>
      </c>
      <c r="K1883">
        <v>810854</v>
      </c>
      <c r="L1883" t="s">
        <v>32</v>
      </c>
      <c r="M1883" t="s">
        <v>1919</v>
      </c>
      <c r="N1883" t="s">
        <v>26</v>
      </c>
      <c r="O1883" t="s">
        <v>34</v>
      </c>
      <c r="P1883" t="s">
        <v>22</v>
      </c>
      <c r="Q1883" t="s">
        <v>23</v>
      </c>
      <c r="R1883" t="b">
        <f>OR(Таблица1[[#This Row],[Ежемесячный платеж]]&lt;$AC$5, Таблица1[[#This Row],[Ежемесячный платеж]]&gt;$AC$6)</f>
        <v>0</v>
      </c>
      <c r="S1883" s="9">
        <f>(Таблица1[[#This Row],[Размер кредита]]-21824)/(789096-21824)</f>
        <v>0.23210803991283405</v>
      </c>
      <c r="T1883" s="9">
        <f>(Таблица1[[#This Row],[Кредитный рейтинг]]-586)/(751-586)</f>
        <v>0.83030303030303032</v>
      </c>
      <c r="U1883" s="9">
        <f>Таблица1[[#This Row],[Ежемесячный платеж]]/(Таблица1[[#This Row],[Годовой доход]]/12)</f>
        <v>0.10639664259223111</v>
      </c>
    </row>
    <row r="1884" spans="1:21" x14ac:dyDescent="0.3">
      <c r="A1884">
        <v>1883</v>
      </c>
      <c r="B1884">
        <v>0</v>
      </c>
      <c r="C1884" s="9">
        <v>545006</v>
      </c>
      <c r="D1884">
        <v>716</v>
      </c>
      <c r="E1884" s="1">
        <v>1331444</v>
      </c>
      <c r="F1884">
        <v>0</v>
      </c>
      <c r="G1884">
        <v>32842.639999999999</v>
      </c>
      <c r="H1884">
        <v>22.4</v>
      </c>
      <c r="I1884">
        <v>7</v>
      </c>
      <c r="J1884">
        <v>640642</v>
      </c>
      <c r="K1884">
        <v>772706</v>
      </c>
      <c r="L1884" t="s">
        <v>29</v>
      </c>
      <c r="M1884" t="s">
        <v>1920</v>
      </c>
      <c r="N1884" t="s">
        <v>26</v>
      </c>
      <c r="O1884" t="s">
        <v>21</v>
      </c>
      <c r="P1884" t="s">
        <v>31</v>
      </c>
      <c r="Q1884" t="s">
        <v>23</v>
      </c>
      <c r="R1884" t="b">
        <f>OR(Таблица1[[#This Row],[Ежемесячный платеж]]&lt;$AC$5, Таблица1[[#This Row],[Ежемесячный платеж]]&gt;$AC$6)</f>
        <v>0</v>
      </c>
      <c r="S1884" s="9">
        <f>(Таблица1[[#This Row],[Размер кредита]]-21824)/(789096-21824)</f>
        <v>0.6818729212065604</v>
      </c>
      <c r="T1884" s="9">
        <f>(Таблица1[[#This Row],[Кредитный рейтинг]]-586)/(751-586)</f>
        <v>0.78787878787878785</v>
      </c>
      <c r="U1884" s="9">
        <f>Таблица1[[#This Row],[Ежемесячный платеж]]/(Таблица1[[#This Row],[Годовой доход]]/12)</f>
        <v>0.29600319652948226</v>
      </c>
    </row>
    <row r="1885" spans="1:21" x14ac:dyDescent="0.3">
      <c r="A1885">
        <v>1884</v>
      </c>
      <c r="B1885">
        <v>0</v>
      </c>
      <c r="C1885" s="9">
        <v>371822</v>
      </c>
      <c r="D1885">
        <v>731</v>
      </c>
      <c r="E1885" s="1">
        <v>2198110</v>
      </c>
      <c r="F1885">
        <v>50</v>
      </c>
      <c r="G1885">
        <v>34803.25</v>
      </c>
      <c r="H1885">
        <v>18.5</v>
      </c>
      <c r="I1885">
        <v>10</v>
      </c>
      <c r="J1885">
        <v>154242</v>
      </c>
      <c r="K1885">
        <v>391666</v>
      </c>
      <c r="L1885" t="s">
        <v>69</v>
      </c>
      <c r="M1885" t="s">
        <v>1921</v>
      </c>
      <c r="N1885" t="s">
        <v>26</v>
      </c>
      <c r="O1885" t="s">
        <v>21</v>
      </c>
      <c r="P1885" t="s">
        <v>31</v>
      </c>
      <c r="Q1885" t="s">
        <v>23</v>
      </c>
      <c r="R1885" t="b">
        <f>OR(Таблица1[[#This Row],[Ежемесячный платеж]]&lt;$AC$5, Таблица1[[#This Row],[Ежемесячный платеж]]&gt;$AC$6)</f>
        <v>0</v>
      </c>
      <c r="S1885" s="9">
        <f>(Таблица1[[#This Row],[Размер кредита]]-21824)/(789096-21824)</f>
        <v>0.45615896318385135</v>
      </c>
      <c r="T1885" s="9">
        <f>(Таблица1[[#This Row],[Кредитный рейтинг]]-586)/(751-586)</f>
        <v>0.87878787878787878</v>
      </c>
      <c r="U1885" s="9">
        <f>Таблица1[[#This Row],[Ежемесячный платеж]]/(Таблица1[[#This Row],[Годовой доход]]/12)</f>
        <v>0.18999913562105625</v>
      </c>
    </row>
    <row r="1886" spans="1:21" x14ac:dyDescent="0.3">
      <c r="A1886">
        <v>1885</v>
      </c>
      <c r="B1886">
        <v>0</v>
      </c>
      <c r="C1886" s="9">
        <v>337040</v>
      </c>
      <c r="D1886">
        <v>724</v>
      </c>
      <c r="E1886" s="1">
        <v>1086667</v>
      </c>
      <c r="F1886">
        <v>0</v>
      </c>
      <c r="G1886">
        <v>9598.99</v>
      </c>
      <c r="H1886">
        <v>13.6</v>
      </c>
      <c r="I1886">
        <v>5</v>
      </c>
      <c r="J1886">
        <v>344014</v>
      </c>
      <c r="K1886">
        <v>435798</v>
      </c>
      <c r="L1886" t="s">
        <v>24</v>
      </c>
      <c r="M1886" t="s">
        <v>1922</v>
      </c>
      <c r="N1886" t="s">
        <v>26</v>
      </c>
      <c r="O1886" t="s">
        <v>34</v>
      </c>
      <c r="P1886" t="s">
        <v>22</v>
      </c>
      <c r="Q1886" t="s">
        <v>23</v>
      </c>
      <c r="R1886" t="b">
        <f>OR(Таблица1[[#This Row],[Ежемесячный платеж]]&lt;$AC$5, Таблица1[[#This Row],[Ежемесячный платеж]]&gt;$AC$6)</f>
        <v>0</v>
      </c>
      <c r="S1886" s="9">
        <f>(Таблица1[[#This Row],[Размер кредита]]-21824)/(789096-21824)</f>
        <v>0.41082692969377221</v>
      </c>
      <c r="T1886" s="9">
        <f>(Таблица1[[#This Row],[Кредитный рейтинг]]-586)/(751-586)</f>
        <v>0.83636363636363631</v>
      </c>
      <c r="U1886" s="9">
        <f>Таблица1[[#This Row],[Ежемесячный платеж]]/(Таблица1[[#This Row],[Годовой доход]]/12)</f>
        <v>0.10600108404874722</v>
      </c>
    </row>
    <row r="1887" spans="1:21" x14ac:dyDescent="0.3">
      <c r="A1887">
        <v>1886</v>
      </c>
      <c r="B1887">
        <v>0</v>
      </c>
      <c r="C1887" s="9">
        <v>240328</v>
      </c>
      <c r="D1887">
        <v>696</v>
      </c>
      <c r="E1887" s="1">
        <v>1124496</v>
      </c>
      <c r="F1887">
        <v>2</v>
      </c>
      <c r="G1887">
        <v>29611.69</v>
      </c>
      <c r="H1887">
        <v>17.2</v>
      </c>
      <c r="I1887">
        <v>13</v>
      </c>
      <c r="J1887">
        <v>294728</v>
      </c>
      <c r="K1887">
        <v>689436</v>
      </c>
      <c r="L1887" t="s">
        <v>37</v>
      </c>
      <c r="M1887" t="s">
        <v>1923</v>
      </c>
      <c r="N1887" t="s">
        <v>26</v>
      </c>
      <c r="O1887" t="s">
        <v>21</v>
      </c>
      <c r="P1887" t="s">
        <v>22</v>
      </c>
      <c r="Q1887" t="s">
        <v>23</v>
      </c>
      <c r="R1887" t="b">
        <f>OR(Таблица1[[#This Row],[Ежемесячный платеж]]&lt;$AC$5, Таблица1[[#This Row],[Ежемесячный платеж]]&gt;$AC$6)</f>
        <v>0</v>
      </c>
      <c r="S1887" s="9">
        <f>(Таблица1[[#This Row],[Размер кредита]]-21824)/(789096-21824)</f>
        <v>0.28478036472072488</v>
      </c>
      <c r="T1887" s="9">
        <f>(Таблица1[[#This Row],[Кредитный рейтинг]]-586)/(751-586)</f>
        <v>0.66666666666666663</v>
      </c>
      <c r="U1887" s="9">
        <f>Таблица1[[#This Row],[Ежемесячный платеж]]/(Таблица1[[#This Row],[Годовой доход]]/12)</f>
        <v>0.31599959448499593</v>
      </c>
    </row>
    <row r="1888" spans="1:21" x14ac:dyDescent="0.3">
      <c r="A1888">
        <v>1887</v>
      </c>
      <c r="B1888">
        <v>0</v>
      </c>
      <c r="C1888" s="9">
        <v>68662</v>
      </c>
      <c r="D1888">
        <v>720</v>
      </c>
      <c r="E1888" s="1">
        <v>807595</v>
      </c>
      <c r="F1888">
        <v>0</v>
      </c>
      <c r="G1888">
        <v>26179.91</v>
      </c>
      <c r="H1888">
        <v>9.5</v>
      </c>
      <c r="I1888">
        <v>15</v>
      </c>
      <c r="J1888">
        <v>204079</v>
      </c>
      <c r="K1888">
        <v>283338</v>
      </c>
      <c r="L1888" t="s">
        <v>63</v>
      </c>
      <c r="M1888" t="s">
        <v>1924</v>
      </c>
      <c r="N1888" t="s">
        <v>26</v>
      </c>
      <c r="O1888" t="s">
        <v>34</v>
      </c>
      <c r="P1888" t="s">
        <v>22</v>
      </c>
      <c r="Q1888" t="s">
        <v>36</v>
      </c>
      <c r="R1888" t="b">
        <f>OR(Таблица1[[#This Row],[Ежемесячный платеж]]&lt;$AC$5, Таблица1[[#This Row],[Ежемесячный платеж]]&gt;$AC$6)</f>
        <v>0</v>
      </c>
      <c r="S1888" s="9">
        <f>(Таблица1[[#This Row],[Размер кредита]]-21824)/(789096-21824)</f>
        <v>6.1044844592269755E-2</v>
      </c>
      <c r="T1888" s="9">
        <f>(Таблица1[[#This Row],[Кредитный рейтинг]]-586)/(751-586)</f>
        <v>0.81212121212121213</v>
      </c>
      <c r="U1888" s="9">
        <f>Таблица1[[#This Row],[Ежемесячный платеж]]/(Таблица1[[#This Row],[Годовой доход]]/12)</f>
        <v>0.38900552876132222</v>
      </c>
    </row>
    <row r="1889" spans="1:21" x14ac:dyDescent="0.3">
      <c r="A1889">
        <v>1888</v>
      </c>
      <c r="B1889">
        <v>0</v>
      </c>
      <c r="C1889" s="9">
        <v>414194</v>
      </c>
      <c r="D1889">
        <v>713</v>
      </c>
      <c r="E1889" s="1">
        <v>797012</v>
      </c>
      <c r="F1889">
        <v>0</v>
      </c>
      <c r="G1889">
        <v>20987.78</v>
      </c>
      <c r="H1889">
        <v>9.6</v>
      </c>
      <c r="I1889">
        <v>13</v>
      </c>
      <c r="J1889">
        <v>246430</v>
      </c>
      <c r="K1889">
        <v>458018</v>
      </c>
      <c r="L1889" t="s">
        <v>52</v>
      </c>
      <c r="M1889" t="s">
        <v>1925</v>
      </c>
      <c r="N1889" t="s">
        <v>26</v>
      </c>
      <c r="O1889" t="s">
        <v>34</v>
      </c>
      <c r="P1889" t="s">
        <v>31</v>
      </c>
      <c r="Q1889" t="s">
        <v>36</v>
      </c>
      <c r="R1889" t="b">
        <f>OR(Таблица1[[#This Row],[Ежемесячный платеж]]&lt;$AC$5, Таблица1[[#This Row],[Ежемесячный платеж]]&gt;$AC$6)</f>
        <v>0</v>
      </c>
      <c r="S1889" s="9">
        <f>(Таблица1[[#This Row],[Размер кредита]]-21824)/(789096-21824)</f>
        <v>0.51138318614520017</v>
      </c>
      <c r="T1889" s="9">
        <f>(Таблица1[[#This Row],[Кредитный рейтинг]]-586)/(751-586)</f>
        <v>0.76969696969696966</v>
      </c>
      <c r="U1889" s="9">
        <f>Таблица1[[#This Row],[Ежемесячный платеж]]/(Таблица1[[#This Row],[Годовой доход]]/12)</f>
        <v>0.31599694860303229</v>
      </c>
    </row>
    <row r="1890" spans="1:21" x14ac:dyDescent="0.3">
      <c r="A1890">
        <v>1889</v>
      </c>
      <c r="B1890">
        <v>1</v>
      </c>
      <c r="C1890" s="9">
        <v>352462</v>
      </c>
      <c r="D1890">
        <v>721</v>
      </c>
      <c r="E1890" s="1">
        <v>2187850</v>
      </c>
      <c r="F1890">
        <v>68</v>
      </c>
      <c r="G1890">
        <v>40839.74</v>
      </c>
      <c r="H1890">
        <v>21.8</v>
      </c>
      <c r="I1890">
        <v>14</v>
      </c>
      <c r="J1890">
        <v>208240</v>
      </c>
      <c r="K1890">
        <v>339130</v>
      </c>
      <c r="L1890" t="s">
        <v>47</v>
      </c>
      <c r="M1890" t="s">
        <v>1926</v>
      </c>
      <c r="N1890" t="s">
        <v>26</v>
      </c>
      <c r="O1890" t="s">
        <v>21</v>
      </c>
      <c r="P1890" t="s">
        <v>31</v>
      </c>
      <c r="Q1890" t="s">
        <v>23</v>
      </c>
      <c r="R1890" t="b">
        <f>OR(Таблица1[[#This Row],[Ежемесячный платеж]]&lt;$AC$5, Таблица1[[#This Row],[Ежемесячный платеж]]&gt;$AC$6)</f>
        <v>0</v>
      </c>
      <c r="S1890" s="9">
        <f>(Таблица1[[#This Row],[Размер кредита]]-21824)/(789096-21824)</f>
        <v>0.43092671177887371</v>
      </c>
      <c r="T1890" s="9">
        <f>(Таблица1[[#This Row],[Кредитный рейтинг]]-586)/(751-586)</f>
        <v>0.81818181818181823</v>
      </c>
      <c r="U1890" s="9">
        <f>Таблица1[[#This Row],[Ежемесячный платеж]]/(Таблица1[[#This Row],[Годовой доход]]/12)</f>
        <v>0.22399930525401648</v>
      </c>
    </row>
    <row r="1891" spans="1:21" x14ac:dyDescent="0.3">
      <c r="A1891">
        <v>1890</v>
      </c>
      <c r="B1891">
        <v>0</v>
      </c>
      <c r="C1891" s="9">
        <v>675048</v>
      </c>
      <c r="D1891">
        <v>732</v>
      </c>
      <c r="E1891" s="1">
        <v>2444806</v>
      </c>
      <c r="F1891">
        <v>33</v>
      </c>
      <c r="G1891">
        <v>27504.02</v>
      </c>
      <c r="H1891">
        <v>16</v>
      </c>
      <c r="I1891">
        <v>8</v>
      </c>
      <c r="J1891">
        <v>268964</v>
      </c>
      <c r="K1891">
        <v>339636</v>
      </c>
      <c r="L1891" t="s">
        <v>24</v>
      </c>
      <c r="M1891" t="s">
        <v>1927</v>
      </c>
      <c r="N1891" t="s">
        <v>26</v>
      </c>
      <c r="O1891" t="s">
        <v>34</v>
      </c>
      <c r="P1891" t="s">
        <v>22</v>
      </c>
      <c r="Q1891" t="s">
        <v>23</v>
      </c>
      <c r="R1891" t="b">
        <f>OR(Таблица1[[#This Row],[Ежемесячный платеж]]&lt;$AC$5, Таблица1[[#This Row],[Ежемесячный платеж]]&gt;$AC$6)</f>
        <v>0</v>
      </c>
      <c r="S1891" s="9">
        <f>(Таблица1[[#This Row],[Размер кредита]]-21824)/(789096-21824)</f>
        <v>0.85135910081431354</v>
      </c>
      <c r="T1891" s="9">
        <f>(Таблица1[[#This Row],[Кредитный рейтинг]]-586)/(751-586)</f>
        <v>0.88484848484848488</v>
      </c>
      <c r="U1891" s="9">
        <f>Таблица1[[#This Row],[Ежемесячный платеж]]/(Таблица1[[#This Row],[Годовой доход]]/12)</f>
        <v>0.13499976685266643</v>
      </c>
    </row>
    <row r="1892" spans="1:21" x14ac:dyDescent="0.3">
      <c r="A1892">
        <v>1891</v>
      </c>
      <c r="B1892">
        <v>0</v>
      </c>
      <c r="C1892" s="9">
        <v>620620</v>
      </c>
      <c r="D1892">
        <v>712</v>
      </c>
      <c r="E1892" s="1">
        <v>1835058</v>
      </c>
      <c r="F1892">
        <v>0</v>
      </c>
      <c r="G1892">
        <v>27372.92</v>
      </c>
      <c r="H1892">
        <v>16.8</v>
      </c>
      <c r="I1892">
        <v>10</v>
      </c>
      <c r="J1892">
        <v>592800</v>
      </c>
      <c r="K1892">
        <v>825000</v>
      </c>
      <c r="L1892" t="s">
        <v>18</v>
      </c>
      <c r="M1892" t="s">
        <v>1928</v>
      </c>
      <c r="N1892" t="s">
        <v>26</v>
      </c>
      <c r="O1892" t="s">
        <v>34</v>
      </c>
      <c r="P1892" t="s">
        <v>22</v>
      </c>
      <c r="Q1892" t="s">
        <v>23</v>
      </c>
      <c r="R1892" t="b">
        <f>OR(Таблица1[[#This Row],[Ежемесячный платеж]]&lt;$AC$5, Таблица1[[#This Row],[Ежемесячный платеж]]&gt;$AC$6)</f>
        <v>0</v>
      </c>
      <c r="S1892" s="9">
        <f>(Таблица1[[#This Row],[Размер кредита]]-21824)/(789096-21824)</f>
        <v>0.78042206675077419</v>
      </c>
      <c r="T1892" s="9">
        <f>(Таблица1[[#This Row],[Кредитный рейтинг]]-586)/(751-586)</f>
        <v>0.76363636363636367</v>
      </c>
      <c r="U1892" s="9">
        <f>Таблица1[[#This Row],[Ежемесячный платеж]]/(Таблица1[[#This Row],[Годовой доход]]/12)</f>
        <v>0.17899981362986891</v>
      </c>
    </row>
    <row r="1893" spans="1:21" x14ac:dyDescent="0.3">
      <c r="A1893">
        <v>1892</v>
      </c>
      <c r="B1893">
        <v>0</v>
      </c>
      <c r="C1893" s="9">
        <v>313874</v>
      </c>
      <c r="D1893">
        <v>742</v>
      </c>
      <c r="E1893" s="1">
        <v>2129919</v>
      </c>
      <c r="F1893">
        <v>0</v>
      </c>
      <c r="G1893">
        <v>24316.58</v>
      </c>
      <c r="H1893">
        <v>12.6</v>
      </c>
      <c r="I1893">
        <v>8</v>
      </c>
      <c r="J1893">
        <v>336642</v>
      </c>
      <c r="K1893">
        <v>508882</v>
      </c>
      <c r="L1893" t="s">
        <v>52</v>
      </c>
      <c r="M1893" t="s">
        <v>1929</v>
      </c>
      <c r="N1893" t="s">
        <v>26</v>
      </c>
      <c r="O1893" t="s">
        <v>34</v>
      </c>
      <c r="P1893" t="s">
        <v>22</v>
      </c>
      <c r="Q1893" t="s">
        <v>23</v>
      </c>
      <c r="R1893" t="b">
        <f>OR(Таблица1[[#This Row],[Ежемесячный платеж]]&lt;$AC$5, Таблица1[[#This Row],[Ежемесячный платеж]]&gt;$AC$6)</f>
        <v>0</v>
      </c>
      <c r="S1893" s="9">
        <f>(Таблица1[[#This Row],[Размер кредита]]-21824)/(789096-21824)</f>
        <v>0.38063424704667964</v>
      </c>
      <c r="T1893" s="9">
        <f>(Таблица1[[#This Row],[Кредитный рейтинг]]-586)/(751-586)</f>
        <v>0.94545454545454544</v>
      </c>
      <c r="U1893" s="9">
        <f>Таблица1[[#This Row],[Ежемесячный платеж]]/(Таблица1[[#This Row],[Годовой доход]]/12)</f>
        <v>0.13700002676158107</v>
      </c>
    </row>
    <row r="1894" spans="1:21" x14ac:dyDescent="0.3">
      <c r="A1894">
        <v>1893</v>
      </c>
      <c r="B1894">
        <v>0</v>
      </c>
      <c r="C1894" s="9">
        <v>474144</v>
      </c>
      <c r="D1894">
        <v>657</v>
      </c>
      <c r="E1894" s="1">
        <v>1139601</v>
      </c>
      <c r="F1894">
        <v>23</v>
      </c>
      <c r="G1894">
        <v>23457.02</v>
      </c>
      <c r="H1894">
        <v>18.7</v>
      </c>
      <c r="I1894">
        <v>19</v>
      </c>
      <c r="J1894">
        <v>270921</v>
      </c>
      <c r="K1894">
        <v>637582</v>
      </c>
      <c r="L1894" t="s">
        <v>52</v>
      </c>
      <c r="M1894" t="s">
        <v>1930</v>
      </c>
      <c r="N1894" t="s">
        <v>26</v>
      </c>
      <c r="O1894" t="s">
        <v>21</v>
      </c>
      <c r="P1894" t="s">
        <v>31</v>
      </c>
      <c r="Q1894" t="s">
        <v>23</v>
      </c>
      <c r="R1894" t="b">
        <f>OR(Таблица1[[#This Row],[Ежемесячный платеж]]&lt;$AC$5, Таблица1[[#This Row],[Ежемесячный платеж]]&gt;$AC$6)</f>
        <v>0</v>
      </c>
      <c r="S1894" s="9">
        <f>(Таблица1[[#This Row],[Размер кредита]]-21824)/(789096-21824)</f>
        <v>0.58951714646175024</v>
      </c>
      <c r="T1894" s="9">
        <f>(Таблица1[[#This Row],[Кредитный рейтинг]]-586)/(751-586)</f>
        <v>0.4303030303030303</v>
      </c>
      <c r="U1894" s="9">
        <f>Таблица1[[#This Row],[Ежемесячный платеж]]/(Таблица1[[#This Row],[Годовой доход]]/12)</f>
        <v>0.24700245085780023</v>
      </c>
    </row>
    <row r="1895" spans="1:21" x14ac:dyDescent="0.3">
      <c r="A1895">
        <v>1894</v>
      </c>
      <c r="B1895">
        <v>1</v>
      </c>
      <c r="C1895" s="9">
        <v>120912</v>
      </c>
      <c r="D1895">
        <v>735</v>
      </c>
      <c r="E1895" s="1">
        <v>801154</v>
      </c>
      <c r="F1895">
        <v>13</v>
      </c>
      <c r="G1895">
        <v>4406.29</v>
      </c>
      <c r="H1895">
        <v>14.4</v>
      </c>
      <c r="I1895">
        <v>11</v>
      </c>
      <c r="J1895">
        <v>97622</v>
      </c>
      <c r="K1895">
        <v>359986</v>
      </c>
      <c r="L1895" t="s">
        <v>47</v>
      </c>
      <c r="M1895" t="s">
        <v>1931</v>
      </c>
      <c r="N1895" t="s">
        <v>26</v>
      </c>
      <c r="O1895" t="s">
        <v>34</v>
      </c>
      <c r="P1895" t="s">
        <v>22</v>
      </c>
      <c r="Q1895" t="s">
        <v>23</v>
      </c>
      <c r="R1895" t="b">
        <f>OR(Таблица1[[#This Row],[Ежемесячный платеж]]&lt;$AC$5, Таблица1[[#This Row],[Ежемесячный платеж]]&gt;$AC$6)</f>
        <v>0</v>
      </c>
      <c r="S1895" s="9">
        <f>(Таблица1[[#This Row],[Размер кредита]]-21824)/(789096-21824)</f>
        <v>0.12914325037274918</v>
      </c>
      <c r="T1895" s="9">
        <f>(Таблица1[[#This Row],[Кредитный рейтинг]]-586)/(751-586)</f>
        <v>0.90303030303030307</v>
      </c>
      <c r="U1895" s="9">
        <f>Таблица1[[#This Row],[Ежемесячный платеж]]/(Таблица1[[#This Row],[Годовой доход]]/12)</f>
        <v>6.5999146231560973E-2</v>
      </c>
    </row>
    <row r="1896" spans="1:21" x14ac:dyDescent="0.3">
      <c r="A1896">
        <v>1895</v>
      </c>
      <c r="B1896">
        <v>0</v>
      </c>
      <c r="C1896" s="9">
        <v>103686</v>
      </c>
      <c r="D1896">
        <f>$Y$13</f>
        <v>723</v>
      </c>
      <c r="E1896">
        <f>$AB$13</f>
        <v>1168044</v>
      </c>
      <c r="F1896">
        <v>0</v>
      </c>
      <c r="G1896">
        <v>9779.8700000000008</v>
      </c>
      <c r="H1896">
        <v>9.4</v>
      </c>
      <c r="I1896">
        <v>12</v>
      </c>
      <c r="J1896">
        <v>114152</v>
      </c>
      <c r="K1896">
        <v>380864</v>
      </c>
      <c r="L1896" t="s">
        <v>24</v>
      </c>
      <c r="M1896" t="s">
        <v>1932</v>
      </c>
      <c r="N1896" t="s">
        <v>26</v>
      </c>
      <c r="O1896" t="s">
        <v>34</v>
      </c>
      <c r="P1896" t="s">
        <v>22</v>
      </c>
      <c r="Q1896" t="s">
        <v>36</v>
      </c>
      <c r="R1896" t="b">
        <f>OR(Таблица1[[#This Row],[Ежемесячный платеж]]&lt;$AC$5, Таблица1[[#This Row],[Ежемесячный платеж]]&gt;$AC$6)</f>
        <v>0</v>
      </c>
      <c r="S1896" s="9">
        <f>(Таблица1[[#This Row],[Размер кредита]]-21824)/(789096-21824)</f>
        <v>0.10669228122491112</v>
      </c>
      <c r="T1896" s="9">
        <f>(Таблица1[[#This Row],[Кредитный рейтинг]]-586)/(751-586)</f>
        <v>0.83030303030303032</v>
      </c>
      <c r="U1896" s="9">
        <f>Таблица1[[#This Row],[Ежемесячный платеж]]/(Таблица1[[#This Row],[Годовой доход]]/12)</f>
        <v>0.10047433144641812</v>
      </c>
    </row>
    <row r="1897" spans="1:21" x14ac:dyDescent="0.3">
      <c r="A1897">
        <v>1896</v>
      </c>
      <c r="B1897">
        <v>0</v>
      </c>
      <c r="C1897" s="9">
        <v>440660</v>
      </c>
      <c r="D1897">
        <f>$Y$13</f>
        <v>723</v>
      </c>
      <c r="E1897">
        <f>$AB$13</f>
        <v>1168044</v>
      </c>
      <c r="F1897">
        <v>15</v>
      </c>
      <c r="G1897">
        <v>17442.95</v>
      </c>
      <c r="H1897">
        <v>12.1</v>
      </c>
      <c r="I1897">
        <v>9</v>
      </c>
      <c r="J1897">
        <v>273885</v>
      </c>
      <c r="K1897">
        <v>592746</v>
      </c>
      <c r="L1897" t="s">
        <v>52</v>
      </c>
      <c r="M1897" t="s">
        <v>1933</v>
      </c>
      <c r="N1897" t="s">
        <v>26</v>
      </c>
      <c r="O1897" t="s">
        <v>28</v>
      </c>
      <c r="P1897" t="s">
        <v>22</v>
      </c>
      <c r="Q1897" t="s">
        <v>23</v>
      </c>
      <c r="R1897" t="b">
        <f>OR(Таблица1[[#This Row],[Ежемесячный платеж]]&lt;$AC$5, Таблица1[[#This Row],[Ежемесячный платеж]]&gt;$AC$6)</f>
        <v>0</v>
      </c>
      <c r="S1897" s="9">
        <f>(Таблица1[[#This Row],[Размер кредита]]-21824)/(789096-21824)</f>
        <v>0.54587682073632293</v>
      </c>
      <c r="T1897" s="9">
        <f>(Таблица1[[#This Row],[Кредитный рейтинг]]-586)/(751-586)</f>
        <v>0.83030303030303032</v>
      </c>
      <c r="U1897" s="9">
        <f>Таблица1[[#This Row],[Ежемесячный платеж]]/(Таблица1[[#This Row],[Годовой доход]]/12)</f>
        <v>0.17920163966425923</v>
      </c>
    </row>
    <row r="1898" spans="1:21" x14ac:dyDescent="0.3">
      <c r="A1898">
        <v>1897</v>
      </c>
      <c r="B1898">
        <v>0</v>
      </c>
      <c r="C1898" s="9">
        <v>448404</v>
      </c>
      <c r="D1898">
        <v>717</v>
      </c>
      <c r="E1898" s="1">
        <v>968145</v>
      </c>
      <c r="F1898">
        <v>7</v>
      </c>
      <c r="G1898">
        <v>17265.3</v>
      </c>
      <c r="H1898">
        <v>24.7</v>
      </c>
      <c r="I1898">
        <v>12</v>
      </c>
      <c r="J1898">
        <v>583661</v>
      </c>
      <c r="K1898">
        <v>1132010</v>
      </c>
      <c r="L1898" t="s">
        <v>18</v>
      </c>
      <c r="M1898" t="s">
        <v>1934</v>
      </c>
      <c r="N1898" t="s">
        <v>26</v>
      </c>
      <c r="O1898" t="s">
        <v>21</v>
      </c>
      <c r="P1898" t="s">
        <v>31</v>
      </c>
      <c r="Q1898" t="s">
        <v>23</v>
      </c>
      <c r="R1898" t="b">
        <f>OR(Таблица1[[#This Row],[Ежемесячный платеж]]&lt;$AC$5, Таблица1[[#This Row],[Ежемесячный платеж]]&gt;$AC$6)</f>
        <v>0</v>
      </c>
      <c r="S1898" s="9">
        <f>(Таблица1[[#This Row],[Размер кредита]]-21824)/(789096-21824)</f>
        <v>0.55596972129831401</v>
      </c>
      <c r="T1898" s="9">
        <f>(Таблица1[[#This Row],[Кредитный рейтинг]]-586)/(751-586)</f>
        <v>0.79393939393939394</v>
      </c>
      <c r="U1898" s="9">
        <f>Таблица1[[#This Row],[Ежемесячный платеж]]/(Таблица1[[#This Row],[Годовой доход]]/12)</f>
        <v>0.21400058875478362</v>
      </c>
    </row>
    <row r="1899" spans="1:21" x14ac:dyDescent="0.3">
      <c r="A1899">
        <v>1898</v>
      </c>
      <c r="B1899">
        <v>0</v>
      </c>
      <c r="D1899">
        <v>704</v>
      </c>
      <c r="E1899" s="1">
        <v>1236444</v>
      </c>
      <c r="F1899">
        <v>0</v>
      </c>
      <c r="G1899">
        <v>31323.21</v>
      </c>
      <c r="H1899">
        <v>14.6</v>
      </c>
      <c r="I1899">
        <v>17</v>
      </c>
      <c r="J1899">
        <v>272460</v>
      </c>
      <c r="K1899">
        <v>486112</v>
      </c>
      <c r="L1899" t="s">
        <v>37</v>
      </c>
      <c r="M1899" t="s">
        <v>1935</v>
      </c>
      <c r="N1899" t="s">
        <v>2041</v>
      </c>
      <c r="O1899" t="s">
        <v>21</v>
      </c>
      <c r="P1899" t="s">
        <v>22</v>
      </c>
      <c r="Q1899" t="s">
        <v>23</v>
      </c>
      <c r="R1899" t="b">
        <f>OR(Таблица1[[#This Row],[Ежемесячный платеж]]&lt;$AC$5, Таблица1[[#This Row],[Ежемесячный платеж]]&gt;$AC$6)</f>
        <v>0</v>
      </c>
      <c r="T1899" s="9">
        <f>(Таблица1[[#This Row],[Кредитный рейтинг]]-586)/(751-586)</f>
        <v>0.7151515151515152</v>
      </c>
      <c r="U1899" s="9">
        <f>Таблица1[[#This Row],[Ежемесячный платеж]]/(Таблица1[[#This Row],[Годовой доход]]/12)</f>
        <v>0.30399963120044254</v>
      </c>
    </row>
    <row r="1900" spans="1:21" x14ac:dyDescent="0.3">
      <c r="A1900">
        <v>1899</v>
      </c>
      <c r="B1900">
        <v>0</v>
      </c>
      <c r="C1900" s="9">
        <v>78034</v>
      </c>
      <c r="D1900">
        <v>732</v>
      </c>
      <c r="E1900" s="1">
        <v>936130</v>
      </c>
      <c r="F1900">
        <v>0</v>
      </c>
      <c r="G1900">
        <v>1739.64</v>
      </c>
      <c r="H1900">
        <v>13</v>
      </c>
      <c r="I1900">
        <v>2</v>
      </c>
      <c r="J1900">
        <v>39615</v>
      </c>
      <c r="K1900">
        <v>82368</v>
      </c>
      <c r="L1900" t="s">
        <v>63</v>
      </c>
      <c r="M1900" t="s">
        <v>1936</v>
      </c>
      <c r="N1900" t="s">
        <v>20</v>
      </c>
      <c r="O1900" t="s">
        <v>21</v>
      </c>
      <c r="P1900" t="s">
        <v>22</v>
      </c>
      <c r="Q1900" t="s">
        <v>23</v>
      </c>
      <c r="R1900" t="b">
        <f>OR(Таблица1[[#This Row],[Ежемесячный платеж]]&lt;$AC$5, Таблица1[[#This Row],[Ежемесячный платеж]]&gt;$AC$6)</f>
        <v>0</v>
      </c>
      <c r="S1900" s="9">
        <f>(Таблица1[[#This Row],[Размер кредита]]-21824)/(789096-21824)</f>
        <v>7.3259548113315753E-2</v>
      </c>
      <c r="T1900" s="9">
        <f>(Таблица1[[#This Row],[Кредитный рейтинг]]-586)/(751-586)</f>
        <v>0.88484848484848488</v>
      </c>
      <c r="U1900" s="9">
        <f>Таблица1[[#This Row],[Ежемесячный платеж]]/(Таблица1[[#This Row],[Годовой доход]]/12)</f>
        <v>2.2299979703673638E-2</v>
      </c>
    </row>
    <row r="1901" spans="1:21" x14ac:dyDescent="0.3">
      <c r="A1901">
        <v>1900</v>
      </c>
      <c r="B1901">
        <v>0</v>
      </c>
      <c r="C1901" s="9">
        <v>326084</v>
      </c>
      <c r="D1901">
        <f>$Y$13</f>
        <v>723</v>
      </c>
      <c r="E1901">
        <f>$AB$13</f>
        <v>1168044</v>
      </c>
      <c r="F1901">
        <v>0</v>
      </c>
      <c r="G1901">
        <v>15112.98</v>
      </c>
      <c r="H1901">
        <v>46.2</v>
      </c>
      <c r="I1901">
        <v>13</v>
      </c>
      <c r="J1901">
        <v>677445</v>
      </c>
      <c r="L1901" t="s">
        <v>24</v>
      </c>
      <c r="M1901" t="s">
        <v>1937</v>
      </c>
      <c r="N1901" t="s">
        <v>20</v>
      </c>
      <c r="O1901" t="s">
        <v>21</v>
      </c>
      <c r="P1901" t="s">
        <v>22</v>
      </c>
      <c r="Q1901" t="s">
        <v>36</v>
      </c>
      <c r="R1901" t="b">
        <f>OR(Таблица1[[#This Row],[Ежемесячный платеж]]&lt;$AC$5, Таблица1[[#This Row],[Ежемесячный платеж]]&gt;$AC$6)</f>
        <v>0</v>
      </c>
      <c r="S1901" s="9">
        <f>(Таблица1[[#This Row],[Размер кредита]]-21824)/(789096-21824)</f>
        <v>0.39654776923959167</v>
      </c>
      <c r="T1901" s="9">
        <f>(Таблица1[[#This Row],[Кредитный рейтинг]]-586)/(751-586)</f>
        <v>0.83030303030303032</v>
      </c>
      <c r="U1901" s="9">
        <f>Таблица1[[#This Row],[Ежемесячный платеж]]/(Таблица1[[#This Row],[Годовой доход]]/12)</f>
        <v>0.15526449346086277</v>
      </c>
    </row>
    <row r="1902" spans="1:21" x14ac:dyDescent="0.3">
      <c r="A1902">
        <v>1901</v>
      </c>
      <c r="B1902">
        <v>0</v>
      </c>
      <c r="C1902" s="9">
        <v>115434</v>
      </c>
      <c r="D1902">
        <v>737</v>
      </c>
      <c r="E1902" s="1">
        <v>722019</v>
      </c>
      <c r="F1902">
        <v>39</v>
      </c>
      <c r="G1902">
        <v>17749.61</v>
      </c>
      <c r="H1902">
        <v>21.4</v>
      </c>
      <c r="I1902">
        <v>7</v>
      </c>
      <c r="J1902">
        <v>798</v>
      </c>
      <c r="K1902">
        <v>306350</v>
      </c>
      <c r="L1902" t="s">
        <v>24</v>
      </c>
      <c r="M1902" t="s">
        <v>1938</v>
      </c>
      <c r="N1902" t="s">
        <v>76</v>
      </c>
      <c r="O1902" t="s">
        <v>21</v>
      </c>
      <c r="P1902" t="s">
        <v>22</v>
      </c>
      <c r="Q1902" t="s">
        <v>36</v>
      </c>
      <c r="R1902" t="b">
        <f>OR(Таблица1[[#This Row],[Ежемесячный платеж]]&lt;$AC$5, Таблица1[[#This Row],[Ежемесячный платеж]]&gt;$AC$6)</f>
        <v>0</v>
      </c>
      <c r="S1902" s="9">
        <f>(Таблица1[[#This Row],[Размер кредита]]-21824)/(789096-21824)</f>
        <v>0.12200367014565891</v>
      </c>
      <c r="T1902" s="9">
        <f>(Таблица1[[#This Row],[Кредитный рейтинг]]-586)/(751-586)</f>
        <v>0.91515151515151516</v>
      </c>
      <c r="U1902" s="9">
        <f>Таблица1[[#This Row],[Ежемесячный платеж]]/(Таблица1[[#This Row],[Годовой доход]]/12)</f>
        <v>0.29499960527354546</v>
      </c>
    </row>
    <row r="1903" spans="1:21" x14ac:dyDescent="0.3">
      <c r="A1903">
        <v>1902</v>
      </c>
      <c r="B1903">
        <v>0</v>
      </c>
      <c r="C1903" s="9">
        <v>264946</v>
      </c>
      <c r="D1903">
        <v>746</v>
      </c>
      <c r="E1903" s="1">
        <v>858078</v>
      </c>
      <c r="F1903">
        <v>0</v>
      </c>
      <c r="G1903">
        <v>11155.09</v>
      </c>
      <c r="H1903">
        <v>13.7</v>
      </c>
      <c r="I1903">
        <v>11</v>
      </c>
      <c r="J1903">
        <v>57437</v>
      </c>
      <c r="K1903">
        <v>588522</v>
      </c>
      <c r="L1903" t="s">
        <v>37</v>
      </c>
      <c r="M1903" t="s">
        <v>1939</v>
      </c>
      <c r="N1903" t="s">
        <v>26</v>
      </c>
      <c r="O1903" t="s">
        <v>28</v>
      </c>
      <c r="P1903" t="s">
        <v>22</v>
      </c>
      <c r="Q1903" t="s">
        <v>23</v>
      </c>
      <c r="R1903" t="b">
        <f>OR(Таблица1[[#This Row],[Ежемесячный платеж]]&lt;$AC$5, Таблица1[[#This Row],[Ежемесячный платеж]]&gt;$AC$6)</f>
        <v>0</v>
      </c>
      <c r="S1903" s="9">
        <f>(Таблица1[[#This Row],[Размер кредита]]-21824)/(789096-21824)</f>
        <v>0.31686546622319073</v>
      </c>
      <c r="T1903" s="9">
        <f>(Таблица1[[#This Row],[Кредитный рейтинг]]-586)/(751-586)</f>
        <v>0.96969696969696972</v>
      </c>
      <c r="U1903" s="9">
        <f>Таблица1[[#This Row],[Ежемесячный платеж]]/(Таблица1[[#This Row],[Годовой доход]]/12)</f>
        <v>0.15600106284044107</v>
      </c>
    </row>
    <row r="1904" spans="1:21" x14ac:dyDescent="0.3">
      <c r="A1904">
        <v>1903</v>
      </c>
      <c r="B1904">
        <v>0</v>
      </c>
      <c r="C1904" s="9">
        <v>254034</v>
      </c>
      <c r="D1904">
        <v>674</v>
      </c>
      <c r="E1904" s="1">
        <v>1304198</v>
      </c>
      <c r="F1904">
        <v>49</v>
      </c>
      <c r="G1904">
        <v>35539.31</v>
      </c>
      <c r="H1904">
        <v>12.7</v>
      </c>
      <c r="I1904">
        <v>12</v>
      </c>
      <c r="J1904">
        <v>43852</v>
      </c>
      <c r="K1904">
        <v>280588</v>
      </c>
      <c r="L1904" t="s">
        <v>29</v>
      </c>
      <c r="M1904" s="2" t="s">
        <v>1940</v>
      </c>
      <c r="N1904" t="s">
        <v>26</v>
      </c>
      <c r="O1904" t="s">
        <v>34</v>
      </c>
      <c r="P1904" t="s">
        <v>22</v>
      </c>
      <c r="Q1904" t="s">
        <v>23</v>
      </c>
      <c r="R1904" t="b">
        <f>OR(Таблица1[[#This Row],[Ежемесячный платеж]]&lt;$AC$5, Таблица1[[#This Row],[Ежемесячный платеж]]&gt;$AC$6)</f>
        <v>0</v>
      </c>
      <c r="S1904" s="9">
        <f>(Таблица1[[#This Row],[Размер кредита]]-21824)/(789096-21824)</f>
        <v>0.30264365179493063</v>
      </c>
      <c r="T1904" s="9">
        <f>(Таблица1[[#This Row],[Кредитный рейтинг]]-586)/(751-586)</f>
        <v>0.53333333333333333</v>
      </c>
      <c r="U1904" s="9">
        <f>Таблица1[[#This Row],[Ежемесячный платеж]]/(Таблица1[[#This Row],[Годовой доход]]/12)</f>
        <v>0.32699921330963544</v>
      </c>
    </row>
    <row r="1905" spans="1:21" x14ac:dyDescent="0.3">
      <c r="A1905">
        <v>1904</v>
      </c>
      <c r="B1905">
        <v>0</v>
      </c>
      <c r="C1905" s="9">
        <v>146322</v>
      </c>
      <c r="D1905">
        <v>704</v>
      </c>
      <c r="E1905" s="1">
        <v>595384</v>
      </c>
      <c r="F1905">
        <v>0</v>
      </c>
      <c r="G1905">
        <v>6499.52</v>
      </c>
      <c r="H1905">
        <v>10</v>
      </c>
      <c r="I1905">
        <v>14</v>
      </c>
      <c r="J1905">
        <v>149549</v>
      </c>
      <c r="K1905">
        <v>335610</v>
      </c>
      <c r="L1905" t="s">
        <v>18</v>
      </c>
      <c r="M1905" t="s">
        <v>1941</v>
      </c>
      <c r="N1905" t="s">
        <v>26</v>
      </c>
      <c r="O1905" t="s">
        <v>34</v>
      </c>
      <c r="P1905" t="s">
        <v>22</v>
      </c>
      <c r="Q1905" t="s">
        <v>23</v>
      </c>
      <c r="R1905" t="b">
        <f>OR(Таблица1[[#This Row],[Ежемесячный платеж]]&lt;$AC$5, Таблица1[[#This Row],[Ежемесячный платеж]]&gt;$AC$6)</f>
        <v>0</v>
      </c>
      <c r="S1905" s="9">
        <f>(Таблица1[[#This Row],[Размер кредита]]-21824)/(789096-21824)</f>
        <v>0.16226058034178231</v>
      </c>
      <c r="T1905" s="9">
        <f>(Таблица1[[#This Row],[Кредитный рейтинг]]-586)/(751-586)</f>
        <v>0.7151515151515152</v>
      </c>
      <c r="U1905" s="9">
        <f>Таблица1[[#This Row],[Ежемесячный платеж]]/(Таблица1[[#This Row],[Годовой доход]]/12)</f>
        <v>0.13099821291804953</v>
      </c>
    </row>
    <row r="1906" spans="1:21" x14ac:dyDescent="0.3">
      <c r="A1906">
        <v>1905</v>
      </c>
      <c r="B1906">
        <v>0</v>
      </c>
      <c r="C1906" s="9">
        <v>687170</v>
      </c>
      <c r="D1906">
        <v>734</v>
      </c>
      <c r="E1906" s="1">
        <v>2132788</v>
      </c>
      <c r="F1906">
        <v>69</v>
      </c>
      <c r="G1906">
        <v>58829.13</v>
      </c>
      <c r="H1906">
        <v>18.5</v>
      </c>
      <c r="I1906">
        <v>20</v>
      </c>
      <c r="J1906">
        <v>826804</v>
      </c>
      <c r="K1906">
        <v>2849242</v>
      </c>
      <c r="L1906" t="s">
        <v>24</v>
      </c>
      <c r="M1906" t="s">
        <v>1942</v>
      </c>
      <c r="N1906" t="s">
        <v>26</v>
      </c>
      <c r="O1906" t="s">
        <v>21</v>
      </c>
      <c r="P1906" t="s">
        <v>22</v>
      </c>
      <c r="Q1906" t="s">
        <v>23</v>
      </c>
      <c r="R1906" t="b">
        <f>OR(Таблица1[[#This Row],[Ежемесячный платеж]]&lt;$AC$5, Таблица1[[#This Row],[Ежемесячный платеж]]&gt;$AC$6)</f>
        <v>1</v>
      </c>
      <c r="S1906" s="9">
        <f>(Таблица1[[#This Row],[Размер кредита]]-21824)/(789096-21824)</f>
        <v>0.86715793095538474</v>
      </c>
      <c r="T1906" s="9">
        <f>(Таблица1[[#This Row],[Кредитный рейтинг]]-586)/(751-586)</f>
        <v>0.89696969696969697</v>
      </c>
      <c r="U1906" s="9">
        <f>Таблица1[[#This Row],[Ежемесячный платеж]]/(Таблица1[[#This Row],[Годовой доход]]/12)</f>
        <v>0.33099846773331432</v>
      </c>
    </row>
    <row r="1907" spans="1:21" x14ac:dyDescent="0.3">
      <c r="A1907">
        <v>1906</v>
      </c>
      <c r="B1907">
        <v>0</v>
      </c>
      <c r="C1907" s="9">
        <v>220858</v>
      </c>
      <c r="D1907">
        <v>704</v>
      </c>
      <c r="E1907" s="1">
        <v>1907410</v>
      </c>
      <c r="F1907">
        <v>20</v>
      </c>
      <c r="G1907">
        <v>20504.61</v>
      </c>
      <c r="H1907">
        <v>12.3</v>
      </c>
      <c r="I1907">
        <v>9</v>
      </c>
      <c r="J1907">
        <v>92872</v>
      </c>
      <c r="K1907">
        <v>185416</v>
      </c>
      <c r="L1907" t="s">
        <v>41</v>
      </c>
      <c r="M1907" t="s">
        <v>1943</v>
      </c>
      <c r="N1907" t="s">
        <v>71</v>
      </c>
      <c r="O1907" t="s">
        <v>34</v>
      </c>
      <c r="P1907" t="s">
        <v>31</v>
      </c>
      <c r="Q1907" t="s">
        <v>36</v>
      </c>
      <c r="R1907" t="b">
        <f>OR(Таблица1[[#This Row],[Ежемесячный платеж]]&lt;$AC$5, Таблица1[[#This Row],[Ежемесячный платеж]]&gt;$AC$6)</f>
        <v>0</v>
      </c>
      <c r="S1907" s="9">
        <f>(Таблица1[[#This Row],[Размер кредита]]-21824)/(789096-21824)</f>
        <v>0.25940474825094623</v>
      </c>
      <c r="T1907" s="9">
        <f>(Таблица1[[#This Row],[Кредитный рейтинг]]-586)/(751-586)</f>
        <v>0.7151515151515152</v>
      </c>
      <c r="U1907" s="9">
        <f>Таблица1[[#This Row],[Ежемесячный платеж]]/(Таблица1[[#This Row],[Годовой доход]]/12)</f>
        <v>0.12899970116545473</v>
      </c>
    </row>
    <row r="1908" spans="1:21" x14ac:dyDescent="0.3">
      <c r="A1908">
        <v>1907</v>
      </c>
      <c r="B1908">
        <v>0</v>
      </c>
      <c r="C1908" s="9">
        <v>429880</v>
      </c>
      <c r="D1908">
        <v>748</v>
      </c>
      <c r="E1908" s="1">
        <v>1949115</v>
      </c>
      <c r="F1908">
        <v>0</v>
      </c>
      <c r="G1908">
        <v>22252.42</v>
      </c>
      <c r="H1908">
        <v>22.2</v>
      </c>
      <c r="I1908">
        <v>22</v>
      </c>
      <c r="J1908">
        <v>302575</v>
      </c>
      <c r="K1908">
        <v>1283348</v>
      </c>
      <c r="L1908" t="s">
        <v>24</v>
      </c>
      <c r="M1908" t="s">
        <v>1944</v>
      </c>
      <c r="N1908" t="s">
        <v>26</v>
      </c>
      <c r="O1908" t="s">
        <v>21</v>
      </c>
      <c r="P1908" t="s">
        <v>22</v>
      </c>
      <c r="Q1908" t="s">
        <v>23</v>
      </c>
      <c r="R1908" t="b">
        <f>OR(Таблица1[[#This Row],[Ежемесячный платеж]]&lt;$AC$5, Таблица1[[#This Row],[Ежемесячный платеж]]&gt;$AC$6)</f>
        <v>0</v>
      </c>
      <c r="S1908" s="9">
        <f>(Таблица1[[#This Row],[Размер кредита]]-21824)/(789096-21824)</f>
        <v>0.53182704438582407</v>
      </c>
      <c r="T1908" s="9">
        <f>(Таблица1[[#This Row],[Кредитный рейтинг]]-586)/(751-586)</f>
        <v>0.98181818181818181</v>
      </c>
      <c r="U1908" s="9">
        <f>Таблица1[[#This Row],[Ежемесячный платеж]]/(Таблица1[[#This Row],[Годовой доход]]/12)</f>
        <v>0.13700014622020762</v>
      </c>
    </row>
    <row r="1909" spans="1:21" x14ac:dyDescent="0.3">
      <c r="A1909">
        <v>1908</v>
      </c>
      <c r="B1909">
        <v>0</v>
      </c>
      <c r="C1909" s="9">
        <v>343200</v>
      </c>
      <c r="D1909">
        <v>726</v>
      </c>
      <c r="E1909" s="1">
        <v>1389375</v>
      </c>
      <c r="F1909">
        <v>0</v>
      </c>
      <c r="G1909">
        <v>16440.89</v>
      </c>
      <c r="H1909">
        <v>23.2</v>
      </c>
      <c r="I1909">
        <v>7</v>
      </c>
      <c r="J1909">
        <v>355661</v>
      </c>
      <c r="K1909">
        <v>591690</v>
      </c>
      <c r="L1909" t="s">
        <v>24</v>
      </c>
      <c r="M1909" t="s">
        <v>1945</v>
      </c>
      <c r="N1909" t="s">
        <v>68</v>
      </c>
      <c r="O1909" t="s">
        <v>21</v>
      </c>
      <c r="P1909" t="s">
        <v>31</v>
      </c>
      <c r="Q1909" t="s">
        <v>23</v>
      </c>
      <c r="R1909" t="b">
        <f>OR(Таблица1[[#This Row],[Ежемесячный платеж]]&lt;$AC$5, Таблица1[[#This Row],[Ежемесячный платеж]]&gt;$AC$6)</f>
        <v>0</v>
      </c>
      <c r="S1909" s="9">
        <f>(Таблица1[[#This Row],[Размер кредита]]-21824)/(789096-21824)</f>
        <v>0.41885537332262873</v>
      </c>
      <c r="T1909" s="9">
        <f>(Таблица1[[#This Row],[Кредитный рейтинг]]-586)/(751-586)</f>
        <v>0.84848484848484851</v>
      </c>
      <c r="U1909" s="9">
        <f>Таблица1[[#This Row],[Ежемесячный платеж]]/(Таблица1[[#This Row],[Годовой доход]]/12)</f>
        <v>0.14199958974358973</v>
      </c>
    </row>
    <row r="1910" spans="1:21" x14ac:dyDescent="0.3">
      <c r="A1910">
        <v>1909</v>
      </c>
      <c r="B1910">
        <v>0</v>
      </c>
      <c r="C1910" s="9">
        <v>194920</v>
      </c>
      <c r="D1910">
        <v>740</v>
      </c>
      <c r="E1910" s="1">
        <v>1253145</v>
      </c>
      <c r="F1910">
        <v>20</v>
      </c>
      <c r="G1910">
        <v>19423.7</v>
      </c>
      <c r="H1910">
        <v>12</v>
      </c>
      <c r="I1910">
        <v>13</v>
      </c>
      <c r="J1910">
        <v>215517</v>
      </c>
      <c r="K1910">
        <v>572374</v>
      </c>
      <c r="L1910" t="s">
        <v>41</v>
      </c>
      <c r="M1910" t="s">
        <v>1946</v>
      </c>
      <c r="N1910" t="s">
        <v>26</v>
      </c>
      <c r="O1910" t="s">
        <v>34</v>
      </c>
      <c r="P1910" t="s">
        <v>22</v>
      </c>
      <c r="Q1910" t="s">
        <v>23</v>
      </c>
      <c r="R1910" t="b">
        <f>OR(Таблица1[[#This Row],[Ежемесячный платеж]]&lt;$AC$5, Таблица1[[#This Row],[Ежемесячный платеж]]&gt;$AC$6)</f>
        <v>0</v>
      </c>
      <c r="S1910" s="9">
        <f>(Таблица1[[#This Row],[Размер кредита]]-21824)/(789096-21824)</f>
        <v>0.22559926597086821</v>
      </c>
      <c r="T1910" s="9">
        <f>(Таблица1[[#This Row],[Кредитный рейтинг]]-586)/(751-586)</f>
        <v>0.93333333333333335</v>
      </c>
      <c r="U1910" s="9">
        <f>Таблица1[[#This Row],[Ежемесячный платеж]]/(Таблица1[[#This Row],[Годовой доход]]/12)</f>
        <v>0.18599954514441666</v>
      </c>
    </row>
    <row r="1911" spans="1:21" x14ac:dyDescent="0.3">
      <c r="A1911">
        <v>1910</v>
      </c>
      <c r="B1911">
        <v>0</v>
      </c>
      <c r="C1911" s="9">
        <v>178156</v>
      </c>
      <c r="D1911">
        <f>$Y$13</f>
        <v>723</v>
      </c>
      <c r="E1911">
        <f>$AB$13</f>
        <v>1168044</v>
      </c>
      <c r="F1911">
        <v>0</v>
      </c>
      <c r="G1911">
        <v>12955.91</v>
      </c>
      <c r="H1911">
        <v>20.399999999999999</v>
      </c>
      <c r="I1911">
        <v>19</v>
      </c>
      <c r="J1911">
        <v>271035</v>
      </c>
      <c r="K1911">
        <v>2149510</v>
      </c>
      <c r="L1911" t="s">
        <v>41</v>
      </c>
      <c r="M1911" t="s">
        <v>1947</v>
      </c>
      <c r="N1911" t="s">
        <v>20</v>
      </c>
      <c r="O1911" t="s">
        <v>28</v>
      </c>
      <c r="P1911" t="s">
        <v>22</v>
      </c>
      <c r="Q1911" t="s">
        <v>36</v>
      </c>
      <c r="R1911" t="b">
        <f>OR(Таблица1[[#This Row],[Ежемесячный платеж]]&lt;$AC$5, Таблица1[[#This Row],[Ежемесячный платеж]]&gt;$AC$6)</f>
        <v>0</v>
      </c>
      <c r="S1911" s="9">
        <f>(Таблица1[[#This Row],[Размер кредита]]-21824)/(789096-21824)</f>
        <v>0.20375043009519439</v>
      </c>
      <c r="T1911" s="9">
        <f>(Таблица1[[#This Row],[Кредитный рейтинг]]-586)/(751-586)</f>
        <v>0.83030303030303032</v>
      </c>
      <c r="U1911" s="9">
        <f>Таблица1[[#This Row],[Ежемесячный платеж]]/(Таблица1[[#This Row],[Годовой доход]]/12)</f>
        <v>0.13310365020495804</v>
      </c>
    </row>
    <row r="1912" spans="1:21" x14ac:dyDescent="0.3">
      <c r="A1912">
        <v>1911</v>
      </c>
      <c r="B1912">
        <v>0</v>
      </c>
      <c r="C1912" s="9">
        <v>159962</v>
      </c>
      <c r="D1912">
        <v>747</v>
      </c>
      <c r="E1912" s="1">
        <v>690764</v>
      </c>
      <c r="F1912">
        <v>0</v>
      </c>
      <c r="G1912">
        <v>8001.47</v>
      </c>
      <c r="H1912">
        <v>17.2</v>
      </c>
      <c r="I1912">
        <v>7</v>
      </c>
      <c r="J1912">
        <v>232940</v>
      </c>
      <c r="K1912">
        <v>322256</v>
      </c>
      <c r="L1912" t="s">
        <v>63</v>
      </c>
      <c r="M1912" t="s">
        <v>1948</v>
      </c>
      <c r="N1912" t="s">
        <v>76</v>
      </c>
      <c r="O1912" t="s">
        <v>34</v>
      </c>
      <c r="P1912" t="s">
        <v>22</v>
      </c>
      <c r="Q1912" t="s">
        <v>23</v>
      </c>
      <c r="R1912" t="b">
        <f>OR(Таблица1[[#This Row],[Ежемесячный платеж]]&lt;$AC$5, Таблица1[[#This Row],[Ежемесячный платеж]]&gt;$AC$6)</f>
        <v>0</v>
      </c>
      <c r="S1912" s="9">
        <f>(Таблица1[[#This Row],[Размер кредита]]-21824)/(789096-21824)</f>
        <v>0.18003784837710746</v>
      </c>
      <c r="T1912" s="9">
        <f>(Таблица1[[#This Row],[Кредитный рейтинг]]-586)/(751-586)</f>
        <v>0.97575757575757571</v>
      </c>
      <c r="U1912" s="9">
        <f>Таблица1[[#This Row],[Ежемесячный платеж]]/(Таблица1[[#This Row],[Годовой доход]]/12)</f>
        <v>0.1390020904389922</v>
      </c>
    </row>
    <row r="1913" spans="1:21" x14ac:dyDescent="0.3">
      <c r="A1913">
        <v>1912</v>
      </c>
      <c r="B1913">
        <v>0</v>
      </c>
      <c r="C1913" s="9">
        <v>358688</v>
      </c>
      <c r="D1913">
        <v>721</v>
      </c>
      <c r="E1913" s="1">
        <v>1770173</v>
      </c>
      <c r="F1913">
        <v>0</v>
      </c>
      <c r="G1913">
        <v>36288.29</v>
      </c>
      <c r="H1913">
        <v>13.9</v>
      </c>
      <c r="I1913">
        <v>14</v>
      </c>
      <c r="J1913">
        <v>160816</v>
      </c>
      <c r="K1913">
        <v>694826</v>
      </c>
      <c r="L1913" t="s">
        <v>47</v>
      </c>
      <c r="M1913" t="s">
        <v>1949</v>
      </c>
      <c r="N1913" t="s">
        <v>26</v>
      </c>
      <c r="O1913" t="s">
        <v>34</v>
      </c>
      <c r="P1913" t="s">
        <v>31</v>
      </c>
      <c r="Q1913" t="s">
        <v>23</v>
      </c>
      <c r="R1913" t="b">
        <f>OR(Таблица1[[#This Row],[Ежемесячный платеж]]&lt;$AC$5, Таблица1[[#This Row],[Ежемесячный платеж]]&gt;$AC$6)</f>
        <v>0</v>
      </c>
      <c r="S1913" s="9">
        <f>(Таблица1[[#This Row],[Размер кредита]]-21824)/(789096-21824)</f>
        <v>0.43904117444661084</v>
      </c>
      <c r="T1913" s="9">
        <f>(Таблица1[[#This Row],[Кредитный рейтинг]]-586)/(751-586)</f>
        <v>0.81818181818181823</v>
      </c>
      <c r="U1913" s="9">
        <f>Таблица1[[#This Row],[Ежемесячный платеж]]/(Таблица1[[#This Row],[Годовой доход]]/12)</f>
        <v>0.24599826118690096</v>
      </c>
    </row>
    <row r="1914" spans="1:21" x14ac:dyDescent="0.3">
      <c r="A1914">
        <v>1913</v>
      </c>
      <c r="B1914">
        <v>0</v>
      </c>
      <c r="C1914" s="9">
        <v>661716</v>
      </c>
      <c r="D1914">
        <v>717</v>
      </c>
      <c r="E1914" s="1">
        <v>1619199</v>
      </c>
      <c r="F1914">
        <v>5</v>
      </c>
      <c r="G1914">
        <v>35757.24</v>
      </c>
      <c r="H1914">
        <v>19.7</v>
      </c>
      <c r="I1914">
        <v>15</v>
      </c>
      <c r="J1914">
        <v>568784</v>
      </c>
      <c r="K1914">
        <v>1081410</v>
      </c>
      <c r="L1914" t="s">
        <v>24</v>
      </c>
      <c r="M1914" t="s">
        <v>1950</v>
      </c>
      <c r="N1914" t="s">
        <v>26</v>
      </c>
      <c r="O1914" t="s">
        <v>21</v>
      </c>
      <c r="P1914" t="s">
        <v>31</v>
      </c>
      <c r="Q1914" t="s">
        <v>23</v>
      </c>
      <c r="R1914" t="b">
        <f>OR(Таблица1[[#This Row],[Ежемесячный платеж]]&lt;$AC$5, Таблица1[[#This Row],[Ежемесячный платеж]]&gt;$AC$6)</f>
        <v>0</v>
      </c>
      <c r="S1914" s="9">
        <f>(Таблица1[[#This Row],[Размер кредита]]-21824)/(789096-21824)</f>
        <v>0.83398325496043124</v>
      </c>
      <c r="T1914" s="9">
        <f>(Таблица1[[#This Row],[Кредитный рейтинг]]-586)/(751-586)</f>
        <v>0.79393939393939394</v>
      </c>
      <c r="U1914" s="9">
        <f>Таблица1[[#This Row],[Ежемесячный платеж]]/(Таблица1[[#This Row],[Годовой доход]]/12)</f>
        <v>0.26499947196113632</v>
      </c>
    </row>
    <row r="1915" spans="1:21" x14ac:dyDescent="0.3">
      <c r="A1915">
        <v>1914</v>
      </c>
      <c r="B1915">
        <v>0</v>
      </c>
      <c r="C1915" s="9">
        <v>698236</v>
      </c>
      <c r="D1915">
        <v>747</v>
      </c>
      <c r="E1915" s="1">
        <v>3203514</v>
      </c>
      <c r="F1915">
        <v>0</v>
      </c>
      <c r="G1915">
        <v>24159.83</v>
      </c>
      <c r="H1915">
        <v>21.6</v>
      </c>
      <c r="I1915">
        <v>17</v>
      </c>
      <c r="J1915">
        <v>446424</v>
      </c>
      <c r="K1915">
        <v>1872838</v>
      </c>
      <c r="L1915" t="s">
        <v>24</v>
      </c>
      <c r="M1915" t="s">
        <v>1951</v>
      </c>
      <c r="N1915" t="s">
        <v>26</v>
      </c>
      <c r="O1915" t="s">
        <v>21</v>
      </c>
      <c r="P1915" t="s">
        <v>22</v>
      </c>
      <c r="Q1915" t="s">
        <v>23</v>
      </c>
      <c r="R1915" t="b">
        <f>OR(Таблица1[[#This Row],[Ежемесячный платеж]]&lt;$AC$5, Таблица1[[#This Row],[Ежемесячный платеж]]&gt;$AC$6)</f>
        <v>0</v>
      </c>
      <c r="S1915" s="9">
        <f>(Таблица1[[#This Row],[Размер кредита]]-21824)/(789096-21824)</f>
        <v>0.88158045647436634</v>
      </c>
      <c r="T1915" s="9">
        <f>(Таблица1[[#This Row],[Кредитный рейтинг]]-586)/(751-586)</f>
        <v>0.97575757575757571</v>
      </c>
      <c r="U1915" s="9">
        <f>Таблица1[[#This Row],[Ежемесячный платеж]]/(Таблица1[[#This Row],[Годовой доход]]/12)</f>
        <v>9.0499982207038907E-2</v>
      </c>
    </row>
    <row r="1916" spans="1:21" x14ac:dyDescent="0.3">
      <c r="A1916">
        <v>1915</v>
      </c>
      <c r="B1916">
        <v>0</v>
      </c>
      <c r="C1916" s="9">
        <v>222662</v>
      </c>
      <c r="D1916">
        <v>716</v>
      </c>
      <c r="E1916" s="1">
        <v>1538392</v>
      </c>
      <c r="F1916">
        <v>0</v>
      </c>
      <c r="G1916">
        <v>19358.150000000001</v>
      </c>
      <c r="H1916">
        <v>16.399999999999999</v>
      </c>
      <c r="I1916">
        <v>10</v>
      </c>
      <c r="J1916">
        <v>284582</v>
      </c>
      <c r="K1916">
        <v>338316</v>
      </c>
      <c r="L1916" t="s">
        <v>32</v>
      </c>
      <c r="M1916" t="s">
        <v>1952</v>
      </c>
      <c r="N1916" t="s">
        <v>26</v>
      </c>
      <c r="O1916" t="s">
        <v>21</v>
      </c>
      <c r="P1916" t="s">
        <v>22</v>
      </c>
      <c r="Q1916" t="s">
        <v>23</v>
      </c>
      <c r="R1916" t="b">
        <f>OR(Таблица1[[#This Row],[Ежемесячный платеж]]&lt;$AC$5, Таблица1[[#This Row],[Ежемесячный платеж]]&gt;$AC$6)</f>
        <v>0</v>
      </c>
      <c r="S1916" s="9">
        <f>(Таблица1[[#This Row],[Размер кредита]]-21824)/(789096-21824)</f>
        <v>0.26175593531368274</v>
      </c>
      <c r="T1916" s="9">
        <f>(Таблица1[[#This Row],[Кредитный рейтинг]]-586)/(751-586)</f>
        <v>0.78787878787878785</v>
      </c>
      <c r="U1916" s="9">
        <f>Таблица1[[#This Row],[Ежемесячный платеж]]/(Таблица1[[#This Row],[Годовой доход]]/12)</f>
        <v>0.15100039521786388</v>
      </c>
    </row>
    <row r="1917" spans="1:21" x14ac:dyDescent="0.3">
      <c r="A1917">
        <v>1916</v>
      </c>
      <c r="B1917">
        <v>0</v>
      </c>
      <c r="C1917" s="9">
        <v>440044</v>
      </c>
      <c r="D1917">
        <v>745</v>
      </c>
      <c r="E1917" s="1">
        <v>1900190</v>
      </c>
      <c r="F1917">
        <v>33</v>
      </c>
      <c r="G1917">
        <v>24860.74</v>
      </c>
      <c r="H1917">
        <v>20.6</v>
      </c>
      <c r="I1917">
        <v>10</v>
      </c>
      <c r="J1917">
        <v>66120</v>
      </c>
      <c r="K1917">
        <v>204732</v>
      </c>
      <c r="L1917" t="s">
        <v>69</v>
      </c>
      <c r="M1917" t="s">
        <v>1953</v>
      </c>
      <c r="N1917" t="s">
        <v>26</v>
      </c>
      <c r="O1917" t="s">
        <v>28</v>
      </c>
      <c r="P1917" t="s">
        <v>22</v>
      </c>
      <c r="Q1917" t="s">
        <v>23</v>
      </c>
      <c r="R1917" t="b">
        <f>OR(Таблица1[[#This Row],[Ежемесячный платеж]]&lt;$AC$5, Таблица1[[#This Row],[Ежемесячный платеж]]&gt;$AC$6)</f>
        <v>0</v>
      </c>
      <c r="S1917" s="9">
        <f>(Таблица1[[#This Row],[Размер кредита]]-21824)/(789096-21824)</f>
        <v>0.54507397637343735</v>
      </c>
      <c r="T1917" s="9">
        <f>(Таблица1[[#This Row],[Кредитный рейтинг]]-586)/(751-586)</f>
        <v>0.96363636363636362</v>
      </c>
      <c r="U1917" s="9">
        <f>Таблица1[[#This Row],[Ежемесячный платеж]]/(Таблица1[[#This Row],[Годовой доход]]/12)</f>
        <v>0.15699950004999502</v>
      </c>
    </row>
    <row r="1918" spans="1:21" x14ac:dyDescent="0.3">
      <c r="A1918">
        <v>1917</v>
      </c>
      <c r="B1918">
        <v>0</v>
      </c>
      <c r="C1918" s="9">
        <v>556292</v>
      </c>
      <c r="D1918">
        <v>729</v>
      </c>
      <c r="E1918" s="1">
        <v>1683400</v>
      </c>
      <c r="F1918">
        <v>51</v>
      </c>
      <c r="G1918">
        <v>24830.34</v>
      </c>
      <c r="H1918">
        <v>19.899999999999999</v>
      </c>
      <c r="I1918">
        <v>8</v>
      </c>
      <c r="J1918">
        <v>483968</v>
      </c>
      <c r="K1918">
        <v>706684</v>
      </c>
      <c r="L1918" t="s">
        <v>24</v>
      </c>
      <c r="M1918" t="s">
        <v>1954</v>
      </c>
      <c r="N1918" t="s">
        <v>26</v>
      </c>
      <c r="O1918" t="s">
        <v>34</v>
      </c>
      <c r="P1918" t="s">
        <v>22</v>
      </c>
      <c r="Q1918" t="s">
        <v>36</v>
      </c>
      <c r="R1918" t="b">
        <f>OR(Таблица1[[#This Row],[Ежемесячный платеж]]&lt;$AC$5, Таблица1[[#This Row],[Ежемесячный платеж]]&gt;$AC$6)</f>
        <v>0</v>
      </c>
      <c r="S1918" s="9">
        <f>(Таблица1[[#This Row],[Размер кредита]]-21824)/(789096-21824)</f>
        <v>0.6965821768551439</v>
      </c>
      <c r="T1918" s="9">
        <f>(Таблица1[[#This Row],[Кредитный рейтинг]]-586)/(751-586)</f>
        <v>0.8666666666666667</v>
      </c>
      <c r="U1918" s="9">
        <f>Таблица1[[#This Row],[Ежемесячный платеж]]/(Таблица1[[#This Row],[Годовой доход]]/12)</f>
        <v>0.17700135440180587</v>
      </c>
    </row>
    <row r="1919" spans="1:21" x14ac:dyDescent="0.3">
      <c r="A1919">
        <v>1918</v>
      </c>
      <c r="B1919">
        <v>0</v>
      </c>
      <c r="C1919" s="9">
        <v>225192</v>
      </c>
      <c r="D1919">
        <v>710</v>
      </c>
      <c r="E1919" s="1">
        <v>1166904</v>
      </c>
      <c r="F1919">
        <v>45</v>
      </c>
      <c r="G1919">
        <v>10307.69</v>
      </c>
      <c r="H1919">
        <v>20.100000000000001</v>
      </c>
      <c r="I1919">
        <v>14</v>
      </c>
      <c r="J1919">
        <v>431319</v>
      </c>
      <c r="K1919">
        <v>603174</v>
      </c>
      <c r="L1919" t="s">
        <v>18</v>
      </c>
      <c r="M1919" t="s">
        <v>1955</v>
      </c>
      <c r="N1919" t="s">
        <v>26</v>
      </c>
      <c r="O1919" t="s">
        <v>21</v>
      </c>
      <c r="P1919" t="s">
        <v>22</v>
      </c>
      <c r="Q1919" t="s">
        <v>23</v>
      </c>
      <c r="R1919" t="b">
        <f>OR(Таблица1[[#This Row],[Ежемесячный платеж]]&lt;$AC$5, Таблица1[[#This Row],[Ежемесячный платеж]]&gt;$AC$6)</f>
        <v>0</v>
      </c>
      <c r="S1919" s="9">
        <f>(Таблица1[[#This Row],[Размер кредита]]-21824)/(789096-21824)</f>
        <v>0.26505333180410595</v>
      </c>
      <c r="T1919" s="9">
        <f>(Таблица1[[#This Row],[Кредитный рейтинг]]-586)/(751-586)</f>
        <v>0.75151515151515147</v>
      </c>
      <c r="U1919" s="9">
        <f>Таблица1[[#This Row],[Ежемесячный платеж]]/(Таблица1[[#This Row],[Годовой доход]]/12)</f>
        <v>0.10600039077764753</v>
      </c>
    </row>
    <row r="1920" spans="1:21" x14ac:dyDescent="0.3">
      <c r="A1920">
        <v>1919</v>
      </c>
      <c r="B1920">
        <v>0</v>
      </c>
      <c r="C1920" s="9">
        <v>358688</v>
      </c>
      <c r="D1920">
        <v>729</v>
      </c>
      <c r="E1920" s="1">
        <v>1161660</v>
      </c>
      <c r="F1920">
        <v>12</v>
      </c>
      <c r="G1920">
        <v>7783.16</v>
      </c>
      <c r="H1920">
        <v>23.2</v>
      </c>
      <c r="I1920">
        <v>11</v>
      </c>
      <c r="J1920">
        <v>278882</v>
      </c>
      <c r="K1920">
        <v>767008</v>
      </c>
      <c r="L1920" t="s">
        <v>47</v>
      </c>
      <c r="M1920" t="s">
        <v>1956</v>
      </c>
      <c r="N1920" t="s">
        <v>26</v>
      </c>
      <c r="O1920" t="s">
        <v>21</v>
      </c>
      <c r="P1920" t="s">
        <v>22</v>
      </c>
      <c r="Q1920" t="s">
        <v>23</v>
      </c>
      <c r="R1920" t="b">
        <f>OR(Таблица1[[#This Row],[Ежемесячный платеж]]&lt;$AC$5, Таблица1[[#This Row],[Ежемесячный платеж]]&gt;$AC$6)</f>
        <v>0</v>
      </c>
      <c r="S1920" s="9">
        <f>(Таблица1[[#This Row],[Размер кредита]]-21824)/(789096-21824)</f>
        <v>0.43904117444661084</v>
      </c>
      <c r="T1920" s="9">
        <f>(Таблица1[[#This Row],[Кредитный рейтинг]]-586)/(751-586)</f>
        <v>0.8666666666666667</v>
      </c>
      <c r="U1920" s="9">
        <f>Таблица1[[#This Row],[Ежемесячный платеж]]/(Таблица1[[#This Row],[Годовой доход]]/12)</f>
        <v>8.0400392541707555E-2</v>
      </c>
    </row>
    <row r="1921" spans="1:21" x14ac:dyDescent="0.3">
      <c r="A1921">
        <v>1920</v>
      </c>
      <c r="B1921">
        <v>0</v>
      </c>
      <c r="C1921" s="9">
        <v>450208</v>
      </c>
      <c r="D1921">
        <v>738</v>
      </c>
      <c r="E1921" s="1">
        <v>4374180</v>
      </c>
      <c r="F1921">
        <v>0</v>
      </c>
      <c r="G1921">
        <v>44033.45</v>
      </c>
      <c r="H1921">
        <v>22.6</v>
      </c>
      <c r="I1921">
        <v>14</v>
      </c>
      <c r="J1921">
        <v>2693554</v>
      </c>
      <c r="K1921">
        <v>6900146</v>
      </c>
      <c r="L1921" t="s">
        <v>24</v>
      </c>
      <c r="M1921" t="s">
        <v>1957</v>
      </c>
      <c r="N1921" t="s">
        <v>68</v>
      </c>
      <c r="O1921" t="s">
        <v>28</v>
      </c>
      <c r="P1921" t="s">
        <v>31</v>
      </c>
      <c r="Q1921" t="s">
        <v>23</v>
      </c>
      <c r="R1921" t="b">
        <f>OR(Таблица1[[#This Row],[Ежемесячный платеж]]&lt;$AC$5, Таблица1[[#This Row],[Ежемесячный платеж]]&gt;$AC$6)</f>
        <v>1</v>
      </c>
      <c r="S1921" s="9">
        <f>(Таблица1[[#This Row],[Размер кредита]]-21824)/(789096-21824)</f>
        <v>0.55832090836105053</v>
      </c>
      <c r="T1921" s="9">
        <f>(Таблица1[[#This Row],[Кредитный рейтинг]]-586)/(751-586)</f>
        <v>0.92121212121212126</v>
      </c>
      <c r="U1921" s="9">
        <f>Таблица1[[#This Row],[Ежемесячный платеж]]/(Таблица1[[#This Row],[Годовой доход]]/12)</f>
        <v>0.1208001042481105</v>
      </c>
    </row>
    <row r="1922" spans="1:21" x14ac:dyDescent="0.3">
      <c r="A1922">
        <v>1921</v>
      </c>
      <c r="B1922">
        <v>0</v>
      </c>
      <c r="C1922" s="9">
        <v>133848</v>
      </c>
      <c r="D1922">
        <v>750</v>
      </c>
      <c r="E1922" s="1">
        <v>2620176</v>
      </c>
      <c r="F1922">
        <v>0</v>
      </c>
      <c r="G1922">
        <v>6681.54</v>
      </c>
      <c r="H1922">
        <v>25</v>
      </c>
      <c r="I1922">
        <v>14</v>
      </c>
      <c r="J1922">
        <v>870504</v>
      </c>
      <c r="K1922">
        <v>14822676</v>
      </c>
      <c r="L1922" t="s">
        <v>24</v>
      </c>
      <c r="M1922" t="s">
        <v>1958</v>
      </c>
      <c r="N1922" t="s">
        <v>26</v>
      </c>
      <c r="O1922" t="s">
        <v>21</v>
      </c>
      <c r="P1922" t="s">
        <v>22</v>
      </c>
      <c r="Q1922" t="s">
        <v>23</v>
      </c>
      <c r="R1922" t="b">
        <f>OR(Таблица1[[#This Row],[Ежемесячный платеж]]&lt;$AC$5, Таблица1[[#This Row],[Ежемесячный платеж]]&gt;$AC$6)</f>
        <v>0</v>
      </c>
      <c r="S1922" s="9">
        <f>(Таблица1[[#This Row],[Размер кредита]]-21824)/(789096-21824)</f>
        <v>0.14600298199334785</v>
      </c>
      <c r="T1922" s="9">
        <f>(Таблица1[[#This Row],[Кредитный рейтинг]]-586)/(751-586)</f>
        <v>0.9939393939393939</v>
      </c>
      <c r="U1922" s="9">
        <f>Таблица1[[#This Row],[Ежемесячный платеж]]/(Таблица1[[#This Row],[Годовой доход]]/12)</f>
        <v>3.0600417681865645E-2</v>
      </c>
    </row>
    <row r="1923" spans="1:21" x14ac:dyDescent="0.3">
      <c r="A1923">
        <v>1922</v>
      </c>
      <c r="B1923">
        <v>0</v>
      </c>
      <c r="C1923" s="9">
        <v>453508</v>
      </c>
      <c r="D1923">
        <f>$Y$13</f>
        <v>723</v>
      </c>
      <c r="E1923">
        <f>$AB$13</f>
        <v>1168044</v>
      </c>
      <c r="F1923">
        <v>0</v>
      </c>
      <c r="G1923">
        <v>35435.760000000002</v>
      </c>
      <c r="H1923">
        <v>33.5</v>
      </c>
      <c r="I1923">
        <v>16</v>
      </c>
      <c r="J1923">
        <v>477869</v>
      </c>
      <c r="K1923">
        <v>1808202</v>
      </c>
      <c r="L1923" t="s">
        <v>24</v>
      </c>
      <c r="M1923" t="s">
        <v>1959</v>
      </c>
      <c r="N1923" t="s">
        <v>26</v>
      </c>
      <c r="O1923" t="s">
        <v>28</v>
      </c>
      <c r="P1923" t="s">
        <v>22</v>
      </c>
      <c r="Q1923" t="s">
        <v>23</v>
      </c>
      <c r="R1923" t="b">
        <f>OR(Таблица1[[#This Row],[Ежемесячный платеж]]&lt;$AC$5, Таблица1[[#This Row],[Ежемесячный платеж]]&gt;$AC$6)</f>
        <v>0</v>
      </c>
      <c r="S1923" s="9">
        <f>(Таблица1[[#This Row],[Размер кредита]]-21824)/(789096-21824)</f>
        <v>0.56262186030508088</v>
      </c>
      <c r="T1923" s="9">
        <f>(Таблица1[[#This Row],[Кредитный рейтинг]]-586)/(751-586)</f>
        <v>0.83030303030303032</v>
      </c>
      <c r="U1923" s="9">
        <f>Таблица1[[#This Row],[Ежемесячный платеж]]/(Таблица1[[#This Row],[Годовой доход]]/12)</f>
        <v>0.36405231309779429</v>
      </c>
    </row>
    <row r="1924" spans="1:21" x14ac:dyDescent="0.3">
      <c r="A1924">
        <v>1923</v>
      </c>
      <c r="B1924">
        <v>0</v>
      </c>
      <c r="C1924" s="9">
        <v>528836</v>
      </c>
      <c r="D1924">
        <v>718</v>
      </c>
      <c r="E1924" s="1">
        <v>1140912</v>
      </c>
      <c r="F1924">
        <v>0</v>
      </c>
      <c r="G1924">
        <v>19899.650000000001</v>
      </c>
      <c r="H1924">
        <v>13.9</v>
      </c>
      <c r="I1924">
        <v>11</v>
      </c>
      <c r="J1924">
        <v>272403</v>
      </c>
      <c r="K1924">
        <v>517066</v>
      </c>
      <c r="L1924" t="s">
        <v>32</v>
      </c>
      <c r="M1924" t="s">
        <v>1960</v>
      </c>
      <c r="N1924" t="s">
        <v>26</v>
      </c>
      <c r="O1924" t="s">
        <v>34</v>
      </c>
      <c r="P1924" t="s">
        <v>22</v>
      </c>
      <c r="Q1924" t="s">
        <v>23</v>
      </c>
      <c r="R1924" t="b">
        <f>OR(Таблица1[[#This Row],[Ежемесячный платеж]]&lt;$AC$5, Таблица1[[#This Row],[Ежемесячный платеж]]&gt;$AC$6)</f>
        <v>0</v>
      </c>
      <c r="S1924" s="9">
        <f>(Таблица1[[#This Row],[Размер кредита]]-21824)/(789096-21824)</f>
        <v>0.66079825668081205</v>
      </c>
      <c r="T1924" s="9">
        <f>(Таблица1[[#This Row],[Кредитный рейтинг]]-586)/(751-586)</f>
        <v>0.8</v>
      </c>
      <c r="U1924" s="9">
        <f>Таблица1[[#This Row],[Ежемесячный платеж]]/(Таблица1[[#This Row],[Годовой доход]]/12)</f>
        <v>0.20930255795363711</v>
      </c>
    </row>
    <row r="1925" spans="1:21" x14ac:dyDescent="0.3">
      <c r="A1925">
        <v>1924</v>
      </c>
      <c r="B1925">
        <v>0</v>
      </c>
      <c r="C1925" s="9">
        <v>261140</v>
      </c>
      <c r="D1925">
        <f>$Y$13</f>
        <v>723</v>
      </c>
      <c r="E1925">
        <f>$AB$13</f>
        <v>1168044</v>
      </c>
      <c r="F1925">
        <v>19</v>
      </c>
      <c r="G1925">
        <v>13720.28</v>
      </c>
      <c r="H1925">
        <v>42.7</v>
      </c>
      <c r="I1925">
        <v>8</v>
      </c>
      <c r="J1925">
        <v>147307</v>
      </c>
      <c r="K1925">
        <v>245784</v>
      </c>
      <c r="L1925" t="s">
        <v>37</v>
      </c>
      <c r="M1925" t="s">
        <v>1961</v>
      </c>
      <c r="N1925" t="s">
        <v>26</v>
      </c>
      <c r="O1925" t="s">
        <v>21</v>
      </c>
      <c r="P1925" t="s">
        <v>22</v>
      </c>
      <c r="Q1925" t="s">
        <v>23</v>
      </c>
      <c r="R1925" t="b">
        <f>OR(Таблица1[[#This Row],[Ежемесячный платеж]]&lt;$AC$5, Таблица1[[#This Row],[Ежемесячный платеж]]&gt;$AC$6)</f>
        <v>0</v>
      </c>
      <c r="S1925" s="9">
        <f>(Таблица1[[#This Row],[Размер кредита]]-21824)/(789096-21824)</f>
        <v>0.3119050349810758</v>
      </c>
      <c r="T1925" s="9">
        <f>(Таблица1[[#This Row],[Кредитный рейтинг]]-586)/(751-586)</f>
        <v>0.83030303030303032</v>
      </c>
      <c r="U1925" s="9">
        <f>Таблица1[[#This Row],[Ежемесячный платеж]]/(Таблица1[[#This Row],[Годовой доход]]/12)</f>
        <v>0.14095647081788015</v>
      </c>
    </row>
    <row r="1926" spans="1:21" x14ac:dyDescent="0.3">
      <c r="A1926">
        <v>1925</v>
      </c>
      <c r="B1926">
        <v>0</v>
      </c>
      <c r="C1926" s="9">
        <v>219846</v>
      </c>
      <c r="D1926">
        <v>711</v>
      </c>
      <c r="E1926" s="1">
        <v>572451</v>
      </c>
      <c r="F1926">
        <v>10</v>
      </c>
      <c r="G1926">
        <v>13118.74</v>
      </c>
      <c r="H1926">
        <v>12.8</v>
      </c>
      <c r="I1926">
        <v>10</v>
      </c>
      <c r="J1926">
        <v>113525</v>
      </c>
      <c r="K1926">
        <v>150216</v>
      </c>
      <c r="L1926" t="s">
        <v>63</v>
      </c>
      <c r="M1926" t="s">
        <v>1962</v>
      </c>
      <c r="N1926" t="s">
        <v>26</v>
      </c>
      <c r="O1926" t="s">
        <v>34</v>
      </c>
      <c r="P1926" t="s">
        <v>22</v>
      </c>
      <c r="Q1926" t="s">
        <v>23</v>
      </c>
      <c r="R1926" t="b">
        <f>OR(Таблица1[[#This Row],[Ежемесячный платеж]]&lt;$AC$5, Таблица1[[#This Row],[Ежемесячный платеж]]&gt;$AC$6)</f>
        <v>0</v>
      </c>
      <c r="S1926" s="9">
        <f>(Таблица1[[#This Row],[Размер кредита]]-21824)/(789096-21824)</f>
        <v>0.25808578965477691</v>
      </c>
      <c r="T1926" s="9">
        <f>(Таблица1[[#This Row],[Кредитный рейтинг]]-586)/(751-586)</f>
        <v>0.75757575757575757</v>
      </c>
      <c r="U1926" s="9">
        <f>Таблица1[[#This Row],[Ежемесячный платеж]]/(Таблица1[[#This Row],[Годовой доход]]/12)</f>
        <v>0.27500149357761622</v>
      </c>
    </row>
    <row r="1927" spans="1:21" x14ac:dyDescent="0.3">
      <c r="A1927">
        <v>1926</v>
      </c>
      <c r="B1927">
        <v>0</v>
      </c>
      <c r="C1927" s="9">
        <v>200882</v>
      </c>
      <c r="D1927">
        <v>672</v>
      </c>
      <c r="E1927" s="1">
        <v>1044639</v>
      </c>
      <c r="F1927">
        <v>0</v>
      </c>
      <c r="G1927">
        <v>19499.7</v>
      </c>
      <c r="H1927">
        <v>12.1</v>
      </c>
      <c r="I1927">
        <v>14</v>
      </c>
      <c r="J1927">
        <v>231876</v>
      </c>
      <c r="K1927">
        <v>334774</v>
      </c>
      <c r="L1927" t="s">
        <v>32</v>
      </c>
      <c r="M1927" t="s">
        <v>1963</v>
      </c>
      <c r="N1927" t="s">
        <v>26</v>
      </c>
      <c r="O1927" t="s">
        <v>21</v>
      </c>
      <c r="P1927" t="s">
        <v>31</v>
      </c>
      <c r="Q1927" t="s">
        <v>23</v>
      </c>
      <c r="R1927" t="b">
        <f>OR(Таблица1[[#This Row],[Ежемесячный платеж]]&lt;$AC$5, Таблица1[[#This Row],[Ежемесячный платеж]]&gt;$AC$6)</f>
        <v>0</v>
      </c>
      <c r="S1927" s="9">
        <f>(Таблица1[[#This Row],[Размер кредита]]-21824)/(789096-21824)</f>
        <v>0.23336965248308292</v>
      </c>
      <c r="T1927" s="9">
        <f>(Таблица1[[#This Row],[Кредитный рейтинг]]-586)/(751-586)</f>
        <v>0.52121212121212124</v>
      </c>
      <c r="U1927" s="9">
        <f>Таблица1[[#This Row],[Ежемесячный платеж]]/(Таблица1[[#This Row],[Годовой доход]]/12)</f>
        <v>0.22399738091340646</v>
      </c>
    </row>
    <row r="1928" spans="1:21" x14ac:dyDescent="0.3">
      <c r="A1928">
        <v>1927</v>
      </c>
      <c r="B1928">
        <v>0</v>
      </c>
      <c r="C1928" s="9">
        <v>165616</v>
      </c>
      <c r="D1928">
        <v>740</v>
      </c>
      <c r="E1928" s="1">
        <v>1087009</v>
      </c>
      <c r="F1928">
        <v>0</v>
      </c>
      <c r="G1928">
        <v>4212.3</v>
      </c>
      <c r="H1928">
        <v>15.2</v>
      </c>
      <c r="I1928">
        <v>4</v>
      </c>
      <c r="J1928">
        <v>24054</v>
      </c>
      <c r="K1928">
        <v>66286</v>
      </c>
      <c r="L1928" t="s">
        <v>32</v>
      </c>
      <c r="M1928" t="s">
        <v>1964</v>
      </c>
      <c r="N1928" t="s">
        <v>20</v>
      </c>
      <c r="O1928" t="s">
        <v>21</v>
      </c>
      <c r="P1928" t="s">
        <v>31</v>
      </c>
      <c r="Q1928" t="s">
        <v>36</v>
      </c>
      <c r="R1928" t="b">
        <f>OR(Таблица1[[#This Row],[Ежемесячный платеж]]&lt;$AC$5, Таблица1[[#This Row],[Ежемесячный платеж]]&gt;$AC$6)</f>
        <v>0</v>
      </c>
      <c r="S1928" s="9">
        <f>(Таблица1[[#This Row],[Размер кредита]]-21824)/(789096-21824)</f>
        <v>0.18740681270787934</v>
      </c>
      <c r="T1928" s="9">
        <f>(Таблица1[[#This Row],[Кредитный рейтинг]]-586)/(751-586)</f>
        <v>0.93333333333333335</v>
      </c>
      <c r="U1928" s="9">
        <f>Таблица1[[#This Row],[Ежемесячный платеж]]/(Таблица1[[#This Row],[Годовой доход]]/12)</f>
        <v>4.6501546905315418E-2</v>
      </c>
    </row>
    <row r="1929" spans="1:21" x14ac:dyDescent="0.3">
      <c r="A1929">
        <v>1928</v>
      </c>
      <c r="B1929">
        <v>0</v>
      </c>
      <c r="C1929" s="9">
        <v>445588</v>
      </c>
      <c r="D1929">
        <f>$Y$13</f>
        <v>723</v>
      </c>
      <c r="E1929">
        <f>$AB$13</f>
        <v>1168044</v>
      </c>
      <c r="F1929">
        <v>0</v>
      </c>
      <c r="G1929">
        <v>26681.32</v>
      </c>
      <c r="H1929">
        <v>23.1</v>
      </c>
      <c r="I1929">
        <v>8</v>
      </c>
      <c r="J1929">
        <v>220267</v>
      </c>
      <c r="K1929">
        <v>378972</v>
      </c>
      <c r="L1929" t="s">
        <v>41</v>
      </c>
      <c r="M1929" t="s">
        <v>1965</v>
      </c>
      <c r="N1929" t="s">
        <v>26</v>
      </c>
      <c r="O1929" t="s">
        <v>21</v>
      </c>
      <c r="P1929" t="s">
        <v>31</v>
      </c>
      <c r="Q1929" t="s">
        <v>23</v>
      </c>
      <c r="R1929" t="b">
        <f>OR(Таблица1[[#This Row],[Ежемесячный платеж]]&lt;$AC$5, Таблица1[[#This Row],[Ежемесячный платеж]]&gt;$AC$6)</f>
        <v>0</v>
      </c>
      <c r="S1929" s="9">
        <f>(Таблица1[[#This Row],[Размер кредита]]-21824)/(789096-21824)</f>
        <v>0.55229957563940824</v>
      </c>
      <c r="T1929" s="9">
        <f>(Таблица1[[#This Row],[Кредитный рейтинг]]-586)/(751-586)</f>
        <v>0.83030303030303032</v>
      </c>
      <c r="U1929" s="9">
        <f>Таблица1[[#This Row],[Ежемесячный платеж]]/(Таблица1[[#This Row],[Годовой доход]]/12)</f>
        <v>0.27411282451688462</v>
      </c>
    </row>
    <row r="1930" spans="1:21" x14ac:dyDescent="0.3">
      <c r="A1930">
        <v>1929</v>
      </c>
      <c r="B1930">
        <v>0</v>
      </c>
      <c r="C1930" s="9">
        <v>219208</v>
      </c>
      <c r="D1930">
        <v>745</v>
      </c>
      <c r="E1930" s="1">
        <v>1448275</v>
      </c>
      <c r="F1930">
        <v>0</v>
      </c>
      <c r="G1930">
        <v>17499.95</v>
      </c>
      <c r="H1930">
        <v>13.8</v>
      </c>
      <c r="I1930">
        <v>10</v>
      </c>
      <c r="J1930">
        <v>391457</v>
      </c>
      <c r="K1930">
        <v>1076614</v>
      </c>
      <c r="L1930" t="s">
        <v>63</v>
      </c>
      <c r="M1930" t="s">
        <v>1966</v>
      </c>
      <c r="N1930" t="s">
        <v>26</v>
      </c>
      <c r="O1930" t="s">
        <v>21</v>
      </c>
      <c r="P1930" t="s">
        <v>22</v>
      </c>
      <c r="Q1930" t="s">
        <v>23</v>
      </c>
      <c r="R1930" t="b">
        <f>OR(Таблица1[[#This Row],[Ежемесячный платеж]]&lt;$AC$5, Таблица1[[#This Row],[Ежемесячный платеж]]&gt;$AC$6)</f>
        <v>0</v>
      </c>
      <c r="S1930" s="9">
        <f>(Таблица1[[#This Row],[Размер кредита]]-21824)/(789096-21824)</f>
        <v>0.25725427227893105</v>
      </c>
      <c r="T1930" s="9">
        <f>(Таблица1[[#This Row],[Кредитный рейтинг]]-586)/(751-586)</f>
        <v>0.96363636363636362</v>
      </c>
      <c r="U1930" s="9">
        <f>Таблица1[[#This Row],[Ежемесячный платеж]]/(Таблица1[[#This Row],[Годовой доход]]/12)</f>
        <v>0.1449996720236143</v>
      </c>
    </row>
    <row r="1931" spans="1:21" x14ac:dyDescent="0.3">
      <c r="A1931">
        <v>1930</v>
      </c>
      <c r="B1931">
        <v>0</v>
      </c>
      <c r="C1931" s="9">
        <v>99616</v>
      </c>
      <c r="D1931">
        <v>741</v>
      </c>
      <c r="E1931" s="1">
        <v>1926467</v>
      </c>
      <c r="F1931">
        <v>0</v>
      </c>
      <c r="G1931">
        <v>10964.71</v>
      </c>
      <c r="H1931">
        <v>22</v>
      </c>
      <c r="I1931">
        <v>6</v>
      </c>
      <c r="J1931">
        <v>22515</v>
      </c>
      <c r="K1931">
        <v>30316</v>
      </c>
      <c r="L1931" t="s">
        <v>47</v>
      </c>
      <c r="M1931" t="s">
        <v>1967</v>
      </c>
      <c r="N1931" t="s">
        <v>26</v>
      </c>
      <c r="O1931" t="s">
        <v>21</v>
      </c>
      <c r="P1931" t="s">
        <v>22</v>
      </c>
      <c r="Q1931" t="s">
        <v>23</v>
      </c>
      <c r="R1931" t="b">
        <f>OR(Таблица1[[#This Row],[Ежемесячный платеж]]&lt;$AC$5, Таблица1[[#This Row],[Ежемесячный платеж]]&gt;$AC$6)</f>
        <v>0</v>
      </c>
      <c r="S1931" s="9">
        <f>(Таблица1[[#This Row],[Размер кредита]]-21824)/(789096-21824)</f>
        <v>0.10138777382727376</v>
      </c>
      <c r="T1931" s="9">
        <f>(Таблица1[[#This Row],[Кредитный рейтинг]]-586)/(751-586)</f>
        <v>0.93939393939393945</v>
      </c>
      <c r="U1931" s="9">
        <f>Таблица1[[#This Row],[Ежемесячный платеж]]/(Таблица1[[#This Row],[Годовой доход]]/12)</f>
        <v>6.8299389504206401E-2</v>
      </c>
    </row>
    <row r="1932" spans="1:21" x14ac:dyDescent="0.3">
      <c r="A1932">
        <v>1931</v>
      </c>
      <c r="B1932">
        <v>0</v>
      </c>
      <c r="C1932" s="9">
        <v>261734</v>
      </c>
      <c r="D1932">
        <v>742</v>
      </c>
      <c r="E1932" s="1">
        <v>941830</v>
      </c>
      <c r="F1932">
        <v>0</v>
      </c>
      <c r="G1932">
        <v>13421.03</v>
      </c>
      <c r="H1932">
        <v>17.2</v>
      </c>
      <c r="I1932">
        <v>9</v>
      </c>
      <c r="J1932">
        <v>295830</v>
      </c>
      <c r="K1932">
        <v>588566</v>
      </c>
      <c r="L1932" t="s">
        <v>24</v>
      </c>
      <c r="M1932" t="s">
        <v>1968</v>
      </c>
      <c r="N1932" t="s">
        <v>26</v>
      </c>
      <c r="O1932" t="s">
        <v>34</v>
      </c>
      <c r="P1932" t="s">
        <v>22</v>
      </c>
      <c r="Q1932" t="s">
        <v>36</v>
      </c>
      <c r="R1932" t="b">
        <f>OR(Таблица1[[#This Row],[Ежемесячный платеж]]&lt;$AC$5, Таблица1[[#This Row],[Ежемесячный платеж]]&gt;$AC$6)</f>
        <v>0</v>
      </c>
      <c r="S1932" s="9">
        <f>(Таблица1[[#This Row],[Размер кредита]]-21824)/(789096-21824)</f>
        <v>0.31267920633100127</v>
      </c>
      <c r="T1932" s="9">
        <f>(Таблица1[[#This Row],[Кредитный рейтинг]]-586)/(751-586)</f>
        <v>0.94545454545454544</v>
      </c>
      <c r="U1932" s="9">
        <f>Таблица1[[#This Row],[Ежемесячный платеж]]/(Таблица1[[#This Row],[Годовой доход]]/12)</f>
        <v>0.17099939479523907</v>
      </c>
    </row>
    <row r="1933" spans="1:21" x14ac:dyDescent="0.3">
      <c r="A1933">
        <v>1932</v>
      </c>
      <c r="B1933">
        <v>0</v>
      </c>
      <c r="C1933" s="9">
        <v>323840</v>
      </c>
      <c r="D1933">
        <f>$Y$13</f>
        <v>723</v>
      </c>
      <c r="E1933">
        <f>$AB$13</f>
        <v>1168044</v>
      </c>
      <c r="F1933">
        <v>0</v>
      </c>
      <c r="G1933">
        <v>22577.89</v>
      </c>
      <c r="H1933">
        <v>23.3</v>
      </c>
      <c r="I1933">
        <v>16</v>
      </c>
      <c r="J1933">
        <v>360791</v>
      </c>
      <c r="K1933">
        <v>553322</v>
      </c>
      <c r="L1933" t="s">
        <v>69</v>
      </c>
      <c r="M1933" t="s">
        <v>1969</v>
      </c>
      <c r="N1933" t="s">
        <v>26</v>
      </c>
      <c r="O1933" t="s">
        <v>21</v>
      </c>
      <c r="P1933" t="s">
        <v>22</v>
      </c>
      <c r="Q1933" t="s">
        <v>23</v>
      </c>
      <c r="R1933" t="b">
        <f>OR(Таблица1[[#This Row],[Ежемесячный платеж]]&lt;$AC$5, Таблица1[[#This Row],[Ежемесячный платеж]]&gt;$AC$6)</f>
        <v>0</v>
      </c>
      <c r="S1933" s="9">
        <f>(Таблица1[[#This Row],[Размер кредита]]-21824)/(789096-21824)</f>
        <v>0.39362312191765109</v>
      </c>
      <c r="T1933" s="9">
        <f>(Таблица1[[#This Row],[Кредитный рейтинг]]-586)/(751-586)</f>
        <v>0.83030303030303032</v>
      </c>
      <c r="U1933" s="9">
        <f>Таблица1[[#This Row],[Ежемесячный платеж]]/(Таблица1[[#This Row],[Годовой доход]]/12)</f>
        <v>0.23195588522350186</v>
      </c>
    </row>
    <row r="1934" spans="1:21" x14ac:dyDescent="0.3">
      <c r="A1934">
        <v>1933</v>
      </c>
      <c r="B1934">
        <v>0</v>
      </c>
      <c r="C1934" s="9">
        <v>202488</v>
      </c>
      <c r="D1934">
        <v>687</v>
      </c>
      <c r="E1934" s="1">
        <v>668002</v>
      </c>
      <c r="F1934">
        <v>6</v>
      </c>
      <c r="G1934">
        <v>10799.22</v>
      </c>
      <c r="H1934">
        <v>16.3</v>
      </c>
      <c r="I1934">
        <v>11</v>
      </c>
      <c r="J1934">
        <v>88521</v>
      </c>
      <c r="K1934">
        <v>206250</v>
      </c>
      <c r="L1934" t="s">
        <v>24</v>
      </c>
      <c r="M1934" t="s">
        <v>1970</v>
      </c>
      <c r="N1934" t="s">
        <v>26</v>
      </c>
      <c r="O1934" t="s">
        <v>34</v>
      </c>
      <c r="P1934" t="s">
        <v>22</v>
      </c>
      <c r="Q1934" t="s">
        <v>23</v>
      </c>
      <c r="R1934" t="b">
        <f>OR(Таблица1[[#This Row],[Ежемесячный платеж]]&lt;$AC$5, Таблица1[[#This Row],[Ежемесячный платеж]]&gt;$AC$6)</f>
        <v>0</v>
      </c>
      <c r="S1934" s="9">
        <f>(Таблица1[[#This Row],[Размер кредита]]-21824)/(789096-21824)</f>
        <v>0.23546278242917765</v>
      </c>
      <c r="T1934" s="9">
        <f>(Таблица1[[#This Row],[Кредитный рейтинг]]-586)/(751-586)</f>
        <v>0.61212121212121207</v>
      </c>
      <c r="U1934" s="9">
        <f>Таблица1[[#This Row],[Ежемесячный платеж]]/(Таблица1[[#This Row],[Годовой доход]]/12)</f>
        <v>0.19399738324136753</v>
      </c>
    </row>
    <row r="1935" spans="1:21" x14ac:dyDescent="0.3">
      <c r="A1935">
        <v>1934</v>
      </c>
      <c r="B1935">
        <v>0</v>
      </c>
      <c r="C1935" s="9">
        <v>760144</v>
      </c>
      <c r="D1935">
        <v>735</v>
      </c>
      <c r="E1935" s="1">
        <v>2607199</v>
      </c>
      <c r="F1935">
        <v>0</v>
      </c>
      <c r="G1935">
        <v>48798.080000000002</v>
      </c>
      <c r="H1935">
        <v>25.2</v>
      </c>
      <c r="I1935">
        <v>9</v>
      </c>
      <c r="J1935">
        <v>1666984</v>
      </c>
      <c r="K1935">
        <v>2188428</v>
      </c>
      <c r="L1935" t="s">
        <v>24</v>
      </c>
      <c r="M1935" s="2" t="s">
        <v>1971</v>
      </c>
      <c r="N1935" t="s">
        <v>26</v>
      </c>
      <c r="O1935" t="s">
        <v>21</v>
      </c>
      <c r="P1935" t="s">
        <v>22</v>
      </c>
      <c r="Q1935" t="s">
        <v>23</v>
      </c>
      <c r="R1935" t="b">
        <f>OR(Таблица1[[#This Row],[Ежемесячный платеж]]&lt;$AC$5, Таблица1[[#This Row],[Ежемесячный платеж]]&gt;$AC$6)</f>
        <v>1</v>
      </c>
      <c r="S1935" s="9">
        <f>(Таблица1[[#This Row],[Размер кредита]]-21824)/(789096-21824)</f>
        <v>0.96226631494437431</v>
      </c>
      <c r="T1935" s="9">
        <f>(Таблица1[[#This Row],[Кредитный рейтинг]]-586)/(751-586)</f>
        <v>0.90303030303030307</v>
      </c>
      <c r="U1935" s="9">
        <f>Таблица1[[#This Row],[Ежемесячный платеж]]/(Таблица1[[#This Row],[Годовой доход]]/12)</f>
        <v>0.22460002477754862</v>
      </c>
    </row>
    <row r="1936" spans="1:21" x14ac:dyDescent="0.3">
      <c r="A1936">
        <v>1935</v>
      </c>
      <c r="B1936">
        <v>0</v>
      </c>
      <c r="C1936" s="9">
        <v>655138</v>
      </c>
      <c r="D1936">
        <v>700</v>
      </c>
      <c r="E1936" s="1">
        <v>1874844</v>
      </c>
      <c r="F1936">
        <v>30</v>
      </c>
      <c r="G1936">
        <v>36247.06</v>
      </c>
      <c r="H1936">
        <v>15.4</v>
      </c>
      <c r="I1936">
        <v>19</v>
      </c>
      <c r="J1936">
        <v>269819</v>
      </c>
      <c r="K1936">
        <v>797016</v>
      </c>
      <c r="L1936" t="s">
        <v>18</v>
      </c>
      <c r="M1936" t="s">
        <v>1972</v>
      </c>
      <c r="N1936" t="s">
        <v>26</v>
      </c>
      <c r="O1936" t="s">
        <v>21</v>
      </c>
      <c r="P1936" t="s">
        <v>22</v>
      </c>
      <c r="Q1936" t="s">
        <v>23</v>
      </c>
      <c r="R1936" t="b">
        <f>OR(Таблица1[[#This Row],[Ежемесячный платеж]]&lt;$AC$5, Таблица1[[#This Row],[Ежемесячный платеж]]&gt;$AC$6)</f>
        <v>0</v>
      </c>
      <c r="S1936" s="9">
        <f>(Таблица1[[#This Row],[Размер кредита]]-21824)/(789096-21824)</f>
        <v>0.82541002408533093</v>
      </c>
      <c r="T1936" s="9">
        <f>(Таблица1[[#This Row],[Кредитный рейтинг]]-586)/(751-586)</f>
        <v>0.69090909090909092</v>
      </c>
      <c r="U1936" s="9">
        <f>Таблица1[[#This Row],[Ежемесячный платеж]]/(Таблица1[[#This Row],[Годовой доход]]/12)</f>
        <v>0.23200048644047183</v>
      </c>
    </row>
    <row r="1937" spans="1:21" x14ac:dyDescent="0.3">
      <c r="A1937">
        <v>1936</v>
      </c>
      <c r="B1937">
        <v>0</v>
      </c>
      <c r="C1937" s="9">
        <v>142912</v>
      </c>
      <c r="D1937">
        <v>711</v>
      </c>
      <c r="E1937" s="1">
        <v>1060675</v>
      </c>
      <c r="F1937">
        <v>0</v>
      </c>
      <c r="G1937">
        <v>6885.6</v>
      </c>
      <c r="H1937">
        <v>14.7</v>
      </c>
      <c r="I1937">
        <v>7</v>
      </c>
      <c r="J1937">
        <v>138016</v>
      </c>
      <c r="K1937">
        <v>197560</v>
      </c>
      <c r="L1937" t="s">
        <v>24</v>
      </c>
      <c r="M1937" t="s">
        <v>1973</v>
      </c>
      <c r="N1937" t="s">
        <v>26</v>
      </c>
      <c r="O1937" t="s">
        <v>34</v>
      </c>
      <c r="P1937" t="s">
        <v>22</v>
      </c>
      <c r="Q1937" t="s">
        <v>36</v>
      </c>
      <c r="R1937" t="b">
        <f>OR(Таблица1[[#This Row],[Ежемесячный платеж]]&lt;$AC$5, Таблица1[[#This Row],[Ежемесячный платеж]]&gt;$AC$6)</f>
        <v>0</v>
      </c>
      <c r="S1937" s="9">
        <f>(Таблица1[[#This Row],[Размер кредита]]-21824)/(789096-21824)</f>
        <v>0.15781626333295104</v>
      </c>
      <c r="T1937" s="9">
        <f>(Таблица1[[#This Row],[Кредитный рейтинг]]-586)/(751-586)</f>
        <v>0.75757575757575757</v>
      </c>
      <c r="U1937" s="9">
        <f>Таблица1[[#This Row],[Ежемесячный платеж]]/(Таблица1[[#This Row],[Годовой доход]]/12)</f>
        <v>7.7900582176444258E-2</v>
      </c>
    </row>
    <row r="1938" spans="1:21" x14ac:dyDescent="0.3">
      <c r="A1938">
        <v>1937</v>
      </c>
      <c r="B1938">
        <v>1</v>
      </c>
      <c r="C1938" s="9">
        <v>224224</v>
      </c>
      <c r="D1938">
        <v>718</v>
      </c>
      <c r="E1938" s="1">
        <v>1084425</v>
      </c>
      <c r="F1938">
        <v>0</v>
      </c>
      <c r="G1938">
        <v>23947.79</v>
      </c>
      <c r="H1938">
        <v>16.399999999999999</v>
      </c>
      <c r="I1938">
        <v>17</v>
      </c>
      <c r="J1938">
        <v>327826</v>
      </c>
      <c r="K1938">
        <v>511566</v>
      </c>
      <c r="L1938" t="s">
        <v>24</v>
      </c>
      <c r="M1938" t="s">
        <v>1974</v>
      </c>
      <c r="N1938" t="s">
        <v>26</v>
      </c>
      <c r="O1938" t="s">
        <v>21</v>
      </c>
      <c r="P1938" t="s">
        <v>22</v>
      </c>
      <c r="Q1938" t="s">
        <v>36</v>
      </c>
      <c r="R1938" t="b">
        <f>OR(Таблица1[[#This Row],[Ежемесячный платеж]]&lt;$AC$5, Таблица1[[#This Row],[Ежемесячный платеж]]&gt;$AC$6)</f>
        <v>0</v>
      </c>
      <c r="S1938" s="9">
        <f>(Таблица1[[#This Row],[Размер кредита]]-21824)/(789096-21824)</f>
        <v>0.26379171923385708</v>
      </c>
      <c r="T1938" s="9">
        <f>(Таблица1[[#This Row],[Кредитный рейтинг]]-586)/(751-586)</f>
        <v>0.8</v>
      </c>
      <c r="U1938" s="9">
        <f>Таблица1[[#This Row],[Ежемесячный платеж]]/(Таблица1[[#This Row],[Годовой доход]]/12)</f>
        <v>0.26500078843626806</v>
      </c>
    </row>
    <row r="1939" spans="1:21" x14ac:dyDescent="0.3">
      <c r="A1939">
        <v>1938</v>
      </c>
      <c r="B1939">
        <v>0</v>
      </c>
      <c r="C1939" s="9">
        <v>66836</v>
      </c>
      <c r="D1939">
        <v>715</v>
      </c>
      <c r="E1939" s="1">
        <v>692550</v>
      </c>
      <c r="F1939">
        <v>0</v>
      </c>
      <c r="G1939">
        <v>11831.11</v>
      </c>
      <c r="H1939">
        <v>28.3</v>
      </c>
      <c r="I1939">
        <v>10</v>
      </c>
      <c r="J1939">
        <v>423605</v>
      </c>
      <c r="K1939">
        <v>638660</v>
      </c>
      <c r="L1939" t="s">
        <v>29</v>
      </c>
      <c r="M1939" t="s">
        <v>1975</v>
      </c>
      <c r="N1939" t="s">
        <v>71</v>
      </c>
      <c r="O1939" t="s">
        <v>34</v>
      </c>
      <c r="P1939" t="s">
        <v>22</v>
      </c>
      <c r="Q1939" t="s">
        <v>23</v>
      </c>
      <c r="R1939" t="b">
        <f>OR(Таблица1[[#This Row],[Ежемесячный платеж]]&lt;$AC$5, Таблица1[[#This Row],[Ежемесячный платеж]]&gt;$AC$6)</f>
        <v>0</v>
      </c>
      <c r="S1939" s="9">
        <f>(Таблица1[[#This Row],[Размер кредита]]-21824)/(789096-21824)</f>
        <v>5.8664984516573003E-2</v>
      </c>
      <c r="T1939" s="9">
        <f>(Таблица1[[#This Row],[Кредитный рейтинг]]-586)/(751-586)</f>
        <v>0.78181818181818186</v>
      </c>
      <c r="U1939" s="9">
        <f>Таблица1[[#This Row],[Ежемесячный платеж]]/(Таблица1[[#This Row],[Годовой доход]]/12)</f>
        <v>0.20500082304526751</v>
      </c>
    </row>
    <row r="1940" spans="1:21" x14ac:dyDescent="0.3">
      <c r="A1940">
        <v>1939</v>
      </c>
      <c r="B1940">
        <v>0</v>
      </c>
      <c r="C1940" s="9">
        <v>218988</v>
      </c>
      <c r="D1940">
        <v>736</v>
      </c>
      <c r="E1940" s="1">
        <v>1365131</v>
      </c>
      <c r="F1940">
        <v>0</v>
      </c>
      <c r="G1940">
        <v>14902.65</v>
      </c>
      <c r="H1940">
        <v>10.4</v>
      </c>
      <c r="I1940">
        <v>11</v>
      </c>
      <c r="J1940">
        <v>92758</v>
      </c>
      <c r="K1940">
        <v>206536</v>
      </c>
      <c r="L1940" t="s">
        <v>41</v>
      </c>
      <c r="M1940" t="s">
        <v>1976</v>
      </c>
      <c r="N1940" t="s">
        <v>26</v>
      </c>
      <c r="O1940" t="s">
        <v>34</v>
      </c>
      <c r="P1940" t="s">
        <v>22</v>
      </c>
      <c r="Q1940" t="s">
        <v>23</v>
      </c>
      <c r="R1940" t="b">
        <f>OR(Таблица1[[#This Row],[Ежемесячный платеж]]&lt;$AC$5, Таблица1[[#This Row],[Ежемесячный платеж]]&gt;$AC$6)</f>
        <v>0</v>
      </c>
      <c r="S1940" s="9">
        <f>(Таблица1[[#This Row],[Размер кредита]]-21824)/(789096-21824)</f>
        <v>0.25696754214932904</v>
      </c>
      <c r="T1940" s="9">
        <f>(Таблица1[[#This Row],[Кредитный рейтинг]]-586)/(751-586)</f>
        <v>0.90909090909090906</v>
      </c>
      <c r="U1940" s="9">
        <f>Таблица1[[#This Row],[Ежемесячный платеж]]/(Таблица1[[#This Row],[Годовой доход]]/12)</f>
        <v>0.13099973555651434</v>
      </c>
    </row>
    <row r="1941" spans="1:21" x14ac:dyDescent="0.3">
      <c r="A1941">
        <v>1940</v>
      </c>
      <c r="B1941">
        <v>0</v>
      </c>
      <c r="C1941" s="9">
        <v>172744</v>
      </c>
      <c r="D1941">
        <v>725</v>
      </c>
      <c r="E1941" s="1">
        <v>1398647</v>
      </c>
      <c r="F1941">
        <v>5</v>
      </c>
      <c r="G1941">
        <v>6119.14</v>
      </c>
      <c r="H1941">
        <v>16.3</v>
      </c>
      <c r="I1941">
        <v>4</v>
      </c>
      <c r="J1941">
        <v>149625</v>
      </c>
      <c r="K1941">
        <v>319638</v>
      </c>
      <c r="L1941" t="s">
        <v>24</v>
      </c>
      <c r="M1941" t="s">
        <v>1977</v>
      </c>
      <c r="N1941" t="s">
        <v>26</v>
      </c>
      <c r="O1941" t="s">
        <v>34</v>
      </c>
      <c r="P1941" t="s">
        <v>22</v>
      </c>
      <c r="Q1941" t="s">
        <v>23</v>
      </c>
      <c r="R1941" t="b">
        <f>OR(Таблица1[[#This Row],[Ежемесячный платеж]]&lt;$AC$5, Таблица1[[#This Row],[Ежемесячный платеж]]&gt;$AC$6)</f>
        <v>0</v>
      </c>
      <c r="S1941" s="9">
        <f>(Таблица1[[#This Row],[Размер кредита]]-21824)/(789096-21824)</f>
        <v>0.19669686890698473</v>
      </c>
      <c r="T1941" s="9">
        <f>(Таблица1[[#This Row],[Кредитный рейтинг]]-586)/(751-586)</f>
        <v>0.84242424242424241</v>
      </c>
      <c r="U1941" s="9">
        <f>Таблица1[[#This Row],[Ежемесячный платеж]]/(Таблица1[[#This Row],[Годовой доход]]/12)</f>
        <v>5.250050942089033E-2</v>
      </c>
    </row>
    <row r="1942" spans="1:21" x14ac:dyDescent="0.3">
      <c r="A1942">
        <v>1941</v>
      </c>
      <c r="B1942">
        <v>4</v>
      </c>
      <c r="C1942" s="9">
        <v>346478</v>
      </c>
      <c r="D1942">
        <v>744</v>
      </c>
      <c r="E1942" s="1">
        <v>2094598</v>
      </c>
      <c r="F1942">
        <v>59</v>
      </c>
      <c r="G1942">
        <v>13806.92</v>
      </c>
      <c r="H1942">
        <v>20.5</v>
      </c>
      <c r="I1942">
        <v>16</v>
      </c>
      <c r="J1942">
        <v>220704</v>
      </c>
      <c r="K1942">
        <v>443652</v>
      </c>
      <c r="L1942" t="s">
        <v>50</v>
      </c>
      <c r="M1942" s="2" t="s">
        <v>1978</v>
      </c>
      <c r="N1942" t="s">
        <v>20</v>
      </c>
      <c r="O1942" t="s">
        <v>21</v>
      </c>
      <c r="P1942" t="s">
        <v>31</v>
      </c>
      <c r="Q1942" t="s">
        <v>23</v>
      </c>
      <c r="R1942" t="b">
        <f>OR(Таблица1[[#This Row],[Ежемесячный платеж]]&lt;$AC$5, Таблица1[[#This Row],[Ежемесячный платеж]]&gt;$AC$6)</f>
        <v>0</v>
      </c>
      <c r="S1942" s="9">
        <f>(Таблица1[[#This Row],[Размер кредита]]-21824)/(789096-21824)</f>
        <v>0.4231276522536988</v>
      </c>
      <c r="T1942" s="9">
        <f>(Таблица1[[#This Row],[Кредитный рейтинг]]-586)/(751-586)</f>
        <v>0.95757575757575752</v>
      </c>
      <c r="U1942" s="9">
        <f>Таблица1[[#This Row],[Ежемесячный платеж]]/(Таблица1[[#This Row],[Годовой доход]]/12)</f>
        <v>7.9100161462963295E-2</v>
      </c>
    </row>
    <row r="1943" spans="1:21" x14ac:dyDescent="0.3">
      <c r="A1943">
        <v>1942</v>
      </c>
      <c r="B1943">
        <v>1</v>
      </c>
      <c r="C1943" s="9">
        <v>106062</v>
      </c>
      <c r="D1943">
        <f>$Y$13</f>
        <v>723</v>
      </c>
      <c r="E1943">
        <f>$AB$13</f>
        <v>1168044</v>
      </c>
      <c r="F1943">
        <v>32</v>
      </c>
      <c r="G1943">
        <v>3417.15</v>
      </c>
      <c r="H1943">
        <v>17.7</v>
      </c>
      <c r="I1943">
        <v>10</v>
      </c>
      <c r="J1943">
        <v>80940</v>
      </c>
      <c r="K1943">
        <v>261074</v>
      </c>
      <c r="L1943" t="s">
        <v>37</v>
      </c>
      <c r="M1943" t="s">
        <v>1979</v>
      </c>
      <c r="N1943" t="s">
        <v>26</v>
      </c>
      <c r="O1943" t="s">
        <v>34</v>
      </c>
      <c r="P1943" t="s">
        <v>22</v>
      </c>
      <c r="Q1943" t="s">
        <v>36</v>
      </c>
      <c r="R1943" t="b">
        <f>OR(Таблица1[[#This Row],[Ежемесячный платеж]]&lt;$AC$5, Таблица1[[#This Row],[Ежемесячный платеж]]&gt;$AC$6)</f>
        <v>0</v>
      </c>
      <c r="S1943" s="9">
        <f>(Таблица1[[#This Row],[Размер кредита]]-21824)/(789096-21824)</f>
        <v>0.10978896662461292</v>
      </c>
      <c r="T1943" s="9">
        <f>(Таблица1[[#This Row],[Кредитный рейтинг]]-586)/(751-586)</f>
        <v>0.83030303030303032</v>
      </c>
      <c r="U1943" s="9">
        <f>Таблица1[[#This Row],[Ежемесячный платеж]]/(Таблица1[[#This Row],[Годовой доход]]/12)</f>
        <v>3.5106382978723406E-2</v>
      </c>
    </row>
    <row r="1944" spans="1:21" x14ac:dyDescent="0.3">
      <c r="A1944">
        <v>1943</v>
      </c>
      <c r="B1944">
        <v>0</v>
      </c>
      <c r="D1944">
        <v>689</v>
      </c>
      <c r="E1944" s="1">
        <v>845861</v>
      </c>
      <c r="F1944">
        <v>0</v>
      </c>
      <c r="G1944">
        <v>15578.1</v>
      </c>
      <c r="H1944">
        <v>32.799999999999997</v>
      </c>
      <c r="I1944">
        <v>10</v>
      </c>
      <c r="J1944">
        <v>412623</v>
      </c>
      <c r="K1944">
        <v>552354</v>
      </c>
      <c r="L1944" t="s">
        <v>24</v>
      </c>
      <c r="M1944" t="s">
        <v>1980</v>
      </c>
      <c r="N1944" t="s">
        <v>26</v>
      </c>
      <c r="O1944" t="s">
        <v>21</v>
      </c>
      <c r="P1944" t="s">
        <v>31</v>
      </c>
      <c r="Q1944" t="s">
        <v>23</v>
      </c>
      <c r="R1944" t="b">
        <f>OR(Таблица1[[#This Row],[Ежемесячный платеж]]&lt;$AC$5, Таблица1[[#This Row],[Ежемесячный платеж]]&gt;$AC$6)</f>
        <v>0</v>
      </c>
      <c r="T1944" s="9">
        <f>(Таблица1[[#This Row],[Кредитный рейтинг]]-586)/(751-586)</f>
        <v>0.62424242424242427</v>
      </c>
      <c r="U1944" s="9">
        <f>Таблица1[[#This Row],[Ежемесячный платеж]]/(Таблица1[[#This Row],[Годовой доход]]/12)</f>
        <v>0.22100226869426537</v>
      </c>
    </row>
    <row r="1945" spans="1:21" x14ac:dyDescent="0.3">
      <c r="A1945">
        <v>1944</v>
      </c>
      <c r="B1945">
        <v>0</v>
      </c>
      <c r="C1945" s="9">
        <v>671946</v>
      </c>
      <c r="D1945">
        <f>$Y$13</f>
        <v>723</v>
      </c>
      <c r="E1945">
        <f>$AB$13</f>
        <v>1168044</v>
      </c>
      <c r="F1945">
        <v>0</v>
      </c>
      <c r="G1945">
        <v>38760.379999999997</v>
      </c>
      <c r="H1945">
        <v>17.3</v>
      </c>
      <c r="I1945">
        <v>13</v>
      </c>
      <c r="J1945">
        <v>880593</v>
      </c>
      <c r="K1945">
        <v>1234442</v>
      </c>
      <c r="L1945" t="s">
        <v>52</v>
      </c>
      <c r="M1945" t="s">
        <v>1981</v>
      </c>
      <c r="N1945" t="s">
        <v>26</v>
      </c>
      <c r="O1945" t="s">
        <v>34</v>
      </c>
      <c r="P1945" t="s">
        <v>31</v>
      </c>
      <c r="Q1945" t="s">
        <v>36</v>
      </c>
      <c r="R1945" t="b">
        <f>OR(Таблица1[[#This Row],[Ежемесячный платеж]]&lt;$AC$5, Таблица1[[#This Row],[Ежемесячный платеж]]&gt;$AC$6)</f>
        <v>0</v>
      </c>
      <c r="S1945" s="9">
        <f>(Таблица1[[#This Row],[Размер кредита]]-21824)/(789096-21824)</f>
        <v>0.84731620598692514</v>
      </c>
      <c r="T1945" s="9">
        <f>(Таблица1[[#This Row],[Кредитный рейтинг]]-586)/(751-586)</f>
        <v>0.83030303030303032</v>
      </c>
      <c r="U1945" s="9">
        <f>Таблица1[[#This Row],[Ежемесячный платеж]]/(Таблица1[[#This Row],[Годовой доход]]/12)</f>
        <v>0.39820808120242041</v>
      </c>
    </row>
    <row r="1946" spans="1:21" x14ac:dyDescent="0.3">
      <c r="A1946">
        <v>1945</v>
      </c>
      <c r="B1946">
        <v>0</v>
      </c>
      <c r="C1946" s="9">
        <v>48488</v>
      </c>
      <c r="D1946">
        <v>683</v>
      </c>
      <c r="E1946" s="1">
        <v>1142166</v>
      </c>
      <c r="F1946">
        <v>29</v>
      </c>
      <c r="G1946">
        <v>13420.46</v>
      </c>
      <c r="H1946">
        <v>16.399999999999999</v>
      </c>
      <c r="I1946">
        <v>11</v>
      </c>
      <c r="J1946">
        <v>169803</v>
      </c>
      <c r="K1946">
        <v>768020</v>
      </c>
      <c r="L1946" t="s">
        <v>41</v>
      </c>
      <c r="M1946" t="s">
        <v>1982</v>
      </c>
      <c r="N1946" t="s">
        <v>68</v>
      </c>
      <c r="O1946" t="s">
        <v>34</v>
      </c>
      <c r="P1946" t="s">
        <v>22</v>
      </c>
      <c r="Q1946" t="s">
        <v>36</v>
      </c>
      <c r="R1946" t="b">
        <f>OR(Таблица1[[#This Row],[Ежемесячный платеж]]&lt;$AC$5, Таблица1[[#This Row],[Ежемесячный платеж]]&gt;$AC$6)</f>
        <v>0</v>
      </c>
      <c r="S1946" s="9">
        <f>(Таблица1[[#This Row],[Размер кредита]]-21824)/(789096-21824)</f>
        <v>3.4751691707764654E-2</v>
      </c>
      <c r="T1946" s="9">
        <f>(Таблица1[[#This Row],[Кредитный рейтинг]]-586)/(751-586)</f>
        <v>0.58787878787878789</v>
      </c>
      <c r="U1946" s="9">
        <f>Таблица1[[#This Row],[Ежемесячный платеж]]/(Таблица1[[#This Row],[Годовой доход]]/12)</f>
        <v>0.1410000998103603</v>
      </c>
    </row>
    <row r="1947" spans="1:21" x14ac:dyDescent="0.3">
      <c r="A1947">
        <v>1946</v>
      </c>
      <c r="B1947">
        <v>0</v>
      </c>
      <c r="C1947" s="9">
        <v>332486</v>
      </c>
      <c r="D1947">
        <v>657</v>
      </c>
      <c r="E1947" s="1">
        <v>593427</v>
      </c>
      <c r="F1947">
        <v>43</v>
      </c>
      <c r="G1947">
        <v>5533.75</v>
      </c>
      <c r="H1947">
        <v>13.7</v>
      </c>
      <c r="I1947">
        <v>2</v>
      </c>
      <c r="J1947">
        <v>198360</v>
      </c>
      <c r="K1947">
        <v>286022</v>
      </c>
      <c r="L1947" t="s">
        <v>29</v>
      </c>
      <c r="M1947" t="s">
        <v>1983</v>
      </c>
      <c r="N1947" t="s">
        <v>26</v>
      </c>
      <c r="O1947" t="s">
        <v>34</v>
      </c>
      <c r="P1947" t="s">
        <v>31</v>
      </c>
      <c r="Q1947" t="s">
        <v>23</v>
      </c>
      <c r="R1947" t="b">
        <f>OR(Таблица1[[#This Row],[Ежемесячный платеж]]&lt;$AC$5, Таблица1[[#This Row],[Ежемесячный платеж]]&gt;$AC$6)</f>
        <v>0</v>
      </c>
      <c r="S1947" s="9">
        <f>(Таблица1[[#This Row],[Размер кредита]]-21824)/(789096-21824)</f>
        <v>0.40489161601101042</v>
      </c>
      <c r="T1947" s="9">
        <f>(Таблица1[[#This Row],[Кредитный рейтинг]]-586)/(751-586)</f>
        <v>0.4303030303030303</v>
      </c>
      <c r="U1947" s="9">
        <f>Таблица1[[#This Row],[Ежемесячный платеж]]/(Таблица1[[#This Row],[Годовой доход]]/12)</f>
        <v>0.11190087407549706</v>
      </c>
    </row>
    <row r="1948" spans="1:21" x14ac:dyDescent="0.3">
      <c r="A1948">
        <v>1947</v>
      </c>
      <c r="B1948">
        <v>0</v>
      </c>
      <c r="C1948" s="9">
        <v>782716</v>
      </c>
      <c r="D1948">
        <v>703</v>
      </c>
      <c r="E1948" s="1">
        <v>2510755</v>
      </c>
      <c r="F1948">
        <v>0</v>
      </c>
      <c r="G1948">
        <v>36405.9</v>
      </c>
      <c r="H1948">
        <v>20.8</v>
      </c>
      <c r="I1948">
        <v>8</v>
      </c>
      <c r="J1948">
        <v>448305</v>
      </c>
      <c r="K1948">
        <v>650496</v>
      </c>
      <c r="L1948" t="s">
        <v>47</v>
      </c>
      <c r="M1948" t="s">
        <v>1984</v>
      </c>
      <c r="N1948" t="s">
        <v>26</v>
      </c>
      <c r="O1948" t="s">
        <v>21</v>
      </c>
      <c r="P1948" t="s">
        <v>22</v>
      </c>
      <c r="Q1948" t="s">
        <v>23</v>
      </c>
      <c r="R1948" t="b">
        <f>OR(Таблица1[[#This Row],[Ежемесячный платеж]]&lt;$AC$5, Таблица1[[#This Row],[Ежемесячный платеж]]&gt;$AC$6)</f>
        <v>0</v>
      </c>
      <c r="S1948" s="9">
        <f>(Таблица1[[#This Row],[Размер кредита]]-21824)/(789096-21824)</f>
        <v>0.99168482624154142</v>
      </c>
      <c r="T1948" s="9">
        <f>(Таблица1[[#This Row],[Кредитный рейтинг]]-586)/(751-586)</f>
        <v>0.70909090909090911</v>
      </c>
      <c r="U1948" s="9">
        <f>Таблица1[[#This Row],[Ежемесячный платеж]]/(Таблица1[[#This Row],[Годовой доход]]/12)</f>
        <v>0.17399977297665442</v>
      </c>
    </row>
    <row r="1949" spans="1:21" x14ac:dyDescent="0.3">
      <c r="A1949">
        <v>1948</v>
      </c>
      <c r="B1949">
        <v>0</v>
      </c>
      <c r="C1949" s="9">
        <v>133254</v>
      </c>
      <c r="D1949">
        <f>$Y$13</f>
        <v>723</v>
      </c>
      <c r="E1949">
        <f>$AB$13</f>
        <v>1168044</v>
      </c>
      <c r="F1949">
        <v>0</v>
      </c>
      <c r="G1949">
        <v>26944.09</v>
      </c>
      <c r="H1949">
        <v>21.8</v>
      </c>
      <c r="I1949">
        <v>7</v>
      </c>
      <c r="J1949">
        <v>563217</v>
      </c>
      <c r="K1949">
        <v>756558</v>
      </c>
      <c r="L1949" t="s">
        <v>52</v>
      </c>
      <c r="M1949" t="s">
        <v>1985</v>
      </c>
      <c r="N1949" t="s">
        <v>26</v>
      </c>
      <c r="O1949" t="s">
        <v>21</v>
      </c>
      <c r="P1949" t="s">
        <v>22</v>
      </c>
      <c r="Q1949" t="s">
        <v>23</v>
      </c>
      <c r="R1949" t="b">
        <f>OR(Таблица1[[#This Row],[Ежемесячный платеж]]&lt;$AC$5, Таблица1[[#This Row],[Ежемесячный платеж]]&gt;$AC$6)</f>
        <v>0</v>
      </c>
      <c r="S1949" s="9">
        <f>(Таблица1[[#This Row],[Размер кредита]]-21824)/(789096-21824)</f>
        <v>0.14522881064342241</v>
      </c>
      <c r="T1949" s="9">
        <f>(Таблица1[[#This Row],[Кредитный рейтинг]]-586)/(751-586)</f>
        <v>0.83030303030303032</v>
      </c>
      <c r="U1949" s="9">
        <f>Таблица1[[#This Row],[Ежемесячный платеж]]/(Таблица1[[#This Row],[Годовой доход]]/12)</f>
        <v>0.27681241460081984</v>
      </c>
    </row>
    <row r="1950" spans="1:21" x14ac:dyDescent="0.3">
      <c r="A1950">
        <v>1949</v>
      </c>
      <c r="B1950">
        <v>0</v>
      </c>
      <c r="D1950">
        <v>737</v>
      </c>
      <c r="E1950" s="1">
        <v>3451464</v>
      </c>
      <c r="F1950">
        <v>24</v>
      </c>
      <c r="G1950">
        <v>22233.23</v>
      </c>
      <c r="H1950">
        <v>16.899999999999999</v>
      </c>
      <c r="I1950">
        <v>9</v>
      </c>
      <c r="J1950">
        <v>374338</v>
      </c>
      <c r="K1950">
        <v>539770</v>
      </c>
      <c r="L1950" t="s">
        <v>37</v>
      </c>
      <c r="M1950" t="s">
        <v>1986</v>
      </c>
      <c r="N1950" t="s">
        <v>26</v>
      </c>
      <c r="O1950" t="s">
        <v>21</v>
      </c>
      <c r="P1950" t="s">
        <v>22</v>
      </c>
      <c r="Q1950" t="s">
        <v>23</v>
      </c>
      <c r="R1950" t="b">
        <f>OR(Таблица1[[#This Row],[Ежемесячный платеж]]&lt;$AC$5, Таблица1[[#This Row],[Ежемесячный платеж]]&gt;$AC$6)</f>
        <v>0</v>
      </c>
      <c r="T1950" s="9">
        <f>(Таблица1[[#This Row],[Кредитный рейтинг]]-586)/(751-586)</f>
        <v>0.91515151515151516</v>
      </c>
      <c r="U1950" s="9">
        <f>Таблица1[[#This Row],[Ежемесячный платеж]]/(Таблица1[[#This Row],[Годовой доход]]/12)</f>
        <v>7.7300171753203861E-2</v>
      </c>
    </row>
    <row r="1951" spans="1:21" x14ac:dyDescent="0.3">
      <c r="A1951">
        <v>1950</v>
      </c>
      <c r="B1951">
        <v>0</v>
      </c>
      <c r="C1951" s="9">
        <v>788634</v>
      </c>
      <c r="D1951">
        <v>683</v>
      </c>
      <c r="E1951" s="1">
        <v>1731926</v>
      </c>
      <c r="F1951">
        <v>0</v>
      </c>
      <c r="G1951">
        <v>25834.49</v>
      </c>
      <c r="H1951">
        <v>30.9</v>
      </c>
      <c r="I1951">
        <v>18</v>
      </c>
      <c r="J1951">
        <v>881524</v>
      </c>
      <c r="K1951">
        <v>1883244</v>
      </c>
      <c r="L1951" t="s">
        <v>24</v>
      </c>
      <c r="M1951" t="s">
        <v>1987</v>
      </c>
      <c r="N1951" t="s">
        <v>26</v>
      </c>
      <c r="O1951" t="s">
        <v>21</v>
      </c>
      <c r="P1951" t="s">
        <v>31</v>
      </c>
      <c r="Q1951" t="s">
        <v>36</v>
      </c>
      <c r="R1951" t="b">
        <f>OR(Таблица1[[#This Row],[Ежемесячный платеж]]&lt;$AC$5, Таблица1[[#This Row],[Ежемесячный платеж]]&gt;$AC$6)</f>
        <v>0</v>
      </c>
      <c r="S1951" s="9">
        <f>(Таблица1[[#This Row],[Размер кредита]]-21824)/(789096-21824)</f>
        <v>0.99939786672783582</v>
      </c>
      <c r="T1951" s="9">
        <f>(Таблица1[[#This Row],[Кредитный рейтинг]]-586)/(751-586)</f>
        <v>0.58787878787878789</v>
      </c>
      <c r="U1951" s="9">
        <f>Таблица1[[#This Row],[Ежемесячный платеж]]/(Таблица1[[#This Row],[Годовой доход]]/12)</f>
        <v>0.17899949535950152</v>
      </c>
    </row>
    <row r="1952" spans="1:21" x14ac:dyDescent="0.3">
      <c r="A1952">
        <v>1951</v>
      </c>
      <c r="B1952">
        <v>0</v>
      </c>
      <c r="C1952" s="9">
        <v>273922</v>
      </c>
      <c r="D1952">
        <v>704</v>
      </c>
      <c r="E1952" s="1">
        <v>1038616</v>
      </c>
      <c r="F1952">
        <v>0</v>
      </c>
      <c r="G1952">
        <v>13069.34</v>
      </c>
      <c r="H1952">
        <v>16.2</v>
      </c>
      <c r="I1952">
        <v>11</v>
      </c>
      <c r="J1952">
        <v>201970</v>
      </c>
      <c r="K1952">
        <v>244882</v>
      </c>
      <c r="L1952" t="s">
        <v>24</v>
      </c>
      <c r="M1952" t="s">
        <v>1988</v>
      </c>
      <c r="N1952" t="s">
        <v>26</v>
      </c>
      <c r="O1952" t="s">
        <v>34</v>
      </c>
      <c r="P1952" t="s">
        <v>22</v>
      </c>
      <c r="Q1952" t="s">
        <v>36</v>
      </c>
      <c r="R1952" t="b">
        <f>OR(Таблица1[[#This Row],[Ежемесячный платеж]]&lt;$AC$5, Таблица1[[#This Row],[Ежемесячный платеж]]&gt;$AC$6)</f>
        <v>0</v>
      </c>
      <c r="S1952" s="9">
        <f>(Таблица1[[#This Row],[Размер кредита]]-21824)/(789096-21824)</f>
        <v>0.32856405551095308</v>
      </c>
      <c r="T1952" s="9">
        <f>(Таблица1[[#This Row],[Кредитный рейтинг]]-586)/(751-586)</f>
        <v>0.7151515151515152</v>
      </c>
      <c r="U1952" s="9">
        <f>Таблица1[[#This Row],[Ежемесячный платеж]]/(Таблица1[[#This Row],[Годовой доход]]/12)</f>
        <v>0.1510010244402166</v>
      </c>
    </row>
    <row r="1953" spans="1:21" x14ac:dyDescent="0.3">
      <c r="A1953">
        <v>1952</v>
      </c>
      <c r="B1953">
        <v>0</v>
      </c>
      <c r="D1953">
        <v>750</v>
      </c>
      <c r="E1953" s="1">
        <v>2705220</v>
      </c>
      <c r="F1953">
        <v>54</v>
      </c>
      <c r="G1953">
        <v>13751.63</v>
      </c>
      <c r="H1953">
        <v>18.899999999999999</v>
      </c>
      <c r="I1953">
        <v>8</v>
      </c>
      <c r="J1953">
        <v>721829</v>
      </c>
      <c r="K1953">
        <v>1592008</v>
      </c>
      <c r="L1953" t="s">
        <v>18</v>
      </c>
      <c r="M1953" t="s">
        <v>1989</v>
      </c>
      <c r="N1953" t="s">
        <v>20</v>
      </c>
      <c r="O1953" t="s">
        <v>21</v>
      </c>
      <c r="P1953" t="s">
        <v>22</v>
      </c>
      <c r="Q1953" t="s">
        <v>23</v>
      </c>
      <c r="R1953" t="b">
        <f>OR(Таблица1[[#This Row],[Ежемесячный платеж]]&lt;$AC$5, Таблица1[[#This Row],[Ежемесячный платеж]]&gt;$AC$6)</f>
        <v>0</v>
      </c>
      <c r="T1953" s="9">
        <f>(Таблица1[[#This Row],[Кредитный рейтинг]]-586)/(751-586)</f>
        <v>0.9939393939393939</v>
      </c>
      <c r="U1953" s="9">
        <f>Таблица1[[#This Row],[Ежемесячный платеж]]/(Таблица1[[#This Row],[Годовой доход]]/12)</f>
        <v>6.1000421407501053E-2</v>
      </c>
    </row>
    <row r="1954" spans="1:21" x14ac:dyDescent="0.3">
      <c r="A1954">
        <v>1953</v>
      </c>
      <c r="B1954">
        <v>1</v>
      </c>
      <c r="C1954" s="9">
        <v>101926</v>
      </c>
      <c r="D1954">
        <v>711</v>
      </c>
      <c r="E1954" s="1">
        <v>511442</v>
      </c>
      <c r="F1954">
        <v>16</v>
      </c>
      <c r="G1954">
        <v>9653.52</v>
      </c>
      <c r="H1954">
        <v>18.7</v>
      </c>
      <c r="I1954">
        <v>8</v>
      </c>
      <c r="J1954">
        <v>165547</v>
      </c>
      <c r="K1954">
        <v>276628</v>
      </c>
      <c r="L1954" t="s">
        <v>37</v>
      </c>
      <c r="M1954" t="s">
        <v>1990</v>
      </c>
      <c r="N1954" t="s">
        <v>20</v>
      </c>
      <c r="O1954" t="s">
        <v>21</v>
      </c>
      <c r="P1954" t="s">
        <v>31</v>
      </c>
      <c r="Q1954" t="s">
        <v>23</v>
      </c>
      <c r="R1954" t="b">
        <f>OR(Таблица1[[#This Row],[Ежемесячный платеж]]&lt;$AC$5, Таблица1[[#This Row],[Ежемесячный платеж]]&gt;$AC$6)</f>
        <v>0</v>
      </c>
      <c r="S1954" s="9">
        <f>(Таблица1[[#This Row],[Размер кредита]]-21824)/(789096-21824)</f>
        <v>0.10439844018809497</v>
      </c>
      <c r="T1954" s="9">
        <f>(Таблица1[[#This Row],[Кредитный рейтинг]]-586)/(751-586)</f>
        <v>0.75757575757575757</v>
      </c>
      <c r="U1954" s="9">
        <f>Таблица1[[#This Row],[Ежемесячный платеж]]/(Таблица1[[#This Row],[Годовой доход]]/12)</f>
        <v>0.22650122594546401</v>
      </c>
    </row>
    <row r="1955" spans="1:21" x14ac:dyDescent="0.3">
      <c r="A1955">
        <v>1954</v>
      </c>
      <c r="B1955">
        <v>0</v>
      </c>
      <c r="D1955">
        <v>744</v>
      </c>
      <c r="E1955" s="1">
        <v>1331064</v>
      </c>
      <c r="F1955">
        <v>29</v>
      </c>
      <c r="G1955">
        <v>6145.17</v>
      </c>
      <c r="H1955">
        <v>13.7</v>
      </c>
      <c r="I1955">
        <v>3</v>
      </c>
      <c r="J1955">
        <v>2337</v>
      </c>
      <c r="K1955">
        <v>58872</v>
      </c>
      <c r="L1955" t="s">
        <v>63</v>
      </c>
      <c r="M1955" t="s">
        <v>1991</v>
      </c>
      <c r="N1955" t="s">
        <v>26</v>
      </c>
      <c r="O1955" t="s">
        <v>34</v>
      </c>
      <c r="P1955" t="s">
        <v>22</v>
      </c>
      <c r="Q1955" t="s">
        <v>23</v>
      </c>
      <c r="R1955" t="b">
        <f>OR(Таблица1[[#This Row],[Ежемесячный платеж]]&lt;$AC$5, Таблица1[[#This Row],[Ежемесячный платеж]]&gt;$AC$6)</f>
        <v>0</v>
      </c>
      <c r="T1955" s="9">
        <f>(Таблица1[[#This Row],[Кредитный рейтинг]]-586)/(751-586)</f>
        <v>0.95757575757575752</v>
      </c>
      <c r="U1955" s="9">
        <f>Таблица1[[#This Row],[Ежемесячный платеж]]/(Таблица1[[#This Row],[Годовой доход]]/12)</f>
        <v>5.5400822199383352E-2</v>
      </c>
    </row>
    <row r="1956" spans="1:21" x14ac:dyDescent="0.3">
      <c r="A1956">
        <v>1955</v>
      </c>
      <c r="B1956">
        <v>0</v>
      </c>
      <c r="C1956" s="9">
        <v>467940</v>
      </c>
      <c r="D1956">
        <v>725</v>
      </c>
      <c r="E1956" s="1">
        <v>1010325</v>
      </c>
      <c r="F1956">
        <v>36</v>
      </c>
      <c r="G1956">
        <v>6524.98</v>
      </c>
      <c r="H1956">
        <v>18</v>
      </c>
      <c r="I1956">
        <v>5</v>
      </c>
      <c r="J1956">
        <v>214871</v>
      </c>
      <c r="K1956">
        <v>321860</v>
      </c>
      <c r="L1956" t="s">
        <v>18</v>
      </c>
      <c r="M1956" t="s">
        <v>1992</v>
      </c>
      <c r="N1956" t="s">
        <v>26</v>
      </c>
      <c r="O1956" t="s">
        <v>34</v>
      </c>
      <c r="P1956" t="s">
        <v>22</v>
      </c>
      <c r="Q1956" t="s">
        <v>23</v>
      </c>
      <c r="R1956" t="b">
        <f>OR(Таблица1[[#This Row],[Ежемесячный платеж]]&lt;$AC$5, Таблица1[[#This Row],[Ежемесячный платеж]]&gt;$AC$6)</f>
        <v>0</v>
      </c>
      <c r="S1956" s="9">
        <f>(Таблица1[[#This Row],[Размер кредита]]-21824)/(789096-21824)</f>
        <v>0.58143135680697333</v>
      </c>
      <c r="T1956" s="9">
        <f>(Таблица1[[#This Row],[Кредитный рейтинг]]-586)/(751-586)</f>
        <v>0.84242424242424241</v>
      </c>
      <c r="U1956" s="9">
        <f>Таблица1[[#This Row],[Ежемесячный платеж]]/(Таблица1[[#This Row],[Годовой доход]]/12)</f>
        <v>7.7499576868829329E-2</v>
      </c>
    </row>
    <row r="1957" spans="1:21" x14ac:dyDescent="0.3">
      <c r="A1957">
        <v>1956</v>
      </c>
      <c r="B1957">
        <v>0</v>
      </c>
      <c r="C1957" s="9">
        <v>245234</v>
      </c>
      <c r="D1957">
        <v>705</v>
      </c>
      <c r="E1957" s="1">
        <v>813162</v>
      </c>
      <c r="F1957">
        <v>0</v>
      </c>
      <c r="G1957">
        <v>18567.18</v>
      </c>
      <c r="H1957">
        <v>7.4</v>
      </c>
      <c r="I1957">
        <v>9</v>
      </c>
      <c r="J1957">
        <v>206568</v>
      </c>
      <c r="K1957">
        <v>422576</v>
      </c>
      <c r="L1957" t="s">
        <v>37</v>
      </c>
      <c r="M1957" t="s">
        <v>1993</v>
      </c>
      <c r="N1957" t="s">
        <v>26</v>
      </c>
      <c r="O1957" t="s">
        <v>34</v>
      </c>
      <c r="P1957" t="s">
        <v>31</v>
      </c>
      <c r="Q1957" t="s">
        <v>23</v>
      </c>
      <c r="R1957" t="b">
        <f>OR(Таблица1[[#This Row],[Ежемесячный платеж]]&lt;$AC$5, Таблица1[[#This Row],[Ежемесячный платеж]]&gt;$AC$6)</f>
        <v>0</v>
      </c>
      <c r="S1957" s="9">
        <f>(Таблица1[[#This Row],[Размер кредита]]-21824)/(789096-21824)</f>
        <v>0.29117444661084985</v>
      </c>
      <c r="T1957" s="9">
        <f>(Таблица1[[#This Row],[Кредитный рейтинг]]-586)/(751-586)</f>
        <v>0.72121212121212119</v>
      </c>
      <c r="U1957" s="9">
        <f>Таблица1[[#This Row],[Ежемесячный платеж]]/(Таблица1[[#This Row],[Годовой доход]]/12)</f>
        <v>0.27399971961306602</v>
      </c>
    </row>
    <row r="1958" spans="1:21" x14ac:dyDescent="0.3">
      <c r="A1958">
        <v>1957</v>
      </c>
      <c r="B1958">
        <v>0</v>
      </c>
      <c r="C1958" s="9">
        <v>88352</v>
      </c>
      <c r="D1958">
        <v>696</v>
      </c>
      <c r="E1958" s="1">
        <v>992047</v>
      </c>
      <c r="F1958">
        <v>37</v>
      </c>
      <c r="G1958">
        <v>1777.45</v>
      </c>
      <c r="H1958">
        <v>20.5</v>
      </c>
      <c r="I1958">
        <v>6</v>
      </c>
      <c r="J1958">
        <v>67032</v>
      </c>
      <c r="K1958">
        <v>103774</v>
      </c>
      <c r="L1958" t="s">
        <v>47</v>
      </c>
      <c r="M1958" t="s">
        <v>1994</v>
      </c>
      <c r="N1958" t="s">
        <v>76</v>
      </c>
      <c r="O1958" t="s">
        <v>34</v>
      </c>
      <c r="P1958" t="s">
        <v>31</v>
      </c>
      <c r="Q1958" t="s">
        <v>23</v>
      </c>
      <c r="R1958" t="b">
        <f>OR(Таблица1[[#This Row],[Ежемесячный платеж]]&lt;$AC$5, Таблица1[[#This Row],[Ежемесячный платеж]]&gt;$AC$6)</f>
        <v>0</v>
      </c>
      <c r="S1958" s="9">
        <f>(Таблица1[[#This Row],[Размер кредита]]-21824)/(789096-21824)</f>
        <v>8.6707191191650421E-2</v>
      </c>
      <c r="T1958" s="9">
        <f>(Таблица1[[#This Row],[Кредитный рейтинг]]-586)/(751-586)</f>
        <v>0.66666666666666663</v>
      </c>
      <c r="U1958" s="9">
        <f>Таблица1[[#This Row],[Ежемесячный платеж]]/(Таблица1[[#This Row],[Годовой доход]]/12)</f>
        <v>2.1500392622526957E-2</v>
      </c>
    </row>
    <row r="1959" spans="1:21" x14ac:dyDescent="0.3">
      <c r="A1959">
        <v>1958</v>
      </c>
      <c r="B1959">
        <v>0</v>
      </c>
      <c r="C1959" s="9">
        <v>450296</v>
      </c>
      <c r="D1959">
        <v>739</v>
      </c>
      <c r="E1959" s="1">
        <v>864120</v>
      </c>
      <c r="F1959">
        <v>38</v>
      </c>
      <c r="G1959">
        <v>18578.77</v>
      </c>
      <c r="H1959">
        <v>22.5</v>
      </c>
      <c r="I1959">
        <v>7</v>
      </c>
      <c r="J1959">
        <v>59280</v>
      </c>
      <c r="K1959">
        <v>367004</v>
      </c>
      <c r="L1959" t="s">
        <v>24</v>
      </c>
      <c r="M1959" t="s">
        <v>1995</v>
      </c>
      <c r="N1959" t="s">
        <v>26</v>
      </c>
      <c r="O1959" t="s">
        <v>21</v>
      </c>
      <c r="P1959" t="s">
        <v>31</v>
      </c>
      <c r="Q1959" t="s">
        <v>36</v>
      </c>
      <c r="R1959" t="b">
        <f>OR(Таблица1[[#This Row],[Ежемесячный платеж]]&lt;$AC$5, Таблица1[[#This Row],[Ежемесячный платеж]]&gt;$AC$6)</f>
        <v>0</v>
      </c>
      <c r="S1959" s="9">
        <f>(Таблица1[[#This Row],[Размер кредита]]-21824)/(789096-21824)</f>
        <v>0.55843560041289142</v>
      </c>
      <c r="T1959" s="9">
        <f>(Таблица1[[#This Row],[Кредитный рейтинг]]-586)/(751-586)</f>
        <v>0.92727272727272725</v>
      </c>
      <c r="U1959" s="9">
        <f>Таблица1[[#This Row],[Ежемесячный платеж]]/(Таблица1[[#This Row],[Годовой доход]]/12)</f>
        <v>0.25800263852242744</v>
      </c>
    </row>
    <row r="1960" spans="1:21" x14ac:dyDescent="0.3">
      <c r="A1960">
        <v>1959</v>
      </c>
      <c r="B1960">
        <v>0</v>
      </c>
      <c r="C1960" s="9">
        <v>234278</v>
      </c>
      <c r="D1960">
        <v>734</v>
      </c>
      <c r="E1960" s="1">
        <v>2081583</v>
      </c>
      <c r="F1960">
        <v>74</v>
      </c>
      <c r="G1960">
        <v>30529.96</v>
      </c>
      <c r="H1960">
        <v>16.3</v>
      </c>
      <c r="I1960">
        <v>25</v>
      </c>
      <c r="J1960">
        <v>154888</v>
      </c>
      <c r="K1960">
        <v>838090</v>
      </c>
      <c r="L1960" t="s">
        <v>24</v>
      </c>
      <c r="M1960" t="s">
        <v>1996</v>
      </c>
      <c r="N1960" t="s">
        <v>26</v>
      </c>
      <c r="O1960" t="s">
        <v>34</v>
      </c>
      <c r="P1960" t="s">
        <v>22</v>
      </c>
      <c r="Q1960" t="s">
        <v>36</v>
      </c>
      <c r="R1960" t="b">
        <f>OR(Таблица1[[#This Row],[Ежемесячный платеж]]&lt;$AC$5, Таблица1[[#This Row],[Ежемесячный платеж]]&gt;$AC$6)</f>
        <v>0</v>
      </c>
      <c r="S1960" s="9">
        <f>(Таблица1[[#This Row],[Размер кредита]]-21824)/(789096-21824)</f>
        <v>0.27689528615666936</v>
      </c>
      <c r="T1960" s="9">
        <f>(Таблица1[[#This Row],[Кредитный рейтинг]]-586)/(751-586)</f>
        <v>0.89696969696969697</v>
      </c>
      <c r="U1960" s="9">
        <f>Таблица1[[#This Row],[Ежемесячный платеж]]/(Таблица1[[#This Row],[Годовой доход]]/12)</f>
        <v>0.17600043812809771</v>
      </c>
    </row>
    <row r="1961" spans="1:21" x14ac:dyDescent="0.3">
      <c r="A1961">
        <v>1960</v>
      </c>
      <c r="B1961">
        <v>0</v>
      </c>
      <c r="C1961" s="9">
        <v>445104</v>
      </c>
      <c r="D1961">
        <v>672</v>
      </c>
      <c r="E1961" s="1">
        <v>2104630</v>
      </c>
      <c r="F1961">
        <v>0</v>
      </c>
      <c r="G1961">
        <v>27851.34</v>
      </c>
      <c r="H1961">
        <v>22.4</v>
      </c>
      <c r="I1961">
        <v>17</v>
      </c>
      <c r="J1961">
        <v>541158</v>
      </c>
      <c r="K1961">
        <v>832128</v>
      </c>
      <c r="L1961" t="s">
        <v>24</v>
      </c>
      <c r="M1961" t="s">
        <v>1997</v>
      </c>
      <c r="N1961" t="s">
        <v>26</v>
      </c>
      <c r="O1961" t="s">
        <v>21</v>
      </c>
      <c r="P1961" t="s">
        <v>22</v>
      </c>
      <c r="Q1961" t="s">
        <v>23</v>
      </c>
      <c r="R1961" t="b">
        <f>OR(Таблица1[[#This Row],[Ежемесячный платеж]]&lt;$AC$5, Таблица1[[#This Row],[Ежемесячный платеж]]&gt;$AC$6)</f>
        <v>0</v>
      </c>
      <c r="S1961" s="9">
        <f>(Таблица1[[#This Row],[Размер кредита]]-21824)/(789096-21824)</f>
        <v>0.55166876935428377</v>
      </c>
      <c r="T1961" s="9">
        <f>(Таблица1[[#This Row],[Кредитный рейтинг]]-586)/(751-586)</f>
        <v>0.52121212121212124</v>
      </c>
      <c r="U1961" s="9">
        <f>Таблица1[[#This Row],[Ежемесячный платеж]]/(Таблица1[[#This Row],[Годовой доход]]/12)</f>
        <v>0.15880039721946373</v>
      </c>
    </row>
    <row r="1962" spans="1:21" x14ac:dyDescent="0.3">
      <c r="A1962">
        <v>1961</v>
      </c>
      <c r="B1962">
        <v>0</v>
      </c>
      <c r="D1962">
        <v>717</v>
      </c>
      <c r="E1962" s="1">
        <v>2315872</v>
      </c>
      <c r="F1962">
        <v>0</v>
      </c>
      <c r="G1962">
        <v>13605.71</v>
      </c>
      <c r="H1962">
        <v>15.2</v>
      </c>
      <c r="I1962">
        <v>10</v>
      </c>
      <c r="J1962">
        <v>480738</v>
      </c>
      <c r="K1962">
        <v>722920</v>
      </c>
      <c r="L1962" t="s">
        <v>29</v>
      </c>
      <c r="M1962" t="s">
        <v>1998</v>
      </c>
      <c r="N1962" t="s">
        <v>26</v>
      </c>
      <c r="O1962" t="s">
        <v>34</v>
      </c>
      <c r="P1962" t="s">
        <v>22</v>
      </c>
      <c r="Q1962" t="s">
        <v>23</v>
      </c>
      <c r="R1962" t="b">
        <f>OR(Таблица1[[#This Row],[Ежемесячный платеж]]&lt;$AC$5, Таблица1[[#This Row],[Ежемесячный платеж]]&gt;$AC$6)</f>
        <v>0</v>
      </c>
      <c r="T1962" s="9">
        <f>(Таблица1[[#This Row],[Кредитный рейтинг]]-586)/(751-586)</f>
        <v>0.79393939393939394</v>
      </c>
      <c r="U1962" s="9">
        <f>Таблица1[[#This Row],[Ежемесячный платеж]]/(Таблица1[[#This Row],[Годовой доход]]/12)</f>
        <v>7.0499803097925959E-2</v>
      </c>
    </row>
    <row r="1963" spans="1:21" x14ac:dyDescent="0.3">
      <c r="A1963">
        <v>1962</v>
      </c>
      <c r="B1963">
        <v>0</v>
      </c>
      <c r="C1963" s="9">
        <v>179080</v>
      </c>
      <c r="D1963">
        <v>727</v>
      </c>
      <c r="E1963" s="1">
        <v>502645</v>
      </c>
      <c r="F1963">
        <v>49</v>
      </c>
      <c r="G1963">
        <v>13529.52</v>
      </c>
      <c r="H1963">
        <v>13</v>
      </c>
      <c r="I1963">
        <v>10</v>
      </c>
      <c r="J1963">
        <v>197011</v>
      </c>
      <c r="K1963">
        <v>333520</v>
      </c>
      <c r="L1963" t="s">
        <v>37</v>
      </c>
      <c r="M1963" t="s">
        <v>1999</v>
      </c>
      <c r="N1963" t="s">
        <v>26</v>
      </c>
      <c r="O1963" t="s">
        <v>34</v>
      </c>
      <c r="P1963" t="s">
        <v>22</v>
      </c>
      <c r="Q1963" t="s">
        <v>36</v>
      </c>
      <c r="R1963" t="b">
        <f>OR(Таблица1[[#This Row],[Ежемесячный платеж]]&lt;$AC$5, Таблица1[[#This Row],[Ежемесячный платеж]]&gt;$AC$6)</f>
        <v>0</v>
      </c>
      <c r="S1963" s="9">
        <f>(Таблица1[[#This Row],[Размер кредита]]-21824)/(789096-21824)</f>
        <v>0.20495469663952287</v>
      </c>
      <c r="T1963" s="9">
        <f>(Таблица1[[#This Row],[Кредитный рейтинг]]-586)/(751-586)</f>
        <v>0.8545454545454545</v>
      </c>
      <c r="U1963" s="9">
        <f>Таблица1[[#This Row],[Ежемесячный платеж]]/(Таблица1[[#This Row],[Годовой доход]]/12)</f>
        <v>0.32299981099981101</v>
      </c>
    </row>
    <row r="1964" spans="1:21" x14ac:dyDescent="0.3">
      <c r="A1964">
        <v>1963</v>
      </c>
      <c r="B1964">
        <v>0</v>
      </c>
      <c r="C1964" s="9">
        <v>516538</v>
      </c>
      <c r="D1964">
        <v>721</v>
      </c>
      <c r="E1964" s="1">
        <v>2323472</v>
      </c>
      <c r="F1964">
        <v>0</v>
      </c>
      <c r="G1964">
        <v>36594.57</v>
      </c>
      <c r="H1964">
        <v>17.3</v>
      </c>
      <c r="I1964">
        <v>14</v>
      </c>
      <c r="J1964">
        <v>774782</v>
      </c>
      <c r="K1964">
        <v>1125630</v>
      </c>
      <c r="L1964" t="s">
        <v>69</v>
      </c>
      <c r="M1964" t="s">
        <v>2000</v>
      </c>
      <c r="N1964" t="s">
        <v>26</v>
      </c>
      <c r="O1964" t="s">
        <v>21</v>
      </c>
      <c r="P1964" t="s">
        <v>31</v>
      </c>
      <c r="Q1964" t="s">
        <v>23</v>
      </c>
      <c r="R1964" t="b">
        <f>OR(Таблица1[[#This Row],[Ежемесячный платеж]]&lt;$AC$5, Таблица1[[#This Row],[Ежемесячный платеж]]&gt;$AC$6)</f>
        <v>0</v>
      </c>
      <c r="S1964" s="9">
        <f>(Таблица1[[#This Row],[Размер кредита]]-21824)/(789096-21824)</f>
        <v>0.64477004243605918</v>
      </c>
      <c r="T1964" s="9">
        <f>(Таблица1[[#This Row],[Кредитный рейтинг]]-586)/(751-586)</f>
        <v>0.81818181818181823</v>
      </c>
      <c r="U1964" s="9">
        <f>Таблица1[[#This Row],[Ежемесячный платеж]]/(Таблица1[[#This Row],[Годовой доход]]/12)</f>
        <v>0.1889994112259584</v>
      </c>
    </row>
    <row r="1965" spans="1:21" x14ac:dyDescent="0.3">
      <c r="A1965">
        <v>1964</v>
      </c>
      <c r="B1965">
        <v>1</v>
      </c>
      <c r="C1965" s="9">
        <v>268466</v>
      </c>
      <c r="D1965">
        <v>722</v>
      </c>
      <c r="E1965" s="1">
        <v>2318532</v>
      </c>
      <c r="F1965">
        <v>0</v>
      </c>
      <c r="G1965">
        <v>21639.67</v>
      </c>
      <c r="H1965">
        <v>14.5</v>
      </c>
      <c r="I1965">
        <v>9</v>
      </c>
      <c r="J1965">
        <v>121296</v>
      </c>
      <c r="K1965">
        <v>282018</v>
      </c>
      <c r="L1965" t="s">
        <v>32</v>
      </c>
      <c r="M1965" t="s">
        <v>2001</v>
      </c>
      <c r="N1965" t="s">
        <v>40</v>
      </c>
      <c r="O1965" t="s">
        <v>34</v>
      </c>
      <c r="P1965" t="s">
        <v>31</v>
      </c>
      <c r="Q1965" t="s">
        <v>23</v>
      </c>
      <c r="R1965" t="b">
        <f>OR(Таблица1[[#This Row],[Ежемесячный платеж]]&lt;$AC$5, Таблица1[[#This Row],[Ежемесячный платеж]]&gt;$AC$6)</f>
        <v>0</v>
      </c>
      <c r="S1965" s="9">
        <f>(Таблица1[[#This Row],[Размер кредита]]-21824)/(789096-21824)</f>
        <v>0.32145314829682303</v>
      </c>
      <c r="T1965" s="9">
        <f>(Таблица1[[#This Row],[Кредитный рейтинг]]-586)/(751-586)</f>
        <v>0.82424242424242422</v>
      </c>
      <c r="U1965" s="9">
        <f>Таблица1[[#This Row],[Ежемесячный платеж]]/(Таблица1[[#This Row],[Годовой доход]]/12)</f>
        <v>0.11200019667617267</v>
      </c>
    </row>
    <row r="1966" spans="1:21" x14ac:dyDescent="0.3">
      <c r="A1966">
        <v>1965</v>
      </c>
      <c r="B1966">
        <v>1</v>
      </c>
      <c r="C1966" s="9">
        <v>287430</v>
      </c>
      <c r="D1966">
        <f>$Y$13</f>
        <v>723</v>
      </c>
      <c r="E1966">
        <f>$AB$13</f>
        <v>1168044</v>
      </c>
      <c r="F1966">
        <v>14</v>
      </c>
      <c r="G1966">
        <v>31683.83</v>
      </c>
      <c r="H1966">
        <v>21.7</v>
      </c>
      <c r="I1966">
        <v>16</v>
      </c>
      <c r="J1966">
        <v>217018</v>
      </c>
      <c r="K1966">
        <v>330638</v>
      </c>
      <c r="L1966" t="s">
        <v>32</v>
      </c>
      <c r="M1966" t="s">
        <v>2002</v>
      </c>
      <c r="N1966" t="s">
        <v>26</v>
      </c>
      <c r="O1966" t="s">
        <v>21</v>
      </c>
      <c r="P1966" t="s">
        <v>22</v>
      </c>
      <c r="Q1966" t="s">
        <v>23</v>
      </c>
      <c r="R1966" t="b">
        <f>OR(Таблица1[[#This Row],[Ежемесячный платеж]]&lt;$AC$5, Таблица1[[#This Row],[Ежемесячный платеж]]&gt;$AC$6)</f>
        <v>0</v>
      </c>
      <c r="S1966" s="9">
        <f>(Таблица1[[#This Row],[Размер кредита]]-21824)/(789096-21824)</f>
        <v>0.34616928546851705</v>
      </c>
      <c r="T1966" s="9">
        <f>(Таблица1[[#This Row],[Кредитный рейтинг]]-586)/(751-586)</f>
        <v>0.83030303030303032</v>
      </c>
      <c r="U1966" s="9">
        <f>Таблица1[[#This Row],[Ежемесячный платеж]]/(Таблица1[[#This Row],[Годовой доход]]/12)</f>
        <v>0.32550653913722433</v>
      </c>
    </row>
    <row r="1967" spans="1:21" x14ac:dyDescent="0.3">
      <c r="A1967">
        <v>1966</v>
      </c>
      <c r="B1967">
        <v>0</v>
      </c>
      <c r="C1967" s="9">
        <v>502810</v>
      </c>
      <c r="D1967">
        <v>636</v>
      </c>
      <c r="E1967" s="1">
        <v>1453937</v>
      </c>
      <c r="F1967">
        <v>23</v>
      </c>
      <c r="G1967">
        <v>22293.65</v>
      </c>
      <c r="H1967">
        <v>20.2</v>
      </c>
      <c r="I1967">
        <v>6</v>
      </c>
      <c r="J1967">
        <v>69331</v>
      </c>
      <c r="K1967">
        <v>94314</v>
      </c>
      <c r="L1967" t="s">
        <v>50</v>
      </c>
      <c r="M1967" t="s">
        <v>2003</v>
      </c>
      <c r="N1967" t="s">
        <v>26</v>
      </c>
      <c r="O1967" t="s">
        <v>21</v>
      </c>
      <c r="P1967" t="s">
        <v>31</v>
      </c>
      <c r="Q1967" t="s">
        <v>36</v>
      </c>
      <c r="R1967" t="b">
        <f>OR(Таблица1[[#This Row],[Ежемесячный платеж]]&lt;$AC$5, Таблица1[[#This Row],[Ежемесячный платеж]]&gt;$AC$6)</f>
        <v>0</v>
      </c>
      <c r="S1967" s="9">
        <f>(Таблица1[[#This Row],[Размер кредита]]-21824)/(789096-21824)</f>
        <v>0.6268780823488932</v>
      </c>
      <c r="T1967" s="9">
        <f>(Таблица1[[#This Row],[Кредитный рейтинг]]-586)/(751-586)</f>
        <v>0.30303030303030304</v>
      </c>
      <c r="U1967" s="9">
        <f>Таблица1[[#This Row],[Ежемесячный платеж]]/(Таблица1[[#This Row],[Годовой доход]]/12)</f>
        <v>0.1839995818250722</v>
      </c>
    </row>
    <row r="1968" spans="1:21" x14ac:dyDescent="0.3">
      <c r="A1968">
        <v>1967</v>
      </c>
      <c r="B1968">
        <v>0</v>
      </c>
      <c r="C1968" s="9">
        <v>109406</v>
      </c>
      <c r="D1968">
        <v>732</v>
      </c>
      <c r="E1968" s="1">
        <v>944775</v>
      </c>
      <c r="F1968">
        <v>27</v>
      </c>
      <c r="G1968">
        <v>17084.8</v>
      </c>
      <c r="H1968">
        <v>21.2</v>
      </c>
      <c r="I1968">
        <v>6</v>
      </c>
      <c r="J1968">
        <v>58653</v>
      </c>
      <c r="K1968">
        <v>72182</v>
      </c>
      <c r="L1968" t="s">
        <v>52</v>
      </c>
      <c r="M1968" t="s">
        <v>2004</v>
      </c>
      <c r="N1968" t="s">
        <v>26</v>
      </c>
      <c r="O1968" t="s">
        <v>21</v>
      </c>
      <c r="P1968" t="s">
        <v>22</v>
      </c>
      <c r="Q1968" t="s">
        <v>23</v>
      </c>
      <c r="R1968" t="b">
        <f>OR(Таблица1[[#This Row],[Ежемесячный платеж]]&lt;$AC$5, Таблица1[[#This Row],[Ежемесячный платеж]]&gt;$AC$6)</f>
        <v>0</v>
      </c>
      <c r="S1968" s="9">
        <f>(Таблица1[[#This Row],[Размер кредита]]-21824)/(789096-21824)</f>
        <v>0.11414726459456359</v>
      </c>
      <c r="T1968" s="9">
        <f>(Таблица1[[#This Row],[Кредитный рейтинг]]-586)/(751-586)</f>
        <v>0.88484848484848488</v>
      </c>
      <c r="U1968" s="9">
        <f>Таблица1[[#This Row],[Ежемесячный платеж]]/(Таблица1[[#This Row],[Годовой доход]]/12)</f>
        <v>0.21700150829562592</v>
      </c>
    </row>
    <row r="1969" spans="1:21" x14ac:dyDescent="0.3">
      <c r="A1969">
        <v>1968</v>
      </c>
      <c r="B1969">
        <v>0</v>
      </c>
      <c r="C1969" s="9">
        <v>402094</v>
      </c>
      <c r="D1969">
        <v>745</v>
      </c>
      <c r="E1969" s="1">
        <v>1504819</v>
      </c>
      <c r="F1969">
        <v>51</v>
      </c>
      <c r="G1969">
        <v>14170.39</v>
      </c>
      <c r="H1969">
        <v>22.8</v>
      </c>
      <c r="I1969">
        <v>14</v>
      </c>
      <c r="J1969">
        <v>292087</v>
      </c>
      <c r="K1969">
        <v>1142614</v>
      </c>
      <c r="L1969" t="s">
        <v>32</v>
      </c>
      <c r="M1969" t="s">
        <v>2005</v>
      </c>
      <c r="N1969" t="s">
        <v>26</v>
      </c>
      <c r="O1969" t="s">
        <v>21</v>
      </c>
      <c r="P1969" t="s">
        <v>31</v>
      </c>
      <c r="Q1969" t="s">
        <v>23</v>
      </c>
      <c r="R1969" t="b">
        <f>OR(Таблица1[[#This Row],[Ежемесячный платеж]]&lt;$AC$5, Таблица1[[#This Row],[Ежемесячный платеж]]&gt;$AC$6)</f>
        <v>0</v>
      </c>
      <c r="S1969" s="9">
        <f>(Таблица1[[#This Row],[Размер кредита]]-21824)/(789096-21824)</f>
        <v>0.49561302901708909</v>
      </c>
      <c r="T1969" s="9">
        <f>(Таблица1[[#This Row],[Кредитный рейтинг]]-586)/(751-586)</f>
        <v>0.96363636363636362</v>
      </c>
      <c r="U1969" s="9">
        <f>Таблица1[[#This Row],[Ежемесячный платеж]]/(Таблица1[[#This Row],[Годовой доход]]/12)</f>
        <v>0.11300008838272244</v>
      </c>
    </row>
    <row r="1970" spans="1:21" x14ac:dyDescent="0.3">
      <c r="A1970">
        <v>1969</v>
      </c>
      <c r="B1970">
        <v>0</v>
      </c>
      <c r="C1970" s="9">
        <v>134288</v>
      </c>
      <c r="D1970">
        <v>721</v>
      </c>
      <c r="E1970" s="1">
        <v>1198387</v>
      </c>
      <c r="F1970">
        <v>28</v>
      </c>
      <c r="G1970">
        <v>10286.219999999999</v>
      </c>
      <c r="H1970">
        <v>23.6</v>
      </c>
      <c r="I1970">
        <v>8</v>
      </c>
      <c r="J1970">
        <v>93119</v>
      </c>
      <c r="K1970">
        <v>109692</v>
      </c>
      <c r="L1970" t="s">
        <v>50</v>
      </c>
      <c r="M1970" t="s">
        <v>2006</v>
      </c>
      <c r="N1970" t="s">
        <v>26</v>
      </c>
      <c r="O1970" t="s">
        <v>34</v>
      </c>
      <c r="P1970" t="s">
        <v>22</v>
      </c>
      <c r="Q1970" t="s">
        <v>23</v>
      </c>
      <c r="R1970" t="b">
        <f>OR(Таблица1[[#This Row],[Ежемесячный платеж]]&lt;$AC$5, Таблица1[[#This Row],[Ежемесячный платеж]]&gt;$AC$6)</f>
        <v>0</v>
      </c>
      <c r="S1970" s="9">
        <f>(Таблица1[[#This Row],[Размер кредита]]-21824)/(789096-21824)</f>
        <v>0.1465764422525519</v>
      </c>
      <c r="T1970" s="9">
        <f>(Таблица1[[#This Row],[Кредитный рейтинг]]-586)/(751-586)</f>
        <v>0.81818181818181823</v>
      </c>
      <c r="U1970" s="9">
        <f>Таблица1[[#This Row],[Ежемесячный платеж]]/(Таблица1[[#This Row],[Годовой доход]]/12)</f>
        <v>0.10300065004042934</v>
      </c>
    </row>
    <row r="1971" spans="1:21" x14ac:dyDescent="0.3">
      <c r="A1971">
        <v>1970</v>
      </c>
      <c r="B1971">
        <v>0</v>
      </c>
      <c r="C1971" s="9">
        <v>206756</v>
      </c>
      <c r="D1971">
        <v>726</v>
      </c>
      <c r="E1971" s="1">
        <v>529872</v>
      </c>
      <c r="F1971">
        <v>0</v>
      </c>
      <c r="G1971">
        <v>12981.75</v>
      </c>
      <c r="H1971">
        <v>15.2</v>
      </c>
      <c r="I1971">
        <v>6</v>
      </c>
      <c r="J1971">
        <v>120859</v>
      </c>
      <c r="K1971">
        <v>157586</v>
      </c>
      <c r="L1971" t="s">
        <v>24</v>
      </c>
      <c r="M1971" t="s">
        <v>2007</v>
      </c>
      <c r="N1971" t="s">
        <v>26</v>
      </c>
      <c r="O1971" t="s">
        <v>34</v>
      </c>
      <c r="P1971" t="s">
        <v>22</v>
      </c>
      <c r="Q1971" t="s">
        <v>23</v>
      </c>
      <c r="R1971" t="b">
        <f>OR(Таблица1[[#This Row],[Ежемесячный платеж]]&lt;$AC$5, Таблица1[[#This Row],[Ежемесячный платеж]]&gt;$AC$6)</f>
        <v>0</v>
      </c>
      <c r="S1971" s="9">
        <f>(Таблица1[[#This Row],[Размер кредита]]-21824)/(789096-21824)</f>
        <v>0.24102534694345681</v>
      </c>
      <c r="T1971" s="9">
        <f>(Таблица1[[#This Row],[Кредитный рейтинг]]-586)/(751-586)</f>
        <v>0.84848484848484851</v>
      </c>
      <c r="U1971" s="9">
        <f>Таблица1[[#This Row],[Ежемесячный платеж]]/(Таблица1[[#This Row],[Годовой доход]]/12)</f>
        <v>0.29399741824440617</v>
      </c>
    </row>
    <row r="1972" spans="1:21" x14ac:dyDescent="0.3">
      <c r="A1972">
        <v>1971</v>
      </c>
      <c r="B1972">
        <v>0</v>
      </c>
      <c r="D1972">
        <v>732</v>
      </c>
      <c r="E1972" s="1">
        <v>1318695</v>
      </c>
      <c r="F1972">
        <v>0</v>
      </c>
      <c r="G1972">
        <v>30879.56</v>
      </c>
      <c r="H1972">
        <v>14.2</v>
      </c>
      <c r="I1972">
        <v>12</v>
      </c>
      <c r="J1972">
        <v>237215</v>
      </c>
      <c r="K1972">
        <v>305536</v>
      </c>
      <c r="L1972" t="s">
        <v>24</v>
      </c>
      <c r="M1972" t="s">
        <v>2008</v>
      </c>
      <c r="N1972" t="s">
        <v>26</v>
      </c>
      <c r="O1972" t="s">
        <v>21</v>
      </c>
      <c r="P1972" t="s">
        <v>22</v>
      </c>
      <c r="Q1972" t="s">
        <v>23</v>
      </c>
      <c r="R1972" t="b">
        <f>OR(Таблица1[[#This Row],[Ежемесячный платеж]]&lt;$AC$5, Таблица1[[#This Row],[Ежемесячный платеж]]&gt;$AC$6)</f>
        <v>0</v>
      </c>
      <c r="T1972" s="9">
        <f>(Таблица1[[#This Row],[Кредитный рейтинг]]-586)/(751-586)</f>
        <v>0.88484848484848488</v>
      </c>
      <c r="U1972" s="9">
        <f>Таблица1[[#This Row],[Ежемесячный платеж]]/(Таблица1[[#This Row],[Годовой доход]]/12)</f>
        <v>0.28100108061378865</v>
      </c>
    </row>
    <row r="1973" spans="1:21" x14ac:dyDescent="0.3">
      <c r="A1973">
        <v>1972</v>
      </c>
      <c r="B1973">
        <v>0</v>
      </c>
      <c r="C1973" s="9">
        <v>37598</v>
      </c>
      <c r="D1973">
        <v>690</v>
      </c>
      <c r="E1973" s="1">
        <v>222718</v>
      </c>
      <c r="F1973">
        <v>0</v>
      </c>
      <c r="G1973">
        <v>3433.49</v>
      </c>
      <c r="H1973">
        <v>9</v>
      </c>
      <c r="I1973">
        <v>6</v>
      </c>
      <c r="J1973">
        <v>82194</v>
      </c>
      <c r="K1973">
        <v>105270</v>
      </c>
      <c r="L1973" t="s">
        <v>41</v>
      </c>
      <c r="M1973" t="s">
        <v>2009</v>
      </c>
      <c r="N1973" t="s">
        <v>26</v>
      </c>
      <c r="O1973" t="s">
        <v>28</v>
      </c>
      <c r="P1973" t="s">
        <v>22</v>
      </c>
      <c r="Q1973" t="s">
        <v>23</v>
      </c>
      <c r="R1973" t="b">
        <f>OR(Таблица1[[#This Row],[Ежемесячный платеж]]&lt;$AC$5, Таблица1[[#This Row],[Ежемесячный платеж]]&gt;$AC$6)</f>
        <v>0</v>
      </c>
      <c r="S1973" s="9">
        <f>(Таблица1[[#This Row],[Размер кредита]]-21824)/(789096-21824)</f>
        <v>2.0558550292464731E-2</v>
      </c>
      <c r="T1973" s="9">
        <f>(Таблица1[[#This Row],[Кредитный рейтинг]]-586)/(751-586)</f>
        <v>0.63030303030303025</v>
      </c>
      <c r="U1973" s="9">
        <f>Таблица1[[#This Row],[Ежемесячный платеж]]/(Таблица1[[#This Row],[Годовой доход]]/12)</f>
        <v>0.18499573451629414</v>
      </c>
    </row>
    <row r="1974" spans="1:21" x14ac:dyDescent="0.3">
      <c r="A1974">
        <v>1973</v>
      </c>
      <c r="B1974">
        <v>0</v>
      </c>
      <c r="C1974" s="9">
        <v>157080</v>
      </c>
      <c r="D1974">
        <v>720</v>
      </c>
      <c r="E1974" s="1">
        <v>1280125</v>
      </c>
      <c r="F1974">
        <v>5</v>
      </c>
      <c r="G1974">
        <v>20588.59</v>
      </c>
      <c r="H1974">
        <v>22.7</v>
      </c>
      <c r="I1974">
        <v>10</v>
      </c>
      <c r="J1974">
        <v>127756</v>
      </c>
      <c r="K1974">
        <v>283404</v>
      </c>
      <c r="L1974" t="s">
        <v>24</v>
      </c>
      <c r="M1974" t="s">
        <v>2010</v>
      </c>
      <c r="N1974" t="s">
        <v>26</v>
      </c>
      <c r="O1974" t="s">
        <v>34</v>
      </c>
      <c r="P1974" t="s">
        <v>22</v>
      </c>
      <c r="Q1974" t="s">
        <v>23</v>
      </c>
      <c r="R1974" t="b">
        <f>OR(Таблица1[[#This Row],[Ежемесячный платеж]]&lt;$AC$5, Таблица1[[#This Row],[Ежемесячный платеж]]&gt;$AC$6)</f>
        <v>0</v>
      </c>
      <c r="S1974" s="9">
        <f>(Таблица1[[#This Row],[Размер кредита]]-21824)/(789096-21824)</f>
        <v>0.17628168367932101</v>
      </c>
      <c r="T1974" s="9">
        <f>(Таблица1[[#This Row],[Кредитный рейтинг]]-586)/(751-586)</f>
        <v>0.81212121212121213</v>
      </c>
      <c r="U1974" s="9">
        <f>Таблица1[[#This Row],[Ежемесячный платеж]]/(Таблица1[[#This Row],[Годовой доход]]/12)</f>
        <v>0.19299918367346941</v>
      </c>
    </row>
    <row r="1975" spans="1:21" x14ac:dyDescent="0.3">
      <c r="A1975">
        <v>1974</v>
      </c>
      <c r="B1975">
        <v>0</v>
      </c>
      <c r="C1975" s="9">
        <v>33484</v>
      </c>
      <c r="D1975">
        <v>722</v>
      </c>
      <c r="E1975" s="1">
        <v>1530108</v>
      </c>
      <c r="F1975">
        <v>24</v>
      </c>
      <c r="G1975">
        <v>18871.37</v>
      </c>
      <c r="H1975">
        <v>10</v>
      </c>
      <c r="I1975">
        <v>19</v>
      </c>
      <c r="J1975">
        <v>21964</v>
      </c>
      <c r="K1975">
        <v>69102</v>
      </c>
      <c r="L1975" t="s">
        <v>63</v>
      </c>
      <c r="M1975" s="2" t="s">
        <v>2011</v>
      </c>
      <c r="N1975" t="s">
        <v>68</v>
      </c>
      <c r="O1975" t="s">
        <v>34</v>
      </c>
      <c r="P1975" t="s">
        <v>22</v>
      </c>
      <c r="Q1975" t="s">
        <v>23</v>
      </c>
      <c r="R1975" t="b">
        <f>OR(Таблица1[[#This Row],[Ежемесячный платеж]]&lt;$AC$5, Таблица1[[#This Row],[Ежемесячный платеж]]&gt;$AC$6)</f>
        <v>0</v>
      </c>
      <c r="S1975" s="9">
        <f>(Таблица1[[#This Row],[Размер кредита]]-21824)/(789096-21824)</f>
        <v>1.5196696868906985E-2</v>
      </c>
      <c r="T1975" s="9">
        <f>(Таблица1[[#This Row],[Кредитный рейтинг]]-586)/(751-586)</f>
        <v>0.82424242424242422</v>
      </c>
      <c r="U1975" s="9">
        <f>Таблица1[[#This Row],[Ежемесячный платеж]]/(Таблица1[[#This Row],[Годовой доход]]/12)</f>
        <v>0.1480002980181791</v>
      </c>
    </row>
    <row r="1976" spans="1:21" x14ac:dyDescent="0.3">
      <c r="A1976">
        <v>1975</v>
      </c>
      <c r="B1976">
        <v>0</v>
      </c>
      <c r="C1976" s="9">
        <v>109978</v>
      </c>
      <c r="D1976">
        <v>751</v>
      </c>
      <c r="E1976" s="1">
        <v>1044696</v>
      </c>
      <c r="F1976">
        <v>32</v>
      </c>
      <c r="G1976">
        <v>16540.830000000002</v>
      </c>
      <c r="H1976">
        <v>18.899999999999999</v>
      </c>
      <c r="I1976">
        <v>18</v>
      </c>
      <c r="J1976">
        <v>42826</v>
      </c>
      <c r="K1976">
        <v>378598</v>
      </c>
      <c r="L1976" t="s">
        <v>37</v>
      </c>
      <c r="M1976" t="s">
        <v>2012</v>
      </c>
      <c r="N1976" t="s">
        <v>26</v>
      </c>
      <c r="O1976" t="s">
        <v>34</v>
      </c>
      <c r="P1976" t="s">
        <v>22</v>
      </c>
      <c r="Q1976" t="s">
        <v>23</v>
      </c>
      <c r="R1976" t="b">
        <f>OR(Таблица1[[#This Row],[Ежемесячный платеж]]&lt;$AC$5, Таблица1[[#This Row],[Ежемесячный платеж]]&gt;$AC$6)</f>
        <v>0</v>
      </c>
      <c r="S1976" s="9">
        <f>(Таблица1[[#This Row],[Размер кредита]]-21824)/(789096-21824)</f>
        <v>0.11489276293152885</v>
      </c>
      <c r="T1976" s="9">
        <f>(Таблица1[[#This Row],[Кредитный рейтинг]]-586)/(751-586)</f>
        <v>1</v>
      </c>
      <c r="U1976" s="9">
        <f>Таблица1[[#This Row],[Ежемесячный платеж]]/(Таблица1[[#This Row],[Годовой доход]]/12)</f>
        <v>0.18999781754692277</v>
      </c>
    </row>
    <row r="1977" spans="1:21" x14ac:dyDescent="0.3">
      <c r="A1977">
        <v>1976</v>
      </c>
      <c r="B1977">
        <v>0</v>
      </c>
      <c r="C1977" s="9">
        <v>66132</v>
      </c>
      <c r="D1977">
        <v>718</v>
      </c>
      <c r="E1977" s="1">
        <v>761520</v>
      </c>
      <c r="F1977">
        <v>27</v>
      </c>
      <c r="G1977">
        <v>7107.52</v>
      </c>
      <c r="H1977">
        <v>21.5</v>
      </c>
      <c r="I1977">
        <v>6</v>
      </c>
      <c r="J1977">
        <v>52934</v>
      </c>
      <c r="K1977">
        <v>147664</v>
      </c>
      <c r="L1977" t="s">
        <v>24</v>
      </c>
      <c r="M1977" t="s">
        <v>2013</v>
      </c>
      <c r="N1977" t="s">
        <v>26</v>
      </c>
      <c r="O1977" t="s">
        <v>28</v>
      </c>
      <c r="P1977" t="s">
        <v>22</v>
      </c>
      <c r="Q1977" t="s">
        <v>23</v>
      </c>
      <c r="R1977" t="b">
        <f>OR(Таблица1[[#This Row],[Ежемесячный платеж]]&lt;$AC$5, Таблица1[[#This Row],[Ежемесячный платеж]]&gt;$AC$6)</f>
        <v>0</v>
      </c>
      <c r="S1977" s="9">
        <f>(Таблица1[[#This Row],[Размер кредита]]-21824)/(789096-21824)</f>
        <v>5.7747448101846545E-2</v>
      </c>
      <c r="T1977" s="9">
        <f>(Таблица1[[#This Row],[Кредитный рейтинг]]-586)/(751-586)</f>
        <v>0.8</v>
      </c>
      <c r="U1977" s="9">
        <f>Таблица1[[#This Row],[Ежемесячный платеж]]/(Таблица1[[#This Row],[Годовой доход]]/12)</f>
        <v>0.112</v>
      </c>
    </row>
    <row r="1978" spans="1:21" x14ac:dyDescent="0.3">
      <c r="A1978">
        <v>1977</v>
      </c>
      <c r="B1978">
        <v>0</v>
      </c>
      <c r="C1978" s="9">
        <v>505252</v>
      </c>
      <c r="D1978">
        <v>725</v>
      </c>
      <c r="E1978" s="1">
        <v>975555</v>
      </c>
      <c r="F1978">
        <v>0</v>
      </c>
      <c r="G1978">
        <v>18291.68</v>
      </c>
      <c r="H1978">
        <v>13.6</v>
      </c>
      <c r="I1978">
        <v>17</v>
      </c>
      <c r="J1978">
        <v>275785</v>
      </c>
      <c r="K1978">
        <v>1013760</v>
      </c>
      <c r="L1978" t="s">
        <v>41</v>
      </c>
      <c r="M1978" t="s">
        <v>2014</v>
      </c>
      <c r="N1978" t="s">
        <v>26</v>
      </c>
      <c r="O1978" t="s">
        <v>21</v>
      </c>
      <c r="P1978" t="s">
        <v>31</v>
      </c>
      <c r="Q1978" t="s">
        <v>23</v>
      </c>
      <c r="R1978" t="b">
        <f>OR(Таблица1[[#This Row],[Ежемесячный платеж]]&lt;$AC$5, Таблица1[[#This Row],[Ежемесячный платеж]]&gt;$AC$6)</f>
        <v>0</v>
      </c>
      <c r="S1978" s="9">
        <f>(Таблица1[[#This Row],[Размер кредита]]-21824)/(789096-21824)</f>
        <v>0.63006078678747568</v>
      </c>
      <c r="T1978" s="9">
        <f>(Таблица1[[#This Row],[Кредитный рейтинг]]-586)/(751-586)</f>
        <v>0.84242424242424241</v>
      </c>
      <c r="U1978" s="9">
        <f>Таблица1[[#This Row],[Ежемесячный платеж]]/(Таблица1[[#This Row],[Годовой доход]]/12)</f>
        <v>0.22500029214139644</v>
      </c>
    </row>
    <row r="1979" spans="1:21" x14ac:dyDescent="0.3">
      <c r="A1979">
        <v>1978</v>
      </c>
      <c r="B1979">
        <v>0</v>
      </c>
      <c r="C1979" s="9">
        <v>108570</v>
      </c>
      <c r="D1979">
        <v>742</v>
      </c>
      <c r="E1979" s="1">
        <v>720119</v>
      </c>
      <c r="F1979">
        <v>62</v>
      </c>
      <c r="G1979">
        <v>6505.03</v>
      </c>
      <c r="H1979">
        <v>30.5</v>
      </c>
      <c r="I1979">
        <v>8</v>
      </c>
      <c r="J1979">
        <v>26087</v>
      </c>
      <c r="K1979">
        <v>97746</v>
      </c>
      <c r="L1979" t="s">
        <v>24</v>
      </c>
      <c r="M1979" t="s">
        <v>2015</v>
      </c>
      <c r="N1979" t="s">
        <v>103</v>
      </c>
      <c r="O1979" t="s">
        <v>34</v>
      </c>
      <c r="P1979" t="s">
        <v>22</v>
      </c>
      <c r="Q1979" t="s">
        <v>23</v>
      </c>
      <c r="R1979" t="b">
        <f>OR(Таблица1[[#This Row],[Ежемесячный платеж]]&lt;$AC$5, Таблица1[[#This Row],[Ежемесячный платеж]]&gt;$AC$6)</f>
        <v>0</v>
      </c>
      <c r="S1979" s="9">
        <f>(Таблица1[[#This Row],[Размер кредита]]-21824)/(789096-21824)</f>
        <v>0.11305769010207592</v>
      </c>
      <c r="T1979" s="9">
        <f>(Таблица1[[#This Row],[Кредитный рейтинг]]-586)/(751-586)</f>
        <v>0.94545454545454544</v>
      </c>
      <c r="U1979" s="9">
        <f>Таблица1[[#This Row],[Ежемесячный платеж]]/(Таблица1[[#This Row],[Годовой доход]]/12)</f>
        <v>0.10839925067940159</v>
      </c>
    </row>
    <row r="1980" spans="1:21" x14ac:dyDescent="0.3">
      <c r="A1980">
        <v>1979</v>
      </c>
      <c r="B1980">
        <v>0</v>
      </c>
      <c r="C1980" s="9">
        <v>179806</v>
      </c>
      <c r="D1980">
        <f>$Y$13</f>
        <v>723</v>
      </c>
      <c r="E1980">
        <f>$AB$13</f>
        <v>1168044</v>
      </c>
      <c r="F1980">
        <v>10</v>
      </c>
      <c r="G1980">
        <v>15034.89</v>
      </c>
      <c r="H1980">
        <v>34</v>
      </c>
      <c r="I1980">
        <v>13</v>
      </c>
      <c r="J1980">
        <v>288667</v>
      </c>
      <c r="K1980">
        <v>415756</v>
      </c>
      <c r="L1980" t="s">
        <v>18</v>
      </c>
      <c r="M1980" t="s">
        <v>2016</v>
      </c>
      <c r="N1980" t="s">
        <v>26</v>
      </c>
      <c r="O1980" t="s">
        <v>21</v>
      </c>
      <c r="P1980" t="s">
        <v>22</v>
      </c>
      <c r="Q1980" t="s">
        <v>36</v>
      </c>
      <c r="R1980" t="b">
        <f>OR(Таблица1[[#This Row],[Ежемесячный платеж]]&lt;$AC$5, Таблица1[[#This Row],[Ежемесячный платеж]]&gt;$AC$6)</f>
        <v>0</v>
      </c>
      <c r="S1980" s="9">
        <f>(Таблица1[[#This Row],[Размер кредита]]-21824)/(789096-21824)</f>
        <v>0.20590090606720954</v>
      </c>
      <c r="T1980" s="9">
        <f>(Таблица1[[#This Row],[Кредитный рейтинг]]-586)/(751-586)</f>
        <v>0.83030303030303032</v>
      </c>
      <c r="U1980" s="9">
        <f>Таблица1[[#This Row],[Ежемесячный платеж]]/(Таблица1[[#This Row],[Годовой доход]]/12)</f>
        <v>0.15446222916260002</v>
      </c>
    </row>
    <row r="1981" spans="1:21" x14ac:dyDescent="0.3">
      <c r="A1981">
        <v>1980</v>
      </c>
      <c r="B1981">
        <v>0</v>
      </c>
      <c r="C1981" s="9">
        <v>130064</v>
      </c>
      <c r="D1981">
        <v>736</v>
      </c>
      <c r="E1981" s="1">
        <v>936035</v>
      </c>
      <c r="F1981">
        <v>0</v>
      </c>
      <c r="G1981">
        <v>8658.2999999999993</v>
      </c>
      <c r="H1981">
        <v>16</v>
      </c>
      <c r="I1981">
        <v>9</v>
      </c>
      <c r="J1981">
        <v>140106</v>
      </c>
      <c r="K1981">
        <v>318714</v>
      </c>
      <c r="L1981" t="s">
        <v>29</v>
      </c>
      <c r="M1981" t="s">
        <v>2017</v>
      </c>
      <c r="N1981" t="s">
        <v>68</v>
      </c>
      <c r="O1981" t="s">
        <v>34</v>
      </c>
      <c r="P1981" t="s">
        <v>22</v>
      </c>
      <c r="Q1981" t="s">
        <v>23</v>
      </c>
      <c r="R1981" t="b">
        <f>OR(Таблица1[[#This Row],[Ежемесячный платеж]]&lt;$AC$5, Таблица1[[#This Row],[Ежемесячный платеж]]&gt;$AC$6)</f>
        <v>0</v>
      </c>
      <c r="S1981" s="9">
        <f>(Таблица1[[#This Row],[Размер кредита]]-21824)/(789096-21824)</f>
        <v>0.14107122376419315</v>
      </c>
      <c r="T1981" s="9">
        <f>(Таблица1[[#This Row],[Кредитный рейтинг]]-586)/(751-586)</f>
        <v>0.90909090909090906</v>
      </c>
      <c r="U1981" s="9">
        <f>Таблица1[[#This Row],[Ежемесячный платеж]]/(Таблица1[[#This Row],[Годовой доход]]/12)</f>
        <v>0.11099969552420581</v>
      </c>
    </row>
    <row r="1982" spans="1:21" x14ac:dyDescent="0.3">
      <c r="A1982">
        <v>1981</v>
      </c>
      <c r="B1982">
        <v>1</v>
      </c>
      <c r="C1982" s="9">
        <v>255156</v>
      </c>
      <c r="D1982">
        <v>737</v>
      </c>
      <c r="E1982" s="1">
        <v>862277</v>
      </c>
      <c r="F1982">
        <v>73</v>
      </c>
      <c r="G1982">
        <v>8622.77</v>
      </c>
      <c r="H1982">
        <v>38.299999999999997</v>
      </c>
      <c r="I1982">
        <v>11</v>
      </c>
      <c r="J1982">
        <v>297654</v>
      </c>
      <c r="K1982">
        <v>618772</v>
      </c>
      <c r="L1982" t="s">
        <v>24</v>
      </c>
      <c r="M1982" t="s">
        <v>2018</v>
      </c>
      <c r="N1982" t="s">
        <v>26</v>
      </c>
      <c r="O1982" t="s">
        <v>34</v>
      </c>
      <c r="P1982" t="s">
        <v>22</v>
      </c>
      <c r="Q1982" t="s">
        <v>23</v>
      </c>
      <c r="R1982" t="b">
        <f>OR(Таблица1[[#This Row],[Ежемесячный платеж]]&lt;$AC$5, Таблица1[[#This Row],[Ежемесячный платеж]]&gt;$AC$6)</f>
        <v>0</v>
      </c>
      <c r="S1982" s="9">
        <f>(Таблица1[[#This Row],[Размер кредита]]-21824)/(789096-21824)</f>
        <v>0.3041059754559009</v>
      </c>
      <c r="T1982" s="9">
        <f>(Таблица1[[#This Row],[Кредитный рейтинг]]-586)/(751-586)</f>
        <v>0.91515151515151516</v>
      </c>
      <c r="U1982" s="9">
        <f>Таблица1[[#This Row],[Ежемесячный платеж]]/(Таблица1[[#This Row],[Годовой доход]]/12)</f>
        <v>0.12</v>
      </c>
    </row>
    <row r="1983" spans="1:21" x14ac:dyDescent="0.3">
      <c r="A1983">
        <v>1982</v>
      </c>
      <c r="B1983">
        <v>0</v>
      </c>
      <c r="C1983" s="9">
        <v>474166</v>
      </c>
      <c r="D1983">
        <v>747</v>
      </c>
      <c r="E1983" s="1">
        <v>2885226</v>
      </c>
      <c r="F1983">
        <v>0</v>
      </c>
      <c r="G1983">
        <v>35824.69</v>
      </c>
      <c r="H1983">
        <v>20.100000000000001</v>
      </c>
      <c r="I1983">
        <v>8</v>
      </c>
      <c r="J1983">
        <v>753882</v>
      </c>
      <c r="K1983">
        <v>1142548</v>
      </c>
      <c r="L1983" t="s">
        <v>47</v>
      </c>
      <c r="M1983" t="s">
        <v>2019</v>
      </c>
      <c r="N1983" t="s">
        <v>26</v>
      </c>
      <c r="O1983" t="s">
        <v>34</v>
      </c>
      <c r="P1983" t="s">
        <v>22</v>
      </c>
      <c r="Q1983" t="s">
        <v>23</v>
      </c>
      <c r="R1983" t="b">
        <f>OR(Таблица1[[#This Row],[Ежемесячный платеж]]&lt;$AC$5, Таблица1[[#This Row],[Ежемесячный платеж]]&gt;$AC$6)</f>
        <v>0</v>
      </c>
      <c r="S1983" s="9">
        <f>(Таблица1[[#This Row],[Размер кредита]]-21824)/(789096-21824)</f>
        <v>0.58954581947471041</v>
      </c>
      <c r="T1983" s="9">
        <f>(Таблица1[[#This Row],[Кредитный рейтинг]]-586)/(751-586)</f>
        <v>0.97575757575757571</v>
      </c>
      <c r="U1983" s="9">
        <f>Таблица1[[#This Row],[Ежемесячный платеж]]/(Таблица1[[#This Row],[Годовой доход]]/12)</f>
        <v>0.1489991702556403</v>
      </c>
    </row>
    <row r="1984" spans="1:21" x14ac:dyDescent="0.3">
      <c r="A1984">
        <v>1983</v>
      </c>
      <c r="B1984">
        <v>0</v>
      </c>
      <c r="C1984" s="9">
        <v>139414</v>
      </c>
      <c r="D1984">
        <v>726</v>
      </c>
      <c r="E1984" s="1">
        <v>526794</v>
      </c>
      <c r="F1984">
        <v>0</v>
      </c>
      <c r="G1984">
        <v>7989.69</v>
      </c>
      <c r="H1984">
        <v>6.5</v>
      </c>
      <c r="I1984">
        <v>14</v>
      </c>
      <c r="J1984">
        <v>187625</v>
      </c>
      <c r="K1984">
        <v>400840</v>
      </c>
      <c r="L1984" t="s">
        <v>37</v>
      </c>
      <c r="M1984" t="s">
        <v>2020</v>
      </c>
      <c r="N1984" t="s">
        <v>26</v>
      </c>
      <c r="O1984" t="s">
        <v>21</v>
      </c>
      <c r="P1984" t="s">
        <v>22</v>
      </c>
      <c r="Q1984" t="s">
        <v>23</v>
      </c>
      <c r="R1984" t="b">
        <f>OR(Таблица1[[#This Row],[Ежемесячный платеж]]&lt;$AC$5, Таблица1[[#This Row],[Ежемесячный платеж]]&gt;$AC$6)</f>
        <v>0</v>
      </c>
      <c r="S1984" s="9">
        <f>(Таблица1[[#This Row],[Размер кредита]]-21824)/(789096-21824)</f>
        <v>0.15325725427227893</v>
      </c>
      <c r="T1984" s="9">
        <f>(Таблица1[[#This Row],[Кредитный рейтинг]]-586)/(751-586)</f>
        <v>0.84848484848484851</v>
      </c>
      <c r="U1984" s="9">
        <f>Таблица1[[#This Row],[Ежемесячный платеж]]/(Таблица1[[#This Row],[Годовой доход]]/12)</f>
        <v>0.1819995671932482</v>
      </c>
    </row>
    <row r="1985" spans="1:21" x14ac:dyDescent="0.3">
      <c r="A1985">
        <v>1984</v>
      </c>
      <c r="B1985">
        <v>0</v>
      </c>
      <c r="C1985" s="9">
        <v>765314</v>
      </c>
      <c r="D1985">
        <v>740</v>
      </c>
      <c r="E1985" s="1">
        <v>4060091</v>
      </c>
      <c r="F1985">
        <v>0</v>
      </c>
      <c r="G1985">
        <v>22161.22</v>
      </c>
      <c r="H1985">
        <v>20.9</v>
      </c>
      <c r="I1985">
        <v>7</v>
      </c>
      <c r="J1985">
        <v>587879</v>
      </c>
      <c r="K1985">
        <v>1409320</v>
      </c>
      <c r="L1985" t="s">
        <v>37</v>
      </c>
      <c r="M1985" t="s">
        <v>2021</v>
      </c>
      <c r="N1985" t="s">
        <v>68</v>
      </c>
      <c r="O1985" t="s">
        <v>21</v>
      </c>
      <c r="P1985" t="s">
        <v>22</v>
      </c>
      <c r="Q1985" t="s">
        <v>23</v>
      </c>
      <c r="R1985" t="b">
        <f>OR(Таблица1[[#This Row],[Ежемесячный платеж]]&lt;$AC$5, Таблица1[[#This Row],[Ежемесячный платеж]]&gt;$AC$6)</f>
        <v>0</v>
      </c>
      <c r="S1985" s="9">
        <f>(Таблица1[[#This Row],[Размер кредита]]-21824)/(789096-21824)</f>
        <v>0.96900447299002179</v>
      </c>
      <c r="T1985" s="9">
        <f>(Таблица1[[#This Row],[Кредитный рейтинг]]-586)/(751-586)</f>
        <v>0.93333333333333335</v>
      </c>
      <c r="U1985" s="9">
        <f>Таблица1[[#This Row],[Ежемесячный платеж]]/(Таблица1[[#This Row],[Годовой доход]]/12)</f>
        <v>6.5499674760984422E-2</v>
      </c>
    </row>
    <row r="1986" spans="1:21" x14ac:dyDescent="0.3">
      <c r="A1986">
        <v>1985</v>
      </c>
      <c r="B1986">
        <v>0</v>
      </c>
      <c r="C1986" s="9">
        <v>175890</v>
      </c>
      <c r="D1986">
        <v>706</v>
      </c>
      <c r="E1986" s="1">
        <v>856900</v>
      </c>
      <c r="F1986">
        <v>0</v>
      </c>
      <c r="G1986">
        <v>15638.52</v>
      </c>
      <c r="H1986">
        <v>12</v>
      </c>
      <c r="I1986">
        <v>12</v>
      </c>
      <c r="J1986">
        <v>86412</v>
      </c>
      <c r="K1986">
        <v>232144</v>
      </c>
      <c r="L1986" t="s">
        <v>50</v>
      </c>
      <c r="M1986" t="s">
        <v>2022</v>
      </c>
      <c r="N1986" t="s">
        <v>26</v>
      </c>
      <c r="O1986" t="s">
        <v>28</v>
      </c>
      <c r="P1986" t="s">
        <v>22</v>
      </c>
      <c r="Q1986" t="s">
        <v>23</v>
      </c>
      <c r="R1986" t="b">
        <f>OR(Таблица1[[#This Row],[Ежемесячный платеж]]&lt;$AC$5, Таблица1[[#This Row],[Ежемесячный платеж]]&gt;$AC$6)</f>
        <v>0</v>
      </c>
      <c r="S1986" s="9">
        <f>(Таблица1[[#This Row],[Размер кредита]]-21824)/(789096-21824)</f>
        <v>0.20079710976029361</v>
      </c>
      <c r="T1986" s="9">
        <f>(Таблица1[[#This Row],[Кредитный рейтинг]]-586)/(751-586)</f>
        <v>0.72727272727272729</v>
      </c>
      <c r="U1986" s="9">
        <f>Таблица1[[#This Row],[Ежемесячный платеж]]/(Таблица1[[#This Row],[Годовой доход]]/12)</f>
        <v>0.21900133037694017</v>
      </c>
    </row>
    <row r="1987" spans="1:21" x14ac:dyDescent="0.3">
      <c r="A1987">
        <v>1986</v>
      </c>
      <c r="B1987">
        <v>0</v>
      </c>
      <c r="C1987" s="9">
        <v>388168</v>
      </c>
      <c r="D1987">
        <v>693</v>
      </c>
      <c r="E1987" s="1">
        <v>1042929</v>
      </c>
      <c r="F1987">
        <v>0</v>
      </c>
      <c r="G1987">
        <v>0</v>
      </c>
      <c r="H1987">
        <v>19.8</v>
      </c>
      <c r="I1987">
        <v>2</v>
      </c>
      <c r="J1987">
        <v>0</v>
      </c>
      <c r="K1987">
        <v>0</v>
      </c>
      <c r="L1987" t="s">
        <v>41</v>
      </c>
      <c r="M1987" t="s">
        <v>2023</v>
      </c>
      <c r="N1987" t="s">
        <v>71</v>
      </c>
      <c r="O1987" t="s">
        <v>28</v>
      </c>
      <c r="P1987" t="s">
        <v>22</v>
      </c>
      <c r="Q1987" t="s">
        <v>23</v>
      </c>
      <c r="R1987" t="b">
        <f>OR(Таблица1[[#This Row],[Ежемесячный платеж]]&lt;$AC$5, Таблица1[[#This Row],[Ежемесячный платеж]]&gt;$AC$6)</f>
        <v>0</v>
      </c>
      <c r="S1987" s="9">
        <f>(Таблица1[[#This Row],[Размер кредита]]-21824)/(789096-21824)</f>
        <v>0.47746301181328132</v>
      </c>
      <c r="T1987" s="9">
        <f>(Таблица1[[#This Row],[Кредитный рейтинг]]-586)/(751-586)</f>
        <v>0.64848484848484844</v>
      </c>
      <c r="U1987" s="9">
        <f>Таблица1[[#This Row],[Ежемесячный платеж]]/(Таблица1[[#This Row],[Годовой доход]]/12)</f>
        <v>0</v>
      </c>
    </row>
    <row r="1988" spans="1:21" x14ac:dyDescent="0.3">
      <c r="A1988">
        <v>1987</v>
      </c>
      <c r="B1988">
        <v>0</v>
      </c>
      <c r="C1988" s="9">
        <v>132682</v>
      </c>
      <c r="D1988">
        <v>718</v>
      </c>
      <c r="E1988" s="1">
        <v>630268</v>
      </c>
      <c r="F1988">
        <v>53</v>
      </c>
      <c r="G1988">
        <v>4432.8900000000003</v>
      </c>
      <c r="H1988">
        <v>9.8000000000000007</v>
      </c>
      <c r="I1988">
        <v>8</v>
      </c>
      <c r="J1988">
        <v>47557</v>
      </c>
      <c r="K1988">
        <v>136972</v>
      </c>
      <c r="L1988" t="s">
        <v>52</v>
      </c>
      <c r="M1988" t="s">
        <v>2024</v>
      </c>
      <c r="N1988" t="s">
        <v>26</v>
      </c>
      <c r="O1988" t="s">
        <v>34</v>
      </c>
      <c r="P1988" t="s">
        <v>22</v>
      </c>
      <c r="Q1988" t="s">
        <v>36</v>
      </c>
      <c r="R1988" t="b">
        <f>OR(Таблица1[[#This Row],[Ежемесячный платеж]]&lt;$AC$5, Таблица1[[#This Row],[Ежемесячный платеж]]&gt;$AC$6)</f>
        <v>0</v>
      </c>
      <c r="S1988" s="9">
        <f>(Таблица1[[#This Row],[Размер кредита]]-21824)/(789096-21824)</f>
        <v>0.14448331230645717</v>
      </c>
      <c r="T1988" s="9">
        <f>(Таблица1[[#This Row],[Кредитный рейтинг]]-586)/(751-586)</f>
        <v>0.8</v>
      </c>
      <c r="U1988" s="9">
        <f>Таблица1[[#This Row],[Ежемесячный платеж]]/(Таблица1[[#This Row],[Годовой доход]]/12)</f>
        <v>8.4400096466899791E-2</v>
      </c>
    </row>
    <row r="1989" spans="1:21" x14ac:dyDescent="0.3">
      <c r="A1989">
        <v>1988</v>
      </c>
      <c r="B1989">
        <v>0</v>
      </c>
      <c r="C1989" s="9">
        <v>108702</v>
      </c>
      <c r="D1989">
        <v>747</v>
      </c>
      <c r="E1989" s="1">
        <v>600761</v>
      </c>
      <c r="F1989">
        <v>0</v>
      </c>
      <c r="G1989">
        <v>8711.1200000000008</v>
      </c>
      <c r="H1989">
        <v>10.4</v>
      </c>
      <c r="I1989">
        <v>5</v>
      </c>
      <c r="J1989">
        <v>94620</v>
      </c>
      <c r="K1989">
        <v>258412</v>
      </c>
      <c r="L1989" t="s">
        <v>32</v>
      </c>
      <c r="M1989" t="s">
        <v>2025</v>
      </c>
      <c r="N1989" t="s">
        <v>26</v>
      </c>
      <c r="O1989" t="s">
        <v>34</v>
      </c>
      <c r="P1989" t="s">
        <v>22</v>
      </c>
      <c r="Q1989" t="s">
        <v>23</v>
      </c>
      <c r="R1989" t="b">
        <f>OR(Таблица1[[#This Row],[Ежемесячный платеж]]&lt;$AC$5, Таблица1[[#This Row],[Ежемесячный платеж]]&gt;$AC$6)</f>
        <v>0</v>
      </c>
      <c r="S1989" s="9">
        <f>(Таблица1[[#This Row],[Размер кредита]]-21824)/(789096-21824)</f>
        <v>0.11322972817983713</v>
      </c>
      <c r="T1989" s="9">
        <f>(Таблица1[[#This Row],[Кредитный рейтинг]]-586)/(751-586)</f>
        <v>0.97575757575757571</v>
      </c>
      <c r="U1989" s="9">
        <f>Таблица1[[#This Row],[Ежемесячный платеж]]/(Таблица1[[#This Row],[Годовой доход]]/12)</f>
        <v>0.17400170783389737</v>
      </c>
    </row>
    <row r="1990" spans="1:21" x14ac:dyDescent="0.3">
      <c r="A1990">
        <v>1989</v>
      </c>
      <c r="B1990">
        <v>0</v>
      </c>
      <c r="C1990" s="9">
        <v>218944</v>
      </c>
      <c r="D1990">
        <v>727</v>
      </c>
      <c r="E1990" s="1">
        <v>718542</v>
      </c>
      <c r="F1990">
        <v>33</v>
      </c>
      <c r="G1990">
        <v>11616.22</v>
      </c>
      <c r="H1990">
        <v>16.8</v>
      </c>
      <c r="I1990">
        <v>12</v>
      </c>
      <c r="J1990">
        <v>10564</v>
      </c>
      <c r="K1990">
        <v>532114</v>
      </c>
      <c r="L1990" t="s">
        <v>24</v>
      </c>
      <c r="M1990" t="s">
        <v>2026</v>
      </c>
      <c r="N1990" t="s">
        <v>103</v>
      </c>
      <c r="O1990" t="s">
        <v>34</v>
      </c>
      <c r="P1990" t="s">
        <v>22</v>
      </c>
      <c r="Q1990" t="s">
        <v>23</v>
      </c>
      <c r="R1990" t="b">
        <f>OR(Таблица1[[#This Row],[Ежемесячный платеж]]&lt;$AC$5, Таблица1[[#This Row],[Ежемесячный платеж]]&gt;$AC$6)</f>
        <v>0</v>
      </c>
      <c r="S1990" s="9">
        <f>(Таблица1[[#This Row],[Размер кредита]]-21824)/(789096-21824)</f>
        <v>0.25691019612340865</v>
      </c>
      <c r="T1990" s="9">
        <f>(Таблица1[[#This Row],[Кредитный рейтинг]]-586)/(751-586)</f>
        <v>0.8545454545454545</v>
      </c>
      <c r="U1990" s="9">
        <f>Таблица1[[#This Row],[Ежемесячный платеж]]/(Таблица1[[#This Row],[Годовой доход]]/12)</f>
        <v>0.19399650959860382</v>
      </c>
    </row>
    <row r="1991" spans="1:21" x14ac:dyDescent="0.3">
      <c r="A1991">
        <v>1990</v>
      </c>
      <c r="B1991">
        <v>0</v>
      </c>
      <c r="C1991" s="9">
        <v>448228</v>
      </c>
      <c r="D1991">
        <f>$Y$13</f>
        <v>723</v>
      </c>
      <c r="E1991">
        <f>$AB$13</f>
        <v>1168044</v>
      </c>
      <c r="F1991">
        <v>0</v>
      </c>
      <c r="G1991">
        <v>19103.740000000002</v>
      </c>
      <c r="H1991">
        <v>15.4</v>
      </c>
      <c r="I1991">
        <v>13</v>
      </c>
      <c r="J1991">
        <v>411654</v>
      </c>
      <c r="K1991">
        <v>791780</v>
      </c>
      <c r="L1991" t="s">
        <v>41</v>
      </c>
      <c r="M1991" t="s">
        <v>2027</v>
      </c>
      <c r="N1991" t="s">
        <v>26</v>
      </c>
      <c r="O1991" t="s">
        <v>21</v>
      </c>
      <c r="P1991" t="s">
        <v>22</v>
      </c>
      <c r="Q1991" t="s">
        <v>23</v>
      </c>
      <c r="R1991" t="b">
        <f>OR(Таблица1[[#This Row],[Ежемесячный платеж]]&lt;$AC$5, Таблица1[[#This Row],[Ежемесячный платеж]]&gt;$AC$6)</f>
        <v>0</v>
      </c>
      <c r="S1991" s="9">
        <f>(Таблица1[[#This Row],[Размер кредита]]-21824)/(789096-21824)</f>
        <v>0.55574033719463245</v>
      </c>
      <c r="T1991" s="9">
        <f>(Таблица1[[#This Row],[Кредитный рейтинг]]-586)/(751-586)</f>
        <v>0.83030303030303032</v>
      </c>
      <c r="U1991" s="9">
        <f>Таблица1[[#This Row],[Ежемесячный платеж]]/(Таблица1[[#This Row],[Годовой доход]]/12)</f>
        <v>0.19626390786648451</v>
      </c>
    </row>
    <row r="1992" spans="1:21" x14ac:dyDescent="0.3">
      <c r="A1992">
        <v>1991</v>
      </c>
      <c r="B1992">
        <v>0</v>
      </c>
      <c r="C1992" s="9">
        <v>132660</v>
      </c>
      <c r="D1992">
        <v>720</v>
      </c>
      <c r="E1992" s="1">
        <v>553755</v>
      </c>
      <c r="F1992">
        <v>0</v>
      </c>
      <c r="G1992">
        <v>4203.9399999999996</v>
      </c>
      <c r="H1992">
        <v>6.8</v>
      </c>
      <c r="I1992">
        <v>5</v>
      </c>
      <c r="J1992">
        <v>171456</v>
      </c>
      <c r="K1992">
        <v>287298</v>
      </c>
      <c r="L1992" t="s">
        <v>41</v>
      </c>
      <c r="M1992" t="s">
        <v>2028</v>
      </c>
      <c r="N1992" t="s">
        <v>26</v>
      </c>
      <c r="O1992" t="s">
        <v>21</v>
      </c>
      <c r="P1992" t="s">
        <v>22</v>
      </c>
      <c r="Q1992" t="s">
        <v>23</v>
      </c>
      <c r="R1992" t="b">
        <f>OR(Таблица1[[#This Row],[Ежемесячный платеж]]&lt;$AC$5, Таблица1[[#This Row],[Ежемесячный платеж]]&gt;$AC$6)</f>
        <v>0</v>
      </c>
      <c r="S1992" s="9">
        <f>(Таблица1[[#This Row],[Размер кредита]]-21824)/(789096-21824)</f>
        <v>0.14445463929349697</v>
      </c>
      <c r="T1992" s="9">
        <f>(Таблица1[[#This Row],[Кредитный рейтинг]]-586)/(751-586)</f>
        <v>0.81212121212121213</v>
      </c>
      <c r="U1992" s="9">
        <f>Таблица1[[#This Row],[Ежемесячный платеж]]/(Таблица1[[#This Row],[Годовой доход]]/12)</f>
        <v>9.110036026762737E-2</v>
      </c>
    </row>
    <row r="1993" spans="1:21" x14ac:dyDescent="0.3">
      <c r="A1993">
        <v>1992</v>
      </c>
      <c r="B1993">
        <v>0</v>
      </c>
      <c r="C1993" s="9">
        <v>337634</v>
      </c>
      <c r="D1993">
        <v>728</v>
      </c>
      <c r="E1993" s="1">
        <v>653144</v>
      </c>
      <c r="F1993">
        <v>0</v>
      </c>
      <c r="G1993">
        <v>4376.08</v>
      </c>
      <c r="H1993">
        <v>13.1</v>
      </c>
      <c r="I1993">
        <v>3</v>
      </c>
      <c r="J1993">
        <v>209</v>
      </c>
      <c r="K1993">
        <v>61908</v>
      </c>
      <c r="L1993" t="s">
        <v>32</v>
      </c>
      <c r="M1993" t="s">
        <v>2029</v>
      </c>
      <c r="N1993" t="s">
        <v>71</v>
      </c>
      <c r="O1993" t="s">
        <v>34</v>
      </c>
      <c r="P1993" t="s">
        <v>31</v>
      </c>
      <c r="Q1993" t="s">
        <v>36</v>
      </c>
      <c r="R1993" t="b">
        <f>OR(Таблица1[[#This Row],[Ежемесячный платеж]]&lt;$AC$5, Таблица1[[#This Row],[Ежемесячный платеж]]&gt;$AC$6)</f>
        <v>0</v>
      </c>
      <c r="S1993" s="9">
        <f>(Таблица1[[#This Row],[Размер кредита]]-21824)/(789096-21824)</f>
        <v>0.41160110104369768</v>
      </c>
      <c r="T1993" s="9">
        <f>(Таблица1[[#This Row],[Кредитный рейтинг]]-586)/(751-586)</f>
        <v>0.8606060606060606</v>
      </c>
      <c r="U1993" s="9">
        <f>Таблица1[[#This Row],[Ежемесячный платеж]]/(Таблица1[[#This Row],[Годовой доход]]/12)</f>
        <v>8.0400279264603219E-2</v>
      </c>
    </row>
    <row r="1994" spans="1:21" x14ac:dyDescent="0.3">
      <c r="A1994">
        <v>1993</v>
      </c>
      <c r="B1994">
        <v>0</v>
      </c>
      <c r="C1994" s="9">
        <v>431420</v>
      </c>
      <c r="D1994">
        <v>749</v>
      </c>
      <c r="E1994" s="1">
        <v>1490360</v>
      </c>
      <c r="F1994">
        <v>0</v>
      </c>
      <c r="G1994">
        <v>2744.74</v>
      </c>
      <c r="H1994">
        <v>30.8</v>
      </c>
      <c r="I1994">
        <v>10</v>
      </c>
      <c r="J1994">
        <v>784871</v>
      </c>
      <c r="K1994">
        <v>11957990</v>
      </c>
      <c r="L1994" t="s">
        <v>32</v>
      </c>
      <c r="M1994" t="s">
        <v>2030</v>
      </c>
      <c r="N1994" t="s">
        <v>20</v>
      </c>
      <c r="O1994" t="s">
        <v>21</v>
      </c>
      <c r="P1994" t="s">
        <v>22</v>
      </c>
      <c r="Q1994" t="s">
        <v>23</v>
      </c>
      <c r="R1994" t="b">
        <f>OR(Таблица1[[#This Row],[Ежемесячный платеж]]&lt;$AC$5, Таблица1[[#This Row],[Ежемесячный платеж]]&gt;$AC$6)</f>
        <v>0</v>
      </c>
      <c r="S1994" s="9">
        <f>(Таблица1[[#This Row],[Размер кредита]]-21824)/(789096-21824)</f>
        <v>0.53383415529303824</v>
      </c>
      <c r="T1994" s="9">
        <f>(Таблица1[[#This Row],[Кредитный рейтинг]]-586)/(751-586)</f>
        <v>0.98787878787878791</v>
      </c>
      <c r="U1994" s="9">
        <f>Таблица1[[#This Row],[Ежемесячный платеж]]/(Таблица1[[#This Row],[Годовой доход]]/12)</f>
        <v>2.2099949005609382E-2</v>
      </c>
    </row>
    <row r="1995" spans="1:21" x14ac:dyDescent="0.3">
      <c r="A1995">
        <v>1994</v>
      </c>
      <c r="B1995">
        <v>0</v>
      </c>
      <c r="C1995" s="9">
        <v>54098</v>
      </c>
      <c r="D1995">
        <v>739</v>
      </c>
      <c r="E1995" s="1">
        <v>411027</v>
      </c>
      <c r="F1995">
        <v>19</v>
      </c>
      <c r="G1995">
        <v>5857.13</v>
      </c>
      <c r="H1995">
        <v>16</v>
      </c>
      <c r="I1995">
        <v>12</v>
      </c>
      <c r="J1995">
        <v>184015</v>
      </c>
      <c r="K1995">
        <v>479864</v>
      </c>
      <c r="L1995" t="s">
        <v>37</v>
      </c>
      <c r="M1995" t="s">
        <v>2031</v>
      </c>
      <c r="N1995" t="s">
        <v>26</v>
      </c>
      <c r="O1995" t="s">
        <v>34</v>
      </c>
      <c r="P1995" t="s">
        <v>22</v>
      </c>
      <c r="Q1995" t="s">
        <v>23</v>
      </c>
      <c r="R1995" t="b">
        <f>OR(Таблица1[[#This Row],[Ежемесячный платеж]]&lt;$AC$5, Таблица1[[#This Row],[Ежемесячный платеж]]&gt;$AC$6)</f>
        <v>0</v>
      </c>
      <c r="S1995" s="9">
        <f>(Таблица1[[#This Row],[Размер кредита]]-21824)/(789096-21824)</f>
        <v>4.2063310012616123E-2</v>
      </c>
      <c r="T1995" s="9">
        <f>(Таблица1[[#This Row],[Кредитный рейтинг]]-586)/(751-586)</f>
        <v>0.92727272727272725</v>
      </c>
      <c r="U1995" s="9">
        <f>Таблица1[[#This Row],[Ежемесячный платеж]]/(Таблица1[[#This Row],[Годовой доход]]/12)</f>
        <v>0.17099986132297879</v>
      </c>
    </row>
    <row r="1996" spans="1:21" x14ac:dyDescent="0.3">
      <c r="A1996">
        <v>1995</v>
      </c>
      <c r="B1996">
        <v>0</v>
      </c>
      <c r="C1996" s="9">
        <v>49038</v>
      </c>
      <c r="D1996">
        <v>716</v>
      </c>
      <c r="E1996" s="1">
        <v>577467</v>
      </c>
      <c r="F1996">
        <v>0</v>
      </c>
      <c r="G1996">
        <v>7795.89</v>
      </c>
      <c r="H1996">
        <v>8.6</v>
      </c>
      <c r="I1996">
        <v>7</v>
      </c>
      <c r="J1996">
        <v>47652</v>
      </c>
      <c r="K1996">
        <v>77066</v>
      </c>
      <c r="L1996" t="s">
        <v>41</v>
      </c>
      <c r="M1996" t="s">
        <v>2032</v>
      </c>
      <c r="N1996" t="s">
        <v>26</v>
      </c>
      <c r="O1996" t="s">
        <v>34</v>
      </c>
      <c r="P1996" t="s">
        <v>22</v>
      </c>
      <c r="Q1996" t="s">
        <v>23</v>
      </c>
      <c r="R1996" t="b">
        <f>OR(Таблица1[[#This Row],[Ежемесячный платеж]]&lt;$AC$5, Таблица1[[#This Row],[Ежемесячный платеж]]&gt;$AC$6)</f>
        <v>0</v>
      </c>
      <c r="S1996" s="9">
        <f>(Таблица1[[#This Row],[Размер кредита]]-21824)/(789096-21824)</f>
        <v>3.5468517031769696E-2</v>
      </c>
      <c r="T1996" s="9">
        <f>(Таблица1[[#This Row],[Кредитный рейтинг]]-586)/(751-586)</f>
        <v>0.78787878787878785</v>
      </c>
      <c r="U1996" s="9">
        <f>Таблица1[[#This Row],[Ежемесячный платеж]]/(Таблица1[[#This Row],[Годовой доход]]/12)</f>
        <v>0.16200177672490376</v>
      </c>
    </row>
    <row r="1997" spans="1:21" x14ac:dyDescent="0.3">
      <c r="A1997">
        <v>1996</v>
      </c>
      <c r="B1997">
        <v>0</v>
      </c>
      <c r="C1997" s="9">
        <v>553080</v>
      </c>
      <c r="D1997">
        <v>740</v>
      </c>
      <c r="E1997" s="1">
        <v>1910640</v>
      </c>
      <c r="F1997">
        <v>28</v>
      </c>
      <c r="G1997">
        <v>2499.64</v>
      </c>
      <c r="H1997">
        <v>26</v>
      </c>
      <c r="I1997">
        <v>9</v>
      </c>
      <c r="J1997">
        <v>323</v>
      </c>
      <c r="K1997">
        <v>376090</v>
      </c>
      <c r="L1997" t="s">
        <v>63</v>
      </c>
      <c r="M1997" t="s">
        <v>2033</v>
      </c>
      <c r="N1997" t="s">
        <v>71</v>
      </c>
      <c r="O1997" t="s">
        <v>34</v>
      </c>
      <c r="P1997" t="s">
        <v>22</v>
      </c>
      <c r="Q1997" t="s">
        <v>36</v>
      </c>
      <c r="R1997" t="b">
        <f>OR(Таблица1[[#This Row],[Ежемесячный платеж]]&lt;$AC$5, Таблица1[[#This Row],[Ежемесячный платеж]]&gt;$AC$6)</f>
        <v>0</v>
      </c>
      <c r="S1997" s="9">
        <f>(Таблица1[[#This Row],[Размер кредита]]-21824)/(789096-21824)</f>
        <v>0.69239591696295444</v>
      </c>
      <c r="T1997" s="9">
        <f>(Таблица1[[#This Row],[Кредитный рейтинг]]-586)/(751-586)</f>
        <v>0.93333333333333335</v>
      </c>
      <c r="U1997" s="9">
        <f>Таблица1[[#This Row],[Ежемесячный платеж]]/(Таблица1[[#This Row],[Годовой доход]]/12)</f>
        <v>1.5699284009546538E-2</v>
      </c>
    </row>
    <row r="1998" spans="1:21" x14ac:dyDescent="0.3">
      <c r="A1998">
        <v>1997</v>
      </c>
      <c r="B1998">
        <v>1</v>
      </c>
      <c r="C1998" s="9">
        <v>321750</v>
      </c>
      <c r="D1998">
        <f>$Y$13</f>
        <v>723</v>
      </c>
      <c r="E1998">
        <f>$AB$13</f>
        <v>1168044</v>
      </c>
      <c r="F1998">
        <v>0</v>
      </c>
      <c r="G1998">
        <v>3002.19</v>
      </c>
      <c r="H1998">
        <v>19</v>
      </c>
      <c r="I1998">
        <v>4</v>
      </c>
      <c r="J1998">
        <v>66063</v>
      </c>
      <c r="K1998">
        <v>173844</v>
      </c>
      <c r="L1998" t="s">
        <v>69</v>
      </c>
      <c r="M1998" t="s">
        <v>2034</v>
      </c>
      <c r="N1998" t="s">
        <v>26</v>
      </c>
      <c r="O1998" t="s">
        <v>34</v>
      </c>
      <c r="P1998" t="s">
        <v>22</v>
      </c>
      <c r="Q1998" t="s">
        <v>23</v>
      </c>
      <c r="R1998" t="b">
        <f>OR(Таблица1[[#This Row],[Ежемесячный платеж]]&lt;$AC$5, Таблица1[[#This Row],[Ежемесячный платеж]]&gt;$AC$6)</f>
        <v>0</v>
      </c>
      <c r="S1998" s="9">
        <f>(Таблица1[[#This Row],[Размер кредита]]-21824)/(789096-21824)</f>
        <v>0.39089918568643195</v>
      </c>
      <c r="T1998" s="9">
        <f>(Таблица1[[#This Row],[Кредитный рейтинг]]-586)/(751-586)</f>
        <v>0.83030303030303032</v>
      </c>
      <c r="U1998" s="9">
        <f>Таблица1[[#This Row],[Ежемесячный платеж]]/(Таблица1[[#This Row],[Годовой доход]]/12)</f>
        <v>3.0843255904743315E-2</v>
      </c>
    </row>
    <row r="1999" spans="1:21" x14ac:dyDescent="0.3">
      <c r="A1999">
        <v>1998</v>
      </c>
      <c r="B1999">
        <v>2</v>
      </c>
      <c r="C1999" s="9">
        <v>178860</v>
      </c>
      <c r="D1999">
        <v>681</v>
      </c>
      <c r="E1999" s="1">
        <v>714457</v>
      </c>
      <c r="F1999">
        <v>49</v>
      </c>
      <c r="G1999">
        <v>11371.88</v>
      </c>
      <c r="H1999">
        <v>14.2</v>
      </c>
      <c r="I1999">
        <v>8</v>
      </c>
      <c r="J1999">
        <v>57570</v>
      </c>
      <c r="K1999">
        <v>270952</v>
      </c>
      <c r="L1999" t="s">
        <v>24</v>
      </c>
      <c r="M1999" t="s">
        <v>2035</v>
      </c>
      <c r="N1999" t="s">
        <v>20</v>
      </c>
      <c r="O1999" t="s">
        <v>21</v>
      </c>
      <c r="P1999" t="s">
        <v>22</v>
      </c>
      <c r="Q1999" t="s">
        <v>23</v>
      </c>
      <c r="R1999" t="b">
        <f>OR(Таблица1[[#This Row],[Ежемесячный платеж]]&lt;$AC$5, Таблица1[[#This Row],[Ежемесячный платеж]]&gt;$AC$6)</f>
        <v>0</v>
      </c>
      <c r="S1999" s="9">
        <f>(Таблица1[[#This Row],[Размер кредита]]-21824)/(789096-21824)</f>
        <v>0.20466796650992086</v>
      </c>
      <c r="T1999" s="9">
        <f>(Таблица1[[#This Row],[Кредитный рейтинг]]-586)/(751-586)</f>
        <v>0.5757575757575758</v>
      </c>
      <c r="U1999" s="9">
        <f>Таблица1[[#This Row],[Ежемесячный платеж]]/(Таблица1[[#This Row],[Годовой доход]]/12)</f>
        <v>0.19100178177273089</v>
      </c>
    </row>
    <row r="2000" spans="1:21" x14ac:dyDescent="0.3">
      <c r="A2000">
        <v>1999</v>
      </c>
      <c r="B2000">
        <v>0</v>
      </c>
      <c r="C2000" s="9">
        <v>573936</v>
      </c>
      <c r="D2000">
        <v>723</v>
      </c>
      <c r="E2000" s="1">
        <v>2001783</v>
      </c>
      <c r="F2000">
        <v>0</v>
      </c>
      <c r="G2000">
        <v>39868.839999999997</v>
      </c>
      <c r="H2000">
        <v>21.6</v>
      </c>
      <c r="I2000">
        <v>14</v>
      </c>
      <c r="J2000">
        <v>305653</v>
      </c>
      <c r="K2000">
        <v>941226</v>
      </c>
      <c r="L2000" t="s">
        <v>37</v>
      </c>
      <c r="M2000" t="s">
        <v>2036</v>
      </c>
      <c r="N2000" t="s">
        <v>26</v>
      </c>
      <c r="O2000" t="s">
        <v>34</v>
      </c>
      <c r="P2000" t="s">
        <v>31</v>
      </c>
      <c r="Q2000" t="s">
        <v>23</v>
      </c>
      <c r="R2000" t="b">
        <f>OR(Таблица1[[#This Row],[Ежемесячный платеж]]&lt;$AC$5, Таблица1[[#This Row],[Ежемесячный платеж]]&gt;$AC$6)</f>
        <v>0</v>
      </c>
      <c r="S2000" s="9">
        <f>(Таблица1[[#This Row],[Размер кредита]]-21824)/(789096-21824)</f>
        <v>0.71957793324922581</v>
      </c>
      <c r="T2000" s="9">
        <f>(Таблица1[[#This Row],[Кредитный рейтинг]]-586)/(751-586)</f>
        <v>0.83030303030303032</v>
      </c>
      <c r="U2000" s="9">
        <f>Таблица1[[#This Row],[Ежемесячный платеж]]/(Таблица1[[#This Row],[Годовой доход]]/12)</f>
        <v>0.2389999715253851</v>
      </c>
    </row>
    <row r="2001" spans="1:21" x14ac:dyDescent="0.3">
      <c r="A2001">
        <v>2000</v>
      </c>
      <c r="B2001">
        <v>0</v>
      </c>
      <c r="C2001" s="9">
        <v>405284</v>
      </c>
      <c r="D2001">
        <v>724</v>
      </c>
      <c r="E2001" s="1">
        <v>849110</v>
      </c>
      <c r="F2001">
        <v>73</v>
      </c>
      <c r="G2001">
        <v>14364</v>
      </c>
      <c r="H2001">
        <v>15.2</v>
      </c>
      <c r="I2001">
        <v>15</v>
      </c>
      <c r="J2001">
        <v>151411</v>
      </c>
      <c r="K2001">
        <v>277376</v>
      </c>
      <c r="L2001" t="s">
        <v>63</v>
      </c>
      <c r="M2001" t="s">
        <v>2037</v>
      </c>
      <c r="N2001" t="s">
        <v>26</v>
      </c>
      <c r="O2001" t="s">
        <v>21</v>
      </c>
      <c r="P2001" t="s">
        <v>31</v>
      </c>
      <c r="Q2001" t="s">
        <v>23</v>
      </c>
      <c r="R2001" t="b">
        <f>OR(Таблица1[[#This Row],[Ежемесячный платеж]]&lt;$AC$5, Таблица1[[#This Row],[Ежемесячный платеж]]&gt;$AC$6)</f>
        <v>0</v>
      </c>
      <c r="S2001" s="9">
        <f>(Таблица1[[#This Row],[Размер кредита]]-21824)/(789096-21824)</f>
        <v>0.49977061589631838</v>
      </c>
      <c r="T2001" s="9">
        <f>(Таблица1[[#This Row],[Кредитный рейтинг]]-586)/(751-586)</f>
        <v>0.83636363636363631</v>
      </c>
      <c r="U2001" s="9">
        <f>Таблица1[[#This Row],[Ежемесячный платеж]]/(Таблица1[[#This Row],[Годовой доход]]/12)</f>
        <v>0.20299843365406131</v>
      </c>
    </row>
  </sheetData>
  <phoneticPr fontId="19" type="noConversion"/>
  <pageMargins left="0.7" right="0.7" top="0.75" bottom="0.75" header="0.3" footer="0.3"/>
  <pageSetup paperSize="9" orientation="portrait" r:id="rId3"/>
  <drawing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Описательная статистика</vt:lpstr>
      <vt:lpstr>Кредиты_2000_0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Бедак</dc:creator>
  <cp:lastModifiedBy>Иван Бедак</cp:lastModifiedBy>
  <dcterms:created xsi:type="dcterms:W3CDTF">2021-09-29T12:38:57Z</dcterms:created>
  <dcterms:modified xsi:type="dcterms:W3CDTF">2021-09-29T13:58:05Z</dcterms:modified>
</cp:coreProperties>
</file>