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c\project\NIP_ISD_Store1\IRSB\IISSB Projects\Clinical Decision Support (CDSi)\Publication\Supporting Data\Version 2.2\Excel\"/>
    </mc:Choice>
  </mc:AlternateContent>
  <bookViews>
    <workbookView xWindow="0" yWindow="0" windowWidth="25035" windowHeight="8070"/>
  </bookViews>
  <sheets>
    <sheet name="Antigen Series Overview" sheetId="1" r:id="rId1"/>
    <sheet name="Change History" sheetId="8" r:id="rId2"/>
    <sheet name="Immunity" sheetId="10" r:id="rId3"/>
    <sheet name="HepB 3-Dose Primary Series" sheetId="2" r:id="rId4"/>
    <sheet name="DV-IDENTITY-0" sheetId="3" state="hidden" r:id="rId5"/>
    <sheet name="HepB 4-Dose Series" sheetId="4" r:id="rId6"/>
    <sheet name="HepB 2-Dose Adolescent Series" sheetId="6" r:id="rId7"/>
    <sheet name="Twinrix 3-Dose Series" sheetId="7" r:id="rId8"/>
    <sheet name="Twinrix 4 Dose Series " sheetId="12" r:id="rId9"/>
  </sheets>
  <calcPr calcId="152511"/>
</workbook>
</file>

<file path=xl/calcChain.xml><?xml version="1.0" encoding="utf-8"?>
<calcChain xmlns="http://schemas.openxmlformats.org/spreadsheetml/2006/main">
  <c r="EL16" i="3" l="1"/>
  <c r="EK16" i="3"/>
  <c r="EJ16" i="3"/>
  <c r="EI16" i="3"/>
  <c r="EH16" i="3"/>
  <c r="EG16" i="3"/>
  <c r="EF16" i="3"/>
  <c r="EE16" i="3"/>
  <c r="ED16" i="3"/>
  <c r="EB16" i="3"/>
  <c r="EA16" i="3"/>
  <c r="DZ16" i="3"/>
  <c r="DY16" i="3"/>
  <c r="DX16" i="3"/>
  <c r="DW16" i="3"/>
  <c r="DV16" i="3"/>
  <c r="DU16" i="3"/>
  <c r="DT16" i="3"/>
  <c r="DR16" i="3"/>
  <c r="DQ16" i="3"/>
  <c r="DP16" i="3"/>
  <c r="DO16" i="3"/>
  <c r="DN16" i="3"/>
  <c r="DM16" i="3"/>
  <c r="DL16" i="3"/>
  <c r="DK16" i="3"/>
  <c r="DJ16" i="3"/>
  <c r="DH16" i="3"/>
  <c r="DG16" i="3"/>
  <c r="DF16" i="3"/>
  <c r="DE16" i="3"/>
  <c r="DD16" i="3"/>
  <c r="DC16" i="3"/>
  <c r="DB16" i="3"/>
  <c r="DA16" i="3"/>
  <c r="CZ16" i="3"/>
  <c r="CX16" i="3"/>
  <c r="CW16" i="3"/>
  <c r="CV16" i="3"/>
  <c r="CU16" i="3"/>
  <c r="CT16" i="3"/>
  <c r="CS16" i="3"/>
  <c r="CR16" i="3"/>
  <c r="CQ16" i="3"/>
  <c r="CP16" i="3"/>
  <c r="CN16" i="3"/>
  <c r="CM16" i="3"/>
  <c r="CL16" i="3"/>
  <c r="CK16" i="3"/>
  <c r="CJ16" i="3"/>
  <c r="CI16" i="3"/>
  <c r="CH16" i="3"/>
  <c r="CG16" i="3"/>
  <c r="CF16" i="3"/>
  <c r="CD16" i="3"/>
  <c r="CC16" i="3"/>
  <c r="CB16" i="3"/>
  <c r="CA16" i="3"/>
  <c r="BZ16" i="3"/>
  <c r="BY16" i="3"/>
  <c r="BX16" i="3"/>
  <c r="BW16" i="3"/>
  <c r="BV16" i="3"/>
  <c r="BT16" i="3"/>
  <c r="BS16" i="3"/>
  <c r="BR16" i="3"/>
  <c r="BQ16" i="3"/>
  <c r="BP16" i="3"/>
  <c r="BO16" i="3"/>
  <c r="BN16" i="3"/>
  <c r="BM16" i="3"/>
  <c r="BL16" i="3"/>
  <c r="BJ16" i="3"/>
  <c r="BI16" i="3"/>
  <c r="BH16" i="3"/>
  <c r="BG16" i="3"/>
  <c r="BF16" i="3"/>
  <c r="BE16" i="3"/>
  <c r="BD16" i="3"/>
  <c r="BC16" i="3"/>
  <c r="BB16" i="3"/>
  <c r="AZ16" i="3"/>
  <c r="AY16" i="3"/>
  <c r="AX16" i="3"/>
  <c r="AW16" i="3"/>
  <c r="AV16" i="3"/>
  <c r="AU16" i="3"/>
  <c r="AT16" i="3"/>
  <c r="AS16" i="3"/>
  <c r="AR16" i="3"/>
  <c r="AP16" i="3"/>
  <c r="AO16" i="3"/>
  <c r="AN16" i="3"/>
  <c r="AM16" i="3"/>
  <c r="AL16" i="3"/>
  <c r="AK16" i="3"/>
  <c r="AJ16" i="3"/>
  <c r="AI16" i="3"/>
  <c r="AH16" i="3"/>
  <c r="AF16" i="3"/>
  <c r="AE16" i="3"/>
  <c r="AD16" i="3"/>
  <c r="AC16" i="3"/>
  <c r="AB16" i="3"/>
  <c r="AA16" i="3"/>
  <c r="Z16" i="3"/>
  <c r="Y16" i="3"/>
  <c r="X16" i="3"/>
  <c r="V16" i="3"/>
  <c r="U16" i="3"/>
  <c r="T16" i="3"/>
  <c r="S16" i="3"/>
  <c r="R16" i="3"/>
  <c r="Q16" i="3"/>
  <c r="P16" i="3"/>
  <c r="O16" i="3"/>
  <c r="N16" i="3"/>
  <c r="L16" i="3"/>
  <c r="K16" i="3"/>
  <c r="J16" i="3"/>
  <c r="I16" i="3"/>
  <c r="H16" i="3"/>
  <c r="G16" i="3"/>
  <c r="F16" i="3"/>
  <c r="E16" i="3"/>
  <c r="D16" i="3"/>
  <c r="B16" i="3"/>
  <c r="A16" i="3"/>
  <c r="IV15" i="3"/>
  <c r="IU15" i="3"/>
  <c r="IT15" i="3"/>
  <c r="IS15" i="3"/>
  <c r="IR15" i="3"/>
  <c r="IQ15" i="3"/>
  <c r="IP15" i="3"/>
  <c r="IN15" i="3"/>
  <c r="IM15" i="3"/>
  <c r="IL15" i="3"/>
  <c r="IK15" i="3"/>
  <c r="IJ15" i="3"/>
  <c r="II15" i="3"/>
  <c r="IH15" i="3"/>
  <c r="IG15" i="3"/>
  <c r="IF15" i="3"/>
  <c r="ID15" i="3"/>
  <c r="IC15" i="3"/>
  <c r="IB15" i="3"/>
  <c r="IA15" i="3"/>
  <c r="HZ15" i="3"/>
  <c r="HY15" i="3"/>
  <c r="HX15" i="3"/>
  <c r="HW15" i="3"/>
  <c r="HV15" i="3"/>
  <c r="HT15" i="3"/>
  <c r="HS15" i="3"/>
  <c r="HR15" i="3"/>
  <c r="HQ15" i="3"/>
  <c r="HP15" i="3"/>
  <c r="HO15" i="3"/>
  <c r="HN15" i="3"/>
  <c r="HM15" i="3"/>
  <c r="HL15" i="3"/>
  <c r="HJ15" i="3"/>
  <c r="HI15" i="3"/>
  <c r="HH15" i="3"/>
  <c r="HG15" i="3"/>
  <c r="HF15" i="3"/>
  <c r="HE15" i="3"/>
  <c r="HD15" i="3"/>
  <c r="HC15" i="3"/>
  <c r="HB15" i="3"/>
  <c r="GZ15" i="3"/>
  <c r="GY15" i="3"/>
  <c r="GX15" i="3"/>
  <c r="GW15" i="3"/>
  <c r="GV15" i="3"/>
  <c r="GU15" i="3"/>
  <c r="GT15" i="3"/>
  <c r="GS15" i="3"/>
  <c r="GR15" i="3"/>
  <c r="GP15" i="3"/>
  <c r="GO15" i="3"/>
  <c r="GN15" i="3"/>
  <c r="GM15" i="3"/>
  <c r="GL15" i="3"/>
  <c r="GK15" i="3"/>
  <c r="GJ15" i="3"/>
  <c r="GI15" i="3"/>
  <c r="GH15" i="3"/>
  <c r="GF15" i="3"/>
  <c r="GE15" i="3"/>
  <c r="GD15" i="3"/>
  <c r="GC15" i="3"/>
  <c r="GB15" i="3"/>
  <c r="GA15" i="3"/>
  <c r="FZ15" i="3"/>
  <c r="FY15" i="3"/>
  <c r="FX15" i="3"/>
  <c r="FV15" i="3"/>
  <c r="FU15" i="3"/>
  <c r="FT15" i="3"/>
  <c r="FS15" i="3"/>
  <c r="FR15" i="3"/>
  <c r="FQ15" i="3"/>
  <c r="FP15" i="3"/>
  <c r="FO15" i="3"/>
  <c r="FN15" i="3"/>
  <c r="FL15" i="3"/>
  <c r="FK15" i="3"/>
  <c r="FJ15" i="3"/>
  <c r="FI15" i="3"/>
  <c r="FH15" i="3"/>
  <c r="FG15" i="3"/>
  <c r="FF15" i="3"/>
  <c r="FE15" i="3"/>
  <c r="FD15" i="3"/>
  <c r="FB15" i="3"/>
  <c r="FA15" i="3"/>
  <c r="EZ15" i="3"/>
  <c r="EY15" i="3"/>
  <c r="EX15" i="3"/>
  <c r="EW15" i="3"/>
  <c r="EV15" i="3"/>
  <c r="EU15" i="3"/>
  <c r="ET15" i="3"/>
  <c r="ER15" i="3"/>
  <c r="EQ15" i="3"/>
  <c r="EP15" i="3"/>
  <c r="EO15" i="3"/>
  <c r="EN15" i="3"/>
  <c r="EM15" i="3"/>
  <c r="EL15" i="3"/>
  <c r="EK15" i="3"/>
  <c r="EJ15" i="3"/>
  <c r="EH15" i="3"/>
  <c r="EG15" i="3"/>
  <c r="EF15" i="3"/>
  <c r="EE15" i="3"/>
  <c r="ED15" i="3"/>
  <c r="EC15" i="3"/>
  <c r="EB15" i="3"/>
  <c r="EA15" i="3"/>
  <c r="DZ15" i="3"/>
  <c r="DX15" i="3"/>
  <c r="DW15" i="3"/>
  <c r="DV15" i="3"/>
  <c r="DU15" i="3"/>
  <c r="DT15" i="3"/>
  <c r="DS15" i="3"/>
  <c r="DR15" i="3"/>
  <c r="DQ15" i="3"/>
  <c r="DP15" i="3"/>
  <c r="DN15" i="3"/>
  <c r="DM15" i="3"/>
  <c r="DL15" i="3"/>
  <c r="DK15" i="3"/>
  <c r="DJ15" i="3"/>
  <c r="DI15" i="3"/>
  <c r="DH15" i="3"/>
  <c r="DG15" i="3"/>
  <c r="DF15" i="3"/>
  <c r="DD15" i="3"/>
  <c r="DC15" i="3"/>
  <c r="DB15" i="3"/>
  <c r="DA15" i="3"/>
  <c r="CZ15" i="3"/>
  <c r="CY15" i="3"/>
  <c r="CX15" i="3"/>
  <c r="CW15" i="3"/>
  <c r="CV15" i="3"/>
  <c r="CT15" i="3"/>
  <c r="CS15" i="3"/>
  <c r="CR15" i="3"/>
  <c r="CQ15" i="3"/>
  <c r="CP15" i="3"/>
  <c r="CO15" i="3"/>
  <c r="CN15" i="3"/>
  <c r="CM15" i="3"/>
  <c r="CL15" i="3"/>
  <c r="CJ15" i="3"/>
  <c r="CI15" i="3"/>
  <c r="CH15" i="3"/>
  <c r="CG15" i="3"/>
  <c r="CF15" i="3"/>
  <c r="CE15" i="3"/>
  <c r="CD15" i="3"/>
  <c r="CC15" i="3"/>
  <c r="CB15" i="3"/>
  <c r="BZ15" i="3"/>
  <c r="BY15" i="3"/>
  <c r="BX15" i="3"/>
  <c r="BW15" i="3"/>
  <c r="BV15" i="3"/>
  <c r="BU15" i="3"/>
  <c r="BT15" i="3"/>
  <c r="BS15" i="3"/>
  <c r="BR15" i="3"/>
  <c r="BP15" i="3"/>
  <c r="BO15" i="3"/>
  <c r="BN15" i="3"/>
  <c r="BM15" i="3"/>
  <c r="BL15" i="3"/>
  <c r="BK15" i="3"/>
  <c r="BJ15" i="3"/>
  <c r="BI15" i="3"/>
  <c r="BH15" i="3"/>
  <c r="BF15" i="3"/>
  <c r="BE15" i="3"/>
  <c r="BD15" i="3"/>
  <c r="BC15" i="3"/>
  <c r="BB15" i="3"/>
  <c r="BA15" i="3"/>
  <c r="AZ15" i="3"/>
  <c r="AY15" i="3"/>
  <c r="AX15" i="3"/>
  <c r="AV15" i="3"/>
  <c r="AU15" i="3"/>
  <c r="AT15" i="3"/>
  <c r="AS15" i="3"/>
  <c r="AR15" i="3"/>
  <c r="AQ15" i="3"/>
  <c r="AP15" i="3"/>
  <c r="AO15" i="3"/>
  <c r="AN15" i="3"/>
  <c r="AL15" i="3"/>
  <c r="AK15" i="3"/>
  <c r="AJ15" i="3"/>
  <c r="AI15" i="3"/>
  <c r="AH15" i="3"/>
  <c r="AG15" i="3"/>
  <c r="AF15" i="3"/>
  <c r="AE15" i="3"/>
  <c r="AD15" i="3"/>
  <c r="AB15" i="3"/>
  <c r="AA15" i="3"/>
  <c r="Z15" i="3"/>
  <c r="Y15" i="3"/>
  <c r="X15" i="3"/>
  <c r="W15" i="3"/>
  <c r="V15" i="3"/>
  <c r="U15" i="3"/>
  <c r="T15" i="3"/>
  <c r="R15" i="3"/>
  <c r="Q15" i="3"/>
  <c r="P15" i="3"/>
  <c r="O15" i="3"/>
  <c r="N15" i="3"/>
  <c r="M15" i="3"/>
  <c r="L15" i="3"/>
  <c r="K15" i="3"/>
  <c r="J15" i="3"/>
  <c r="H15" i="3"/>
  <c r="G15" i="3"/>
  <c r="F15" i="3"/>
  <c r="E15" i="3"/>
  <c r="D15" i="3"/>
  <c r="C15" i="3"/>
  <c r="B15" i="3"/>
  <c r="A15" i="3"/>
  <c r="IV14" i="3"/>
  <c r="IT14" i="3"/>
  <c r="IS14" i="3"/>
  <c r="IR14" i="3"/>
  <c r="IQ14" i="3"/>
  <c r="IP14" i="3"/>
  <c r="IO14" i="3"/>
  <c r="IN14" i="3"/>
  <c r="IM14" i="3"/>
  <c r="IL14" i="3"/>
  <c r="IJ14" i="3"/>
  <c r="II14" i="3"/>
  <c r="IH14" i="3"/>
  <c r="IG14" i="3"/>
  <c r="IF14" i="3"/>
  <c r="IE14" i="3"/>
  <c r="ID14" i="3"/>
  <c r="IC14" i="3"/>
  <c r="IB14" i="3"/>
  <c r="HZ14" i="3"/>
  <c r="HY14" i="3"/>
  <c r="HX14" i="3"/>
  <c r="HW14" i="3"/>
  <c r="HV14" i="3"/>
  <c r="HU14" i="3"/>
  <c r="HT14" i="3"/>
  <c r="HS14" i="3"/>
  <c r="HR14" i="3"/>
  <c r="HP14" i="3"/>
  <c r="HO14" i="3"/>
  <c r="HN14" i="3"/>
  <c r="HM14" i="3"/>
  <c r="HL14" i="3"/>
  <c r="HK14" i="3"/>
  <c r="HJ14" i="3"/>
  <c r="HI14" i="3"/>
  <c r="HH14" i="3"/>
  <c r="HF14" i="3"/>
  <c r="HE14" i="3"/>
  <c r="HD14" i="3"/>
  <c r="HC14" i="3"/>
  <c r="HB14" i="3"/>
  <c r="HA14" i="3"/>
  <c r="GZ14" i="3"/>
  <c r="GY14" i="3"/>
  <c r="GX14" i="3"/>
  <c r="GV14" i="3"/>
  <c r="GU14" i="3"/>
  <c r="GT14" i="3"/>
  <c r="GS14" i="3"/>
  <c r="GR14" i="3"/>
  <c r="GQ14" i="3"/>
  <c r="GP14" i="3"/>
  <c r="GO14" i="3"/>
  <c r="GN14" i="3"/>
  <c r="GL14" i="3"/>
  <c r="GK14" i="3"/>
  <c r="GJ14" i="3"/>
  <c r="GI14" i="3"/>
  <c r="GH14" i="3"/>
  <c r="GG14" i="3"/>
  <c r="GF14" i="3"/>
  <c r="GE14" i="3"/>
  <c r="GD14" i="3"/>
  <c r="GB14" i="3"/>
  <c r="GA14" i="3"/>
  <c r="FZ14" i="3"/>
  <c r="FY14" i="3"/>
  <c r="FX14" i="3"/>
  <c r="FW14" i="3"/>
  <c r="FV14" i="3"/>
  <c r="FU14" i="3"/>
  <c r="FT14" i="3"/>
  <c r="FR14" i="3"/>
  <c r="FQ14" i="3"/>
  <c r="FP14" i="3"/>
  <c r="FO14" i="3"/>
  <c r="FN14" i="3"/>
  <c r="FM14" i="3"/>
  <c r="FL14" i="3"/>
  <c r="FK14" i="3"/>
  <c r="FJ14" i="3"/>
  <c r="FH14" i="3"/>
  <c r="FG14" i="3"/>
  <c r="FF14" i="3"/>
  <c r="FE14" i="3"/>
  <c r="FD14" i="3"/>
  <c r="FC14" i="3"/>
  <c r="FB14" i="3"/>
  <c r="FA14" i="3"/>
  <c r="EZ14" i="3"/>
  <c r="EX14" i="3"/>
  <c r="EW14" i="3"/>
  <c r="EV14" i="3"/>
  <c r="EU14" i="3"/>
  <c r="ET14" i="3"/>
  <c r="ES14" i="3"/>
  <c r="ER14" i="3"/>
  <c r="EQ14" i="3"/>
  <c r="EP14" i="3"/>
  <c r="EN14" i="3"/>
  <c r="EM14" i="3"/>
  <c r="EL14" i="3"/>
  <c r="EK14" i="3"/>
  <c r="EJ14" i="3"/>
  <c r="EI14" i="3"/>
  <c r="EH14" i="3"/>
  <c r="EG14" i="3"/>
  <c r="EF14" i="3"/>
  <c r="ED14" i="3"/>
  <c r="EC14" i="3"/>
  <c r="EB14" i="3"/>
  <c r="EA14" i="3"/>
  <c r="DZ14" i="3"/>
  <c r="DY14" i="3"/>
  <c r="DX14" i="3"/>
  <c r="DW14" i="3"/>
  <c r="DV14" i="3"/>
  <c r="DT14" i="3"/>
  <c r="DS14" i="3"/>
  <c r="DR14" i="3"/>
  <c r="DQ14" i="3"/>
  <c r="DP14" i="3"/>
  <c r="DO14" i="3"/>
  <c r="DN14" i="3"/>
  <c r="DM14" i="3"/>
  <c r="DL14" i="3"/>
  <c r="DJ14" i="3"/>
  <c r="DI14" i="3"/>
  <c r="DH14" i="3"/>
  <c r="DG14" i="3"/>
  <c r="DF14" i="3"/>
  <c r="DE14" i="3"/>
  <c r="DD14" i="3"/>
  <c r="DC14" i="3"/>
  <c r="DB14" i="3"/>
  <c r="CZ14" i="3"/>
  <c r="CY14" i="3"/>
  <c r="CX14" i="3"/>
  <c r="CW14" i="3"/>
  <c r="CV14" i="3"/>
  <c r="CU14" i="3"/>
  <c r="CT14" i="3"/>
  <c r="CS14" i="3"/>
  <c r="CR14" i="3"/>
  <c r="CP14" i="3"/>
  <c r="CO14" i="3"/>
  <c r="CN14" i="3"/>
  <c r="CM14" i="3"/>
  <c r="CL14" i="3"/>
  <c r="CK14" i="3"/>
  <c r="CJ14" i="3"/>
  <c r="CI14" i="3"/>
  <c r="CH14" i="3"/>
  <c r="CF14" i="3"/>
  <c r="CE14" i="3"/>
  <c r="CD14" i="3"/>
  <c r="CC14" i="3"/>
  <c r="CB14" i="3"/>
  <c r="CA14" i="3"/>
  <c r="BZ14" i="3"/>
  <c r="BY14" i="3"/>
  <c r="BX14" i="3"/>
  <c r="BV14" i="3"/>
  <c r="BU14" i="3"/>
  <c r="BT14" i="3"/>
  <c r="BS14" i="3"/>
  <c r="BR14" i="3"/>
  <c r="BQ14" i="3"/>
  <c r="BP14" i="3"/>
  <c r="BO14" i="3"/>
  <c r="BN14" i="3"/>
  <c r="BL14" i="3"/>
  <c r="BK14" i="3"/>
  <c r="BJ14" i="3"/>
  <c r="BI14" i="3"/>
  <c r="BH14" i="3"/>
  <c r="BG14" i="3"/>
  <c r="BF14" i="3"/>
  <c r="BE14" i="3"/>
  <c r="BD14" i="3"/>
  <c r="BB14" i="3"/>
  <c r="BA14" i="3"/>
  <c r="AZ14" i="3"/>
  <c r="AY14" i="3"/>
  <c r="AX14" i="3"/>
  <c r="AW14" i="3"/>
  <c r="AV14" i="3"/>
  <c r="AU14" i="3"/>
  <c r="AT14" i="3"/>
  <c r="AR14" i="3"/>
  <c r="AQ14" i="3"/>
  <c r="AP14" i="3"/>
  <c r="AO14" i="3"/>
  <c r="AN14" i="3"/>
  <c r="AM14" i="3"/>
  <c r="AL14" i="3"/>
  <c r="AK14" i="3"/>
  <c r="AJ14" i="3"/>
  <c r="AH14" i="3"/>
  <c r="AG14" i="3"/>
  <c r="AF14" i="3"/>
  <c r="AE14" i="3"/>
  <c r="AD14" i="3"/>
  <c r="AC14" i="3"/>
  <c r="AB14" i="3"/>
  <c r="AA14" i="3"/>
  <c r="Z14" i="3"/>
  <c r="X14" i="3"/>
  <c r="W14" i="3"/>
  <c r="V14" i="3"/>
  <c r="U14" i="3"/>
  <c r="T14" i="3"/>
  <c r="S14" i="3"/>
  <c r="R14" i="3"/>
  <c r="Q14" i="3"/>
  <c r="P14" i="3"/>
  <c r="N14" i="3"/>
  <c r="M14" i="3"/>
  <c r="L14" i="3"/>
  <c r="K14" i="3"/>
  <c r="J14" i="3"/>
  <c r="I14" i="3"/>
  <c r="H14" i="3"/>
  <c r="G14" i="3"/>
  <c r="F14" i="3"/>
  <c r="D14" i="3"/>
  <c r="C14" i="3"/>
  <c r="B14" i="3"/>
  <c r="A14" i="3"/>
  <c r="IV13" i="3"/>
  <c r="IU13" i="3"/>
  <c r="IT13" i="3"/>
  <c r="IS13" i="3"/>
  <c r="IR13" i="3"/>
  <c r="IP13" i="3"/>
  <c r="IO13" i="3"/>
  <c r="IN13" i="3"/>
  <c r="IM13" i="3"/>
  <c r="IL13" i="3"/>
  <c r="IK13" i="3"/>
  <c r="IJ13" i="3"/>
  <c r="II13" i="3"/>
  <c r="IH13" i="3"/>
  <c r="IF13" i="3"/>
  <c r="IE13" i="3"/>
  <c r="ID13" i="3"/>
  <c r="IC13" i="3"/>
  <c r="IB13" i="3"/>
  <c r="IA13" i="3"/>
  <c r="HZ13" i="3"/>
  <c r="HY13" i="3"/>
  <c r="HX13" i="3"/>
  <c r="HV13" i="3"/>
  <c r="HU13" i="3"/>
  <c r="HT13" i="3"/>
  <c r="HS13" i="3"/>
  <c r="HR13" i="3"/>
  <c r="HQ13" i="3"/>
  <c r="HP13" i="3"/>
  <c r="HO13" i="3"/>
  <c r="HN13" i="3"/>
  <c r="HL13" i="3"/>
  <c r="HK13" i="3"/>
  <c r="HJ13" i="3"/>
  <c r="HI13" i="3"/>
  <c r="HH13" i="3"/>
  <c r="HG13" i="3"/>
  <c r="HF13" i="3"/>
  <c r="HE13" i="3"/>
  <c r="HD13" i="3"/>
  <c r="HB13" i="3"/>
  <c r="HA13" i="3"/>
  <c r="GZ13" i="3"/>
  <c r="GY13" i="3"/>
  <c r="GX13" i="3"/>
  <c r="GW13" i="3"/>
  <c r="GV13" i="3"/>
  <c r="GU13" i="3"/>
  <c r="GT13" i="3"/>
  <c r="GR13" i="3"/>
  <c r="GQ13" i="3"/>
  <c r="GP13" i="3"/>
  <c r="GO13" i="3"/>
  <c r="GN13" i="3"/>
  <c r="GM13" i="3"/>
  <c r="GL13" i="3"/>
  <c r="GK13" i="3"/>
  <c r="GJ13" i="3"/>
  <c r="GH13" i="3"/>
  <c r="GG13" i="3"/>
  <c r="GF13" i="3"/>
  <c r="GE13" i="3"/>
  <c r="GD13" i="3"/>
  <c r="GC13" i="3"/>
  <c r="GB13" i="3"/>
  <c r="GA13" i="3"/>
  <c r="FZ13" i="3"/>
  <c r="FX13" i="3"/>
  <c r="FW13" i="3"/>
  <c r="FV13" i="3"/>
  <c r="FU13" i="3"/>
  <c r="FT13" i="3"/>
  <c r="FS13" i="3"/>
  <c r="FR13" i="3"/>
  <c r="FQ13" i="3"/>
  <c r="FP13" i="3"/>
  <c r="FN13" i="3"/>
  <c r="FM13" i="3"/>
  <c r="FL13" i="3"/>
  <c r="FK13" i="3"/>
  <c r="FJ13" i="3"/>
  <c r="FI13" i="3"/>
  <c r="FH13" i="3"/>
  <c r="FG13" i="3"/>
  <c r="FF13" i="3"/>
  <c r="FD13" i="3"/>
  <c r="FC13" i="3"/>
  <c r="FB13" i="3"/>
  <c r="FA13" i="3"/>
  <c r="EZ13" i="3"/>
  <c r="EY13" i="3"/>
  <c r="EX13" i="3"/>
  <c r="EW13" i="3"/>
  <c r="EV13" i="3"/>
  <c r="ET13" i="3"/>
  <c r="ES13" i="3"/>
  <c r="ER13" i="3"/>
  <c r="EQ13" i="3"/>
  <c r="EP13" i="3"/>
  <c r="EO13" i="3"/>
  <c r="EN13" i="3"/>
  <c r="EM13" i="3"/>
  <c r="EL13" i="3"/>
  <c r="EJ13" i="3"/>
  <c r="EI13" i="3"/>
  <c r="EH13" i="3"/>
  <c r="EG13" i="3"/>
  <c r="EF13" i="3"/>
  <c r="EE13" i="3"/>
  <c r="ED13" i="3"/>
  <c r="EC13" i="3"/>
  <c r="EB13" i="3"/>
  <c r="DZ13" i="3"/>
  <c r="DY13" i="3"/>
  <c r="DX13" i="3"/>
  <c r="DW13" i="3"/>
  <c r="DV13" i="3"/>
  <c r="DU13" i="3"/>
  <c r="DT13" i="3"/>
  <c r="DS13" i="3"/>
  <c r="DR13" i="3"/>
  <c r="DP13" i="3"/>
  <c r="DO13" i="3"/>
  <c r="DN13" i="3"/>
  <c r="DM13" i="3"/>
  <c r="DL13" i="3"/>
  <c r="DK13" i="3"/>
  <c r="DJ13" i="3"/>
  <c r="DI13" i="3"/>
  <c r="DH13" i="3"/>
  <c r="DF13" i="3"/>
  <c r="DE13" i="3"/>
  <c r="DD13" i="3"/>
  <c r="DC13" i="3"/>
  <c r="DB13" i="3"/>
  <c r="DA13" i="3"/>
  <c r="CZ13" i="3"/>
  <c r="CY13" i="3"/>
  <c r="CX13" i="3"/>
  <c r="CV13" i="3"/>
  <c r="CU13" i="3"/>
  <c r="CT13" i="3"/>
  <c r="CS13" i="3"/>
  <c r="CR13" i="3"/>
  <c r="CQ13" i="3"/>
  <c r="CP13" i="3"/>
  <c r="CO13" i="3"/>
  <c r="CN13" i="3"/>
  <c r="CL13" i="3"/>
  <c r="CK13" i="3"/>
  <c r="CJ13" i="3"/>
  <c r="CI13" i="3"/>
  <c r="CH13" i="3"/>
  <c r="CG13" i="3"/>
  <c r="CF13" i="3"/>
  <c r="CE13" i="3"/>
  <c r="CD13" i="3"/>
  <c r="CB13" i="3"/>
  <c r="CA13" i="3"/>
  <c r="BZ13" i="3"/>
  <c r="BY13" i="3"/>
  <c r="BX13" i="3"/>
  <c r="BW13" i="3"/>
  <c r="BV13" i="3"/>
  <c r="BU13" i="3"/>
  <c r="BT13" i="3"/>
  <c r="BR13" i="3"/>
  <c r="BQ13" i="3"/>
  <c r="BP13" i="3"/>
  <c r="BO13" i="3"/>
  <c r="BN13" i="3"/>
  <c r="BM13" i="3"/>
  <c r="BL13" i="3"/>
  <c r="BK13" i="3"/>
  <c r="BJ13" i="3"/>
  <c r="BH13" i="3"/>
  <c r="BG13" i="3"/>
  <c r="BF13" i="3"/>
  <c r="BE13" i="3"/>
  <c r="BD13" i="3"/>
  <c r="BC13" i="3"/>
  <c r="BB13" i="3"/>
  <c r="BA13" i="3"/>
  <c r="AZ13" i="3"/>
  <c r="AX13" i="3"/>
  <c r="AW13" i="3"/>
  <c r="AV13" i="3"/>
  <c r="AU13" i="3"/>
  <c r="AT13" i="3"/>
  <c r="AS13" i="3"/>
  <c r="AR13" i="3"/>
  <c r="AQ13" i="3"/>
  <c r="AP13" i="3"/>
  <c r="AN13" i="3"/>
  <c r="AM13" i="3"/>
  <c r="AL13" i="3"/>
  <c r="AK13" i="3"/>
  <c r="AJ13" i="3"/>
  <c r="AI13" i="3"/>
  <c r="AH13" i="3"/>
  <c r="AG13" i="3"/>
  <c r="AF13" i="3"/>
  <c r="AD13" i="3"/>
  <c r="AC13" i="3"/>
  <c r="AB13" i="3"/>
  <c r="AA13" i="3"/>
  <c r="Z13" i="3"/>
  <c r="Y13" i="3"/>
  <c r="X13" i="3"/>
  <c r="W13" i="3"/>
  <c r="V13" i="3"/>
  <c r="T13" i="3"/>
  <c r="S13" i="3"/>
  <c r="R13" i="3"/>
  <c r="Q13" i="3"/>
  <c r="P13" i="3"/>
  <c r="O13" i="3"/>
  <c r="N13" i="3"/>
  <c r="M13" i="3"/>
  <c r="L13" i="3"/>
  <c r="J13" i="3"/>
  <c r="I13" i="3"/>
  <c r="H13" i="3"/>
  <c r="G13" i="3"/>
  <c r="F13" i="3"/>
  <c r="E13" i="3"/>
  <c r="D13" i="3"/>
  <c r="C13" i="3"/>
  <c r="B13" i="3"/>
  <c r="IV12" i="3"/>
  <c r="IU12" i="3"/>
  <c r="IT12" i="3"/>
  <c r="IS12" i="3"/>
  <c r="IR12" i="3"/>
  <c r="IQ12" i="3"/>
  <c r="IP12" i="3"/>
  <c r="IO12" i="3"/>
  <c r="IN12" i="3"/>
  <c r="IL12" i="3"/>
  <c r="IK12" i="3"/>
  <c r="IJ12" i="3"/>
  <c r="II12" i="3"/>
  <c r="IH12" i="3"/>
  <c r="IG12" i="3"/>
  <c r="IF12" i="3"/>
  <c r="IE12" i="3"/>
  <c r="ID12" i="3"/>
  <c r="IB12" i="3"/>
  <c r="IA12" i="3"/>
  <c r="HZ12" i="3"/>
  <c r="HY12" i="3"/>
  <c r="HX12" i="3"/>
  <c r="HW12" i="3"/>
  <c r="HV12" i="3"/>
  <c r="HU12" i="3"/>
  <c r="HT12" i="3"/>
  <c r="HR12" i="3"/>
  <c r="HQ12" i="3"/>
  <c r="HP12" i="3"/>
  <c r="HO12" i="3"/>
  <c r="HN12" i="3"/>
  <c r="HM12" i="3"/>
  <c r="HL12" i="3"/>
  <c r="HK12" i="3"/>
  <c r="HJ12" i="3"/>
  <c r="HH12" i="3"/>
  <c r="HG12" i="3"/>
  <c r="HF12" i="3"/>
  <c r="HE12" i="3"/>
  <c r="HD12" i="3"/>
  <c r="HC12" i="3"/>
  <c r="HB12" i="3"/>
  <c r="HA12" i="3"/>
  <c r="GZ12" i="3"/>
  <c r="GX12" i="3"/>
  <c r="GW12" i="3"/>
  <c r="GV12" i="3"/>
  <c r="GU12" i="3"/>
  <c r="GT12" i="3"/>
  <c r="GS12" i="3"/>
  <c r="GR12" i="3"/>
  <c r="GQ12" i="3"/>
  <c r="GP12" i="3"/>
  <c r="GN12" i="3"/>
  <c r="GM12" i="3"/>
  <c r="GL12" i="3"/>
  <c r="GK12" i="3"/>
  <c r="GJ12" i="3"/>
  <c r="GI12" i="3"/>
  <c r="GH12" i="3"/>
  <c r="GG12" i="3"/>
  <c r="GF12" i="3"/>
  <c r="GD12" i="3"/>
  <c r="GC12" i="3"/>
  <c r="GB12" i="3"/>
  <c r="GA12" i="3"/>
  <c r="FZ12" i="3"/>
  <c r="FY12" i="3"/>
  <c r="FX12" i="3"/>
  <c r="FW12" i="3"/>
  <c r="FV12" i="3"/>
  <c r="FT12" i="3"/>
  <c r="FS12" i="3"/>
  <c r="FR12" i="3"/>
  <c r="FQ12" i="3"/>
  <c r="FP12" i="3"/>
  <c r="FO12" i="3"/>
  <c r="FN12" i="3"/>
  <c r="FM12" i="3"/>
  <c r="FL12" i="3"/>
  <c r="FJ12" i="3"/>
  <c r="FI12" i="3"/>
  <c r="FH12" i="3"/>
  <c r="FG12" i="3"/>
  <c r="FF12" i="3"/>
  <c r="FE12" i="3"/>
  <c r="FD12" i="3"/>
  <c r="FC12" i="3"/>
  <c r="FB12" i="3"/>
  <c r="EZ12" i="3"/>
  <c r="EY12" i="3"/>
  <c r="EX12" i="3"/>
  <c r="EW12" i="3"/>
  <c r="EV12" i="3"/>
  <c r="EU12" i="3"/>
  <c r="ET12" i="3"/>
  <c r="ES12" i="3"/>
  <c r="ER12" i="3"/>
  <c r="EP12" i="3"/>
  <c r="EO12" i="3"/>
  <c r="EN12" i="3"/>
  <c r="EM12" i="3"/>
  <c r="EL12" i="3"/>
  <c r="EK12" i="3"/>
  <c r="EJ12" i="3"/>
  <c r="EI12" i="3"/>
  <c r="EH12" i="3"/>
  <c r="EF12" i="3"/>
  <c r="EE12" i="3"/>
  <c r="ED12" i="3"/>
  <c r="EC12" i="3"/>
  <c r="EB12" i="3"/>
  <c r="EA12" i="3"/>
  <c r="DZ12" i="3"/>
  <c r="DY12" i="3"/>
  <c r="DX12" i="3"/>
  <c r="DV12" i="3"/>
  <c r="DU12" i="3"/>
  <c r="DT12" i="3"/>
  <c r="DS12" i="3"/>
  <c r="DR12" i="3"/>
  <c r="DQ12" i="3"/>
  <c r="DP12" i="3"/>
  <c r="DO12" i="3"/>
  <c r="DN12" i="3"/>
  <c r="DL12" i="3"/>
  <c r="DK12" i="3"/>
  <c r="DJ12" i="3"/>
  <c r="DI12" i="3"/>
  <c r="DH12" i="3"/>
  <c r="DG12" i="3"/>
  <c r="DF12" i="3"/>
  <c r="DE12" i="3"/>
  <c r="DD12" i="3"/>
  <c r="DB12" i="3"/>
  <c r="DA12" i="3"/>
  <c r="CZ12" i="3"/>
  <c r="CY12" i="3"/>
  <c r="CX12" i="3"/>
  <c r="CW12" i="3"/>
  <c r="CV12" i="3"/>
  <c r="CU12" i="3"/>
  <c r="CT12" i="3"/>
  <c r="CR12" i="3"/>
  <c r="CQ12" i="3"/>
  <c r="CP12" i="3"/>
  <c r="CO12" i="3"/>
  <c r="CN12" i="3"/>
  <c r="CM12" i="3"/>
  <c r="CL12" i="3"/>
  <c r="CK12" i="3"/>
  <c r="CJ12" i="3"/>
  <c r="CH12" i="3"/>
  <c r="CG12" i="3"/>
  <c r="CF12" i="3"/>
  <c r="CE12" i="3"/>
  <c r="CD12" i="3"/>
  <c r="CC12" i="3"/>
  <c r="CB12" i="3"/>
  <c r="CA12" i="3"/>
  <c r="BZ12" i="3"/>
  <c r="BX12" i="3"/>
  <c r="BW12" i="3"/>
  <c r="BV12" i="3"/>
  <c r="BU12" i="3"/>
  <c r="BT12" i="3"/>
  <c r="BS12" i="3"/>
  <c r="BR12" i="3"/>
  <c r="BQ12" i="3"/>
  <c r="BP12" i="3"/>
  <c r="BN12" i="3"/>
  <c r="BM12" i="3"/>
  <c r="BL12" i="3"/>
  <c r="BK12" i="3"/>
  <c r="BJ12" i="3"/>
  <c r="BI12" i="3"/>
  <c r="BH12" i="3"/>
  <c r="BG12" i="3"/>
  <c r="BF12" i="3"/>
  <c r="BD12" i="3"/>
  <c r="BC12" i="3"/>
  <c r="BB12" i="3"/>
  <c r="BA12" i="3"/>
  <c r="AZ12" i="3"/>
  <c r="AY12" i="3"/>
  <c r="AX12" i="3"/>
  <c r="AW12" i="3"/>
  <c r="AV12" i="3"/>
  <c r="AT12" i="3"/>
  <c r="AS12" i="3"/>
  <c r="AR12" i="3"/>
  <c r="AQ12" i="3"/>
  <c r="AP12" i="3"/>
  <c r="AO12" i="3"/>
  <c r="AN12" i="3"/>
  <c r="AM12" i="3"/>
  <c r="AL12" i="3"/>
  <c r="AJ12" i="3"/>
  <c r="AI12" i="3"/>
  <c r="AH12" i="3"/>
  <c r="AG12" i="3"/>
  <c r="AF12" i="3"/>
  <c r="AE12" i="3"/>
  <c r="AD12" i="3"/>
  <c r="AC12" i="3"/>
  <c r="AB12" i="3"/>
  <c r="Z12" i="3"/>
  <c r="Y12" i="3"/>
  <c r="X12" i="3"/>
  <c r="W12" i="3"/>
  <c r="V12" i="3"/>
  <c r="U12" i="3"/>
  <c r="T12" i="3"/>
  <c r="S12" i="3"/>
  <c r="R12" i="3"/>
  <c r="P12" i="3"/>
  <c r="O12" i="3"/>
  <c r="N12" i="3"/>
  <c r="M12" i="3"/>
  <c r="L12" i="3"/>
  <c r="K12" i="3"/>
  <c r="J12" i="3"/>
  <c r="I12" i="3"/>
  <c r="H12" i="3"/>
  <c r="F12" i="3"/>
  <c r="E12" i="3"/>
  <c r="D12" i="3"/>
  <c r="C12" i="3"/>
  <c r="B12" i="3"/>
  <c r="A12" i="3"/>
  <c r="IV11" i="3"/>
  <c r="IU11" i="3"/>
  <c r="IT11" i="3"/>
  <c r="IR11" i="3"/>
  <c r="IQ11" i="3"/>
  <c r="IP11" i="3"/>
  <c r="IO11" i="3"/>
  <c r="IN11" i="3"/>
  <c r="IM11" i="3"/>
  <c r="IL11" i="3"/>
  <c r="IK11" i="3"/>
  <c r="IJ11" i="3"/>
  <c r="IH11" i="3"/>
  <c r="IG11" i="3"/>
  <c r="IF11" i="3"/>
  <c r="IE11" i="3"/>
  <c r="ID11" i="3"/>
  <c r="IC11" i="3"/>
  <c r="IB11" i="3"/>
  <c r="IA11" i="3"/>
  <c r="HZ11" i="3"/>
  <c r="HX11" i="3"/>
  <c r="HW11" i="3"/>
  <c r="HV11" i="3"/>
  <c r="HU11" i="3"/>
  <c r="HT11" i="3"/>
  <c r="HS11" i="3"/>
  <c r="HR11" i="3"/>
  <c r="HQ11" i="3"/>
  <c r="HP11" i="3"/>
  <c r="HN11" i="3"/>
  <c r="HM11" i="3"/>
  <c r="HL11" i="3"/>
  <c r="HK11" i="3"/>
  <c r="HJ11" i="3"/>
  <c r="HI11" i="3"/>
  <c r="HH11" i="3"/>
  <c r="HG11" i="3"/>
  <c r="HF11" i="3"/>
  <c r="HD11" i="3"/>
  <c r="HC11" i="3"/>
  <c r="HB11" i="3"/>
  <c r="HA11" i="3"/>
  <c r="GZ11" i="3"/>
  <c r="GY11" i="3"/>
  <c r="GX11" i="3"/>
  <c r="GW11" i="3"/>
  <c r="GV11" i="3"/>
  <c r="GT11" i="3"/>
  <c r="GS11" i="3"/>
  <c r="GR11" i="3"/>
  <c r="GQ11" i="3"/>
  <c r="GP11" i="3"/>
  <c r="GO11" i="3"/>
  <c r="GN11" i="3"/>
  <c r="GM11" i="3"/>
  <c r="GL11" i="3"/>
  <c r="GJ11" i="3"/>
  <c r="GI11" i="3"/>
  <c r="GH11" i="3"/>
  <c r="GG11" i="3"/>
  <c r="GF11" i="3"/>
  <c r="GE11" i="3"/>
  <c r="GD11" i="3"/>
  <c r="GC11" i="3"/>
  <c r="GB11" i="3"/>
  <c r="FZ11" i="3"/>
  <c r="FY11" i="3"/>
  <c r="FX11" i="3"/>
  <c r="FW11" i="3"/>
  <c r="FV11" i="3"/>
  <c r="FU11" i="3"/>
  <c r="FT11" i="3"/>
  <c r="FS11" i="3"/>
  <c r="FR11" i="3"/>
  <c r="FP11" i="3"/>
  <c r="FO11" i="3"/>
  <c r="FN11" i="3"/>
  <c r="FM11" i="3"/>
  <c r="FL11" i="3"/>
  <c r="FK11" i="3"/>
  <c r="FJ11" i="3"/>
  <c r="FI11" i="3"/>
  <c r="FH11" i="3"/>
  <c r="FF11" i="3"/>
  <c r="FE11" i="3"/>
  <c r="FD11" i="3"/>
  <c r="FC11" i="3"/>
  <c r="FB11" i="3"/>
  <c r="FA11" i="3"/>
  <c r="EZ11" i="3"/>
  <c r="EY11" i="3"/>
  <c r="EX11" i="3"/>
  <c r="EV11" i="3"/>
  <c r="EU11" i="3"/>
  <c r="ET11" i="3"/>
  <c r="ES11" i="3"/>
  <c r="ER11" i="3"/>
  <c r="EQ11" i="3"/>
  <c r="EP11" i="3"/>
  <c r="EO11" i="3"/>
  <c r="EN11" i="3"/>
  <c r="EL11" i="3"/>
  <c r="EK11" i="3"/>
  <c r="EJ11" i="3"/>
  <c r="EI11" i="3"/>
  <c r="EH11" i="3"/>
  <c r="EG11" i="3"/>
  <c r="EF11" i="3"/>
  <c r="EE11" i="3"/>
  <c r="ED11" i="3"/>
  <c r="EB11" i="3"/>
  <c r="EA11" i="3"/>
  <c r="DZ11" i="3"/>
  <c r="DY11" i="3"/>
  <c r="DX11" i="3"/>
  <c r="DW11" i="3"/>
  <c r="DV11" i="3"/>
  <c r="DU11" i="3"/>
  <c r="DT11" i="3"/>
  <c r="DR11" i="3"/>
  <c r="DQ11" i="3"/>
  <c r="DP11" i="3"/>
  <c r="DO11" i="3"/>
  <c r="DN11" i="3"/>
  <c r="DM11" i="3"/>
  <c r="DL11" i="3"/>
  <c r="DK11" i="3"/>
  <c r="DJ11" i="3"/>
  <c r="DH11" i="3"/>
  <c r="DG11" i="3"/>
  <c r="DF11" i="3"/>
  <c r="DE11" i="3"/>
  <c r="DD11" i="3"/>
  <c r="DC11" i="3"/>
  <c r="DB11" i="3"/>
  <c r="DA11" i="3"/>
  <c r="CZ11" i="3"/>
  <c r="CX11" i="3"/>
  <c r="CW11" i="3"/>
  <c r="CV11" i="3"/>
  <c r="CU11" i="3"/>
  <c r="CT11" i="3"/>
  <c r="CS11" i="3"/>
  <c r="CR11" i="3"/>
  <c r="CQ11" i="3"/>
  <c r="CP11" i="3"/>
  <c r="CN11" i="3"/>
  <c r="CM11" i="3"/>
  <c r="CL11" i="3"/>
  <c r="CK11" i="3"/>
  <c r="CJ11" i="3"/>
  <c r="CI11" i="3"/>
  <c r="CH11" i="3"/>
  <c r="CG11" i="3"/>
  <c r="CF11" i="3"/>
  <c r="CD11" i="3"/>
  <c r="CC11" i="3"/>
  <c r="CB11" i="3"/>
  <c r="CA11" i="3"/>
  <c r="BZ11" i="3"/>
  <c r="BY11" i="3"/>
  <c r="BX11" i="3"/>
  <c r="BW11" i="3"/>
  <c r="BV11" i="3"/>
  <c r="BT11" i="3"/>
  <c r="BS11" i="3"/>
  <c r="BR11" i="3"/>
  <c r="BQ11" i="3"/>
  <c r="BP11" i="3"/>
  <c r="BO11" i="3"/>
  <c r="BN11" i="3"/>
  <c r="BM11" i="3"/>
  <c r="BL11" i="3"/>
  <c r="BJ11" i="3"/>
  <c r="BI11" i="3"/>
  <c r="BH11" i="3"/>
  <c r="BG11" i="3"/>
  <c r="BF11" i="3"/>
  <c r="BE11" i="3"/>
  <c r="BD11" i="3"/>
  <c r="BC11" i="3"/>
  <c r="BB11" i="3"/>
  <c r="AZ11" i="3"/>
  <c r="AY11" i="3"/>
  <c r="AX11" i="3"/>
  <c r="AW11" i="3"/>
  <c r="AV11" i="3"/>
  <c r="AU11" i="3"/>
  <c r="AT11" i="3"/>
  <c r="AS11" i="3"/>
  <c r="AR11" i="3"/>
  <c r="AP11" i="3"/>
  <c r="AO11" i="3"/>
  <c r="AN11" i="3"/>
  <c r="AM11" i="3"/>
  <c r="AL11" i="3"/>
  <c r="AK11" i="3"/>
  <c r="AJ11" i="3"/>
  <c r="AI11" i="3"/>
  <c r="AH11" i="3"/>
  <c r="AF11" i="3"/>
  <c r="AE11" i="3"/>
  <c r="AD11" i="3"/>
  <c r="AC11" i="3"/>
  <c r="AB11" i="3"/>
  <c r="AA11" i="3"/>
  <c r="Z11" i="3"/>
  <c r="Y11" i="3"/>
  <c r="X11" i="3"/>
  <c r="V11" i="3"/>
  <c r="U11" i="3"/>
  <c r="T11" i="3"/>
  <c r="S11" i="3"/>
  <c r="R11" i="3"/>
  <c r="Q11" i="3"/>
  <c r="P11" i="3"/>
  <c r="O11" i="3"/>
  <c r="N11" i="3"/>
  <c r="L11" i="3"/>
  <c r="K11" i="3"/>
  <c r="J11" i="3"/>
  <c r="I11" i="3"/>
  <c r="H11" i="3"/>
  <c r="G11" i="3"/>
  <c r="F11" i="3"/>
  <c r="E11" i="3"/>
  <c r="D11" i="3"/>
  <c r="B11" i="3"/>
  <c r="A11" i="3"/>
  <c r="IV10" i="3"/>
  <c r="IU10" i="3"/>
  <c r="IT10" i="3"/>
  <c r="IS10" i="3"/>
  <c r="IR10" i="3"/>
  <c r="IQ10" i="3"/>
  <c r="IP10" i="3"/>
  <c r="IN10" i="3"/>
  <c r="IM10" i="3"/>
  <c r="IL10" i="3"/>
  <c r="IK10" i="3"/>
  <c r="IJ10" i="3"/>
  <c r="II10" i="3"/>
  <c r="IH10" i="3"/>
  <c r="IG10" i="3"/>
  <c r="IF10" i="3"/>
  <c r="ID10" i="3"/>
  <c r="IC10" i="3"/>
  <c r="IB10" i="3"/>
  <c r="IA10" i="3"/>
  <c r="HZ10" i="3"/>
  <c r="HY10" i="3"/>
  <c r="HX10" i="3"/>
  <c r="HW10" i="3"/>
  <c r="HV10" i="3"/>
  <c r="HT10" i="3"/>
  <c r="HS10" i="3"/>
  <c r="HR10" i="3"/>
  <c r="HQ10" i="3"/>
  <c r="HP10" i="3"/>
  <c r="HO10" i="3"/>
  <c r="HN10" i="3"/>
  <c r="HM10" i="3"/>
  <c r="HL10" i="3"/>
  <c r="HJ10" i="3"/>
  <c r="HI10" i="3"/>
  <c r="HH10" i="3"/>
  <c r="HG10" i="3"/>
  <c r="HF10" i="3"/>
  <c r="HE10" i="3"/>
  <c r="HD10" i="3"/>
  <c r="HC10" i="3"/>
  <c r="HB10" i="3"/>
  <c r="GZ10" i="3"/>
  <c r="GY10" i="3"/>
  <c r="GX10" i="3"/>
  <c r="GW10" i="3"/>
  <c r="GV10" i="3"/>
  <c r="GU10" i="3"/>
  <c r="GT10" i="3"/>
  <c r="GS10" i="3"/>
  <c r="GR10" i="3"/>
  <c r="GP10" i="3"/>
  <c r="GO10" i="3"/>
  <c r="GN10" i="3"/>
  <c r="GM10" i="3"/>
  <c r="GL10" i="3"/>
  <c r="GK10" i="3"/>
  <c r="GJ10" i="3"/>
  <c r="GI10" i="3"/>
  <c r="GH10" i="3"/>
  <c r="GF10" i="3"/>
  <c r="GE10" i="3"/>
  <c r="GD10" i="3"/>
  <c r="GC10" i="3"/>
  <c r="GB10" i="3"/>
  <c r="GA10" i="3"/>
  <c r="FZ10" i="3"/>
  <c r="FY10" i="3"/>
  <c r="FX10" i="3"/>
  <c r="FV10" i="3"/>
  <c r="FU10" i="3"/>
  <c r="FT10" i="3"/>
  <c r="FS10" i="3"/>
  <c r="FR10" i="3"/>
  <c r="FQ10" i="3"/>
  <c r="FP10" i="3"/>
  <c r="FO10" i="3"/>
  <c r="FN10" i="3"/>
  <c r="FL10" i="3"/>
  <c r="FK10" i="3"/>
  <c r="FJ10" i="3"/>
  <c r="FI10" i="3"/>
  <c r="FH10" i="3"/>
  <c r="FG10" i="3"/>
  <c r="FF10" i="3"/>
  <c r="FE10" i="3"/>
  <c r="FD10" i="3"/>
  <c r="FB10" i="3"/>
  <c r="FA10" i="3"/>
  <c r="EZ10" i="3"/>
  <c r="EY10" i="3"/>
  <c r="EX10" i="3"/>
  <c r="EW10" i="3"/>
  <c r="EV10" i="3"/>
  <c r="EU10" i="3"/>
  <c r="ET10" i="3"/>
  <c r="ER10" i="3"/>
  <c r="EQ10" i="3"/>
  <c r="EP10" i="3"/>
  <c r="EO10" i="3"/>
  <c r="EN10" i="3"/>
  <c r="EM10" i="3"/>
  <c r="EL10" i="3"/>
  <c r="EK10" i="3"/>
  <c r="EJ10" i="3"/>
  <c r="EH10" i="3"/>
  <c r="EG10" i="3"/>
  <c r="EF10" i="3"/>
  <c r="EE10" i="3"/>
  <c r="ED10" i="3"/>
  <c r="EC10" i="3"/>
  <c r="EB10" i="3"/>
  <c r="EA10" i="3"/>
  <c r="DZ10" i="3"/>
  <c r="DX10" i="3"/>
  <c r="DW10" i="3"/>
  <c r="DV10" i="3"/>
  <c r="DU10" i="3"/>
  <c r="DT10" i="3"/>
  <c r="DS10" i="3"/>
  <c r="DR10" i="3"/>
  <c r="DQ10" i="3"/>
  <c r="DP10" i="3"/>
  <c r="DN10" i="3"/>
  <c r="DM10" i="3"/>
  <c r="DL10" i="3"/>
  <c r="DK10" i="3"/>
  <c r="DJ10" i="3"/>
  <c r="DI10" i="3"/>
  <c r="DH10" i="3"/>
  <c r="DG10" i="3"/>
  <c r="DF10" i="3"/>
  <c r="DD10" i="3"/>
  <c r="DC10" i="3"/>
  <c r="DB10" i="3"/>
  <c r="DA10" i="3"/>
  <c r="CZ10" i="3"/>
  <c r="CY10" i="3"/>
  <c r="CX10" i="3"/>
  <c r="CW10" i="3"/>
  <c r="CV10" i="3"/>
  <c r="CT10" i="3"/>
  <c r="CS10" i="3"/>
  <c r="CR10" i="3"/>
  <c r="CQ10" i="3"/>
  <c r="CP10" i="3"/>
  <c r="CO10" i="3"/>
  <c r="CN10" i="3"/>
  <c r="CM10" i="3"/>
  <c r="CL10" i="3"/>
  <c r="CJ10" i="3"/>
  <c r="CI10" i="3"/>
  <c r="CH10" i="3"/>
  <c r="CG10" i="3"/>
  <c r="CF10" i="3"/>
  <c r="CE10" i="3"/>
  <c r="CD10" i="3"/>
  <c r="CC10" i="3"/>
  <c r="CB10" i="3"/>
  <c r="BZ10" i="3"/>
  <c r="BY10" i="3"/>
  <c r="BX10" i="3"/>
  <c r="BW10" i="3"/>
  <c r="BV10" i="3"/>
  <c r="BU10" i="3"/>
  <c r="BT10" i="3"/>
  <c r="BS10" i="3"/>
  <c r="BR10" i="3"/>
  <c r="BP10" i="3"/>
  <c r="BO10" i="3"/>
  <c r="BN10" i="3"/>
  <c r="BM10" i="3"/>
  <c r="BL10" i="3"/>
  <c r="BK10" i="3"/>
  <c r="BJ10" i="3"/>
  <c r="BI10" i="3"/>
  <c r="BH10" i="3"/>
  <c r="BF10" i="3"/>
  <c r="BE10" i="3"/>
  <c r="BD10" i="3"/>
  <c r="BC10" i="3"/>
  <c r="BB10" i="3"/>
  <c r="BA10" i="3"/>
  <c r="AZ10" i="3"/>
  <c r="AY10" i="3"/>
  <c r="AX10" i="3"/>
  <c r="AV10" i="3"/>
  <c r="AU10" i="3"/>
  <c r="AT10" i="3"/>
  <c r="AS10" i="3"/>
  <c r="AR10" i="3"/>
  <c r="AQ10" i="3"/>
  <c r="AP10" i="3"/>
  <c r="AO10" i="3"/>
  <c r="AN10" i="3"/>
  <c r="AL10" i="3"/>
  <c r="AK10" i="3"/>
  <c r="AJ10" i="3"/>
  <c r="AI10" i="3"/>
  <c r="AH10" i="3"/>
  <c r="AG10" i="3"/>
  <c r="AF10" i="3"/>
  <c r="AE10" i="3"/>
  <c r="AD10" i="3"/>
  <c r="AB10" i="3"/>
  <c r="AA10" i="3"/>
  <c r="Z10" i="3"/>
  <c r="Y10" i="3"/>
  <c r="X10" i="3"/>
  <c r="W10" i="3"/>
  <c r="V10" i="3"/>
  <c r="U10" i="3"/>
  <c r="T10" i="3"/>
  <c r="R10" i="3"/>
  <c r="Q10" i="3"/>
  <c r="P10" i="3"/>
  <c r="O10" i="3"/>
  <c r="N10" i="3"/>
  <c r="M10" i="3"/>
  <c r="L10" i="3"/>
  <c r="K10" i="3"/>
  <c r="J10" i="3"/>
  <c r="H10" i="3"/>
  <c r="G10" i="3"/>
  <c r="F10" i="3"/>
  <c r="E10" i="3"/>
  <c r="D10" i="3"/>
  <c r="C10" i="3"/>
  <c r="B10" i="3"/>
  <c r="A10" i="3"/>
  <c r="IV9" i="3"/>
  <c r="IT9" i="3"/>
  <c r="IS9" i="3"/>
  <c r="IR9" i="3"/>
  <c r="IQ9" i="3"/>
  <c r="IP9" i="3"/>
  <c r="IO9" i="3"/>
  <c r="IN9" i="3"/>
  <c r="IM9" i="3"/>
  <c r="IL9" i="3"/>
  <c r="IJ9" i="3"/>
  <c r="II9" i="3"/>
  <c r="IH9" i="3"/>
  <c r="IG9" i="3"/>
  <c r="IF9" i="3"/>
  <c r="IE9" i="3"/>
  <c r="ID9" i="3"/>
  <c r="IC9" i="3"/>
  <c r="IB9" i="3"/>
  <c r="HZ9" i="3"/>
  <c r="HY9" i="3"/>
  <c r="HX9" i="3"/>
  <c r="HW9" i="3"/>
  <c r="HV9" i="3"/>
  <c r="HU9" i="3"/>
  <c r="HT9" i="3"/>
  <c r="HS9" i="3"/>
  <c r="HR9" i="3"/>
  <c r="HP9" i="3"/>
  <c r="HO9" i="3"/>
  <c r="HN9" i="3"/>
  <c r="HM9" i="3"/>
  <c r="HL9" i="3"/>
  <c r="HK9" i="3"/>
  <c r="HJ9" i="3"/>
  <c r="HI9" i="3"/>
  <c r="HH9" i="3"/>
  <c r="HF9" i="3"/>
  <c r="HE9" i="3"/>
  <c r="HD9" i="3"/>
  <c r="HC9" i="3"/>
  <c r="HB9" i="3"/>
  <c r="HA9" i="3"/>
  <c r="GZ9" i="3"/>
  <c r="GY9" i="3"/>
  <c r="GX9" i="3"/>
  <c r="GV9" i="3"/>
  <c r="GU9" i="3"/>
  <c r="GT9" i="3"/>
  <c r="GS9" i="3"/>
  <c r="GR9" i="3"/>
  <c r="GQ9" i="3"/>
  <c r="GP9" i="3"/>
  <c r="GO9" i="3"/>
  <c r="GN9" i="3"/>
  <c r="GL9" i="3"/>
  <c r="GK9" i="3"/>
  <c r="GJ9" i="3"/>
  <c r="GI9" i="3"/>
  <c r="GH9" i="3"/>
  <c r="GG9" i="3"/>
  <c r="GF9" i="3"/>
  <c r="GE9" i="3"/>
  <c r="GD9" i="3"/>
  <c r="FS9" i="3"/>
  <c r="FR9" i="3"/>
  <c r="FQ9" i="3"/>
  <c r="FP9" i="3"/>
  <c r="FO9" i="3"/>
  <c r="FN9" i="3"/>
  <c r="FM9" i="3"/>
  <c r="FL9" i="3"/>
  <c r="FK9" i="3"/>
  <c r="FJ9" i="3"/>
  <c r="FI9" i="3"/>
  <c r="FH9" i="3"/>
  <c r="FG9" i="3"/>
  <c r="FF9" i="3"/>
  <c r="FE9" i="3"/>
  <c r="FD9" i="3"/>
  <c r="FC9" i="3"/>
  <c r="FB9" i="3"/>
  <c r="FA9" i="3"/>
  <c r="EZ9" i="3"/>
  <c r="EY9" i="3"/>
  <c r="EX9" i="3"/>
  <c r="EW9" i="3"/>
  <c r="EV9" i="3"/>
  <c r="EU9" i="3"/>
  <c r="ET9" i="3"/>
  <c r="ES9" i="3"/>
  <c r="ER9" i="3"/>
  <c r="EQ9" i="3"/>
  <c r="EP9" i="3"/>
  <c r="EO9" i="3"/>
  <c r="EN9" i="3"/>
  <c r="EM9" i="3"/>
  <c r="EL9" i="3"/>
  <c r="EK9" i="3"/>
  <c r="EJ9" i="3"/>
  <c r="EI9" i="3"/>
  <c r="EH9" i="3"/>
  <c r="EG9" i="3"/>
  <c r="EF9" i="3"/>
  <c r="EE9" i="3"/>
  <c r="ED9" i="3"/>
  <c r="EC9" i="3"/>
  <c r="EB9" i="3"/>
  <c r="EA9" i="3"/>
  <c r="DZ9" i="3"/>
  <c r="DY9" i="3"/>
  <c r="DX9" i="3"/>
  <c r="DW9" i="3"/>
  <c r="DV9" i="3"/>
  <c r="DU9" i="3"/>
  <c r="DT9" i="3"/>
  <c r="DS9" i="3"/>
  <c r="DR9" i="3"/>
  <c r="DQ9" i="3"/>
  <c r="DP9" i="3"/>
  <c r="DO9" i="3"/>
  <c r="DN9" i="3"/>
  <c r="DM9" i="3"/>
  <c r="DL9" i="3"/>
  <c r="DK9" i="3"/>
  <c r="DJ9" i="3"/>
  <c r="DI9" i="3"/>
  <c r="DH9" i="3"/>
  <c r="DG9" i="3"/>
  <c r="DF9" i="3"/>
  <c r="DE9" i="3"/>
  <c r="DD9" i="3"/>
  <c r="DC9" i="3"/>
  <c r="DB9" i="3"/>
  <c r="DA9" i="3"/>
  <c r="CZ9" i="3"/>
  <c r="CY9" i="3"/>
  <c r="CX9" i="3"/>
  <c r="CW9" i="3"/>
  <c r="CV9" i="3"/>
  <c r="CU9" i="3"/>
  <c r="CT9" i="3"/>
  <c r="CS9" i="3"/>
  <c r="CR9" i="3"/>
  <c r="CQ9" i="3"/>
  <c r="CP9" i="3"/>
  <c r="CO9" i="3"/>
  <c r="CN9" i="3"/>
  <c r="CM9" i="3"/>
  <c r="CL9" i="3"/>
  <c r="CK9" i="3"/>
  <c r="CJ9" i="3"/>
  <c r="CI9" i="3"/>
  <c r="CH9" i="3"/>
  <c r="CG9" i="3"/>
  <c r="CF9" i="3"/>
  <c r="CE9" i="3"/>
  <c r="CD9" i="3"/>
  <c r="CC9" i="3"/>
  <c r="CB9" i="3"/>
  <c r="CA9" i="3"/>
  <c r="BZ9" i="3"/>
  <c r="BY9" i="3"/>
  <c r="BX9" i="3"/>
  <c r="BW9" i="3"/>
  <c r="BV9" i="3"/>
  <c r="BU9" i="3"/>
  <c r="BT9" i="3"/>
  <c r="BS9" i="3"/>
  <c r="BR9" i="3"/>
  <c r="BQ9" i="3"/>
  <c r="BP9" i="3"/>
  <c r="BO9" i="3"/>
  <c r="BN9" i="3"/>
  <c r="BM9" i="3"/>
  <c r="BL9" i="3"/>
  <c r="BK9" i="3"/>
  <c r="BJ9" i="3"/>
  <c r="BI9" i="3"/>
  <c r="BH9" i="3"/>
  <c r="BG9" i="3"/>
  <c r="BF9" i="3"/>
  <c r="BE9" i="3"/>
  <c r="BD9" i="3"/>
  <c r="BC9" i="3"/>
  <c r="BB9" i="3"/>
  <c r="BA9" i="3"/>
  <c r="AZ9" i="3"/>
  <c r="AY9" i="3"/>
  <c r="AX9" i="3"/>
  <c r="AW9" i="3"/>
  <c r="AV9" i="3"/>
  <c r="AU9" i="3"/>
  <c r="AT9" i="3"/>
  <c r="AS9" i="3"/>
  <c r="AR9" i="3"/>
  <c r="AQ9" i="3"/>
  <c r="AP9" i="3"/>
  <c r="AO9" i="3"/>
  <c r="AN9" i="3"/>
  <c r="AM9" i="3"/>
  <c r="AL9" i="3"/>
  <c r="AK9" i="3"/>
  <c r="AJ9" i="3"/>
  <c r="AI9" i="3"/>
  <c r="AH9" i="3"/>
  <c r="AG9" i="3"/>
  <c r="AF9" i="3"/>
  <c r="AE9" i="3"/>
  <c r="AD9" i="3"/>
  <c r="AC9" i="3"/>
  <c r="AB9" i="3"/>
  <c r="AA9" i="3"/>
  <c r="Z9" i="3"/>
  <c r="Y9" i="3"/>
  <c r="X9" i="3"/>
  <c r="W9" i="3"/>
  <c r="V9" i="3"/>
  <c r="U9" i="3"/>
  <c r="T9" i="3"/>
  <c r="S9" i="3"/>
  <c r="R9" i="3"/>
  <c r="Q9" i="3"/>
  <c r="P9" i="3"/>
  <c r="O9" i="3"/>
  <c r="N9" i="3"/>
  <c r="M9" i="3"/>
  <c r="L9" i="3"/>
  <c r="K9" i="3"/>
  <c r="J9" i="3"/>
  <c r="I9" i="3"/>
  <c r="H9" i="3"/>
  <c r="G9" i="3"/>
  <c r="F9" i="3"/>
  <c r="E9" i="3"/>
  <c r="D9" i="3"/>
  <c r="C9" i="3"/>
  <c r="B9" i="3"/>
  <c r="A9" i="3"/>
  <c r="IV8" i="3"/>
  <c r="IU8" i="3"/>
  <c r="IT8" i="3"/>
  <c r="IS8" i="3"/>
  <c r="IR8" i="3"/>
  <c r="IQ8" i="3"/>
  <c r="IP8" i="3"/>
  <c r="IO8" i="3"/>
  <c r="IN8" i="3"/>
  <c r="IM8" i="3"/>
  <c r="IL8" i="3"/>
  <c r="IK8" i="3"/>
  <c r="IJ8" i="3"/>
  <c r="II8" i="3"/>
  <c r="IH8" i="3"/>
  <c r="IG8" i="3"/>
  <c r="IF8" i="3"/>
  <c r="IE8" i="3"/>
  <c r="ID8" i="3"/>
  <c r="IC8" i="3"/>
  <c r="IB8" i="3"/>
  <c r="IA8" i="3"/>
  <c r="HZ8" i="3"/>
  <c r="HY8" i="3"/>
  <c r="HX8" i="3"/>
  <c r="HW8" i="3"/>
  <c r="HV8" i="3"/>
  <c r="HU8" i="3"/>
  <c r="HT8" i="3"/>
  <c r="HS8" i="3"/>
  <c r="HR8" i="3"/>
  <c r="HQ8" i="3"/>
  <c r="HP8" i="3"/>
  <c r="HO8" i="3"/>
  <c r="HN8" i="3"/>
  <c r="HM8" i="3"/>
  <c r="HL8" i="3"/>
  <c r="HK8" i="3"/>
  <c r="HJ8" i="3"/>
  <c r="HI8" i="3"/>
  <c r="HH8" i="3"/>
  <c r="HG8" i="3"/>
  <c r="HF8" i="3"/>
  <c r="HE8" i="3"/>
  <c r="HD8" i="3"/>
  <c r="HC8" i="3"/>
  <c r="HB8" i="3"/>
  <c r="HA8" i="3"/>
  <c r="GZ8" i="3"/>
  <c r="GY8" i="3"/>
  <c r="GX8" i="3"/>
  <c r="GW8" i="3"/>
  <c r="GV8" i="3"/>
  <c r="GU8" i="3"/>
  <c r="GT8" i="3"/>
  <c r="GS8" i="3"/>
  <c r="GR8" i="3"/>
  <c r="GQ8" i="3"/>
  <c r="GP8" i="3"/>
  <c r="GO8" i="3"/>
  <c r="GN8" i="3"/>
  <c r="GM8" i="3"/>
  <c r="GL8" i="3"/>
  <c r="GK8" i="3"/>
  <c r="GJ8" i="3"/>
  <c r="GI8" i="3"/>
  <c r="GH8" i="3"/>
  <c r="GG8" i="3"/>
  <c r="GF8" i="3"/>
  <c r="GE8" i="3"/>
  <c r="GD8" i="3"/>
  <c r="GC8" i="3"/>
  <c r="GB8" i="3"/>
  <c r="GA8" i="3"/>
  <c r="FZ8" i="3"/>
  <c r="FY8" i="3"/>
  <c r="FX8" i="3"/>
  <c r="FW8" i="3"/>
  <c r="FV8" i="3"/>
  <c r="FU8" i="3"/>
  <c r="FT8" i="3"/>
  <c r="FS8" i="3"/>
  <c r="FR8" i="3"/>
  <c r="FQ8" i="3"/>
  <c r="FP8" i="3"/>
  <c r="FO8" i="3"/>
  <c r="FN8" i="3"/>
  <c r="FM8" i="3"/>
  <c r="FL8" i="3"/>
  <c r="FK8" i="3"/>
  <c r="FJ8" i="3"/>
  <c r="FI8" i="3"/>
  <c r="FH8" i="3"/>
  <c r="FG8" i="3"/>
  <c r="FF8" i="3"/>
  <c r="FE8" i="3"/>
  <c r="FD8" i="3"/>
  <c r="FC8" i="3"/>
  <c r="FB8" i="3"/>
  <c r="FA8" i="3"/>
  <c r="EZ8" i="3"/>
  <c r="EY8" i="3"/>
  <c r="EX8" i="3"/>
  <c r="EW8" i="3"/>
  <c r="EV8" i="3"/>
  <c r="EU8" i="3"/>
  <c r="ET8" i="3"/>
  <c r="ES8" i="3"/>
  <c r="ER8" i="3"/>
  <c r="EQ8" i="3"/>
  <c r="EP8" i="3"/>
  <c r="EO8" i="3"/>
  <c r="EN8" i="3"/>
  <c r="EM8" i="3"/>
  <c r="EL8" i="3"/>
  <c r="EK8" i="3"/>
  <c r="EJ8" i="3"/>
  <c r="EI8" i="3"/>
  <c r="EH8" i="3"/>
  <c r="EG8" i="3"/>
  <c r="EF8" i="3"/>
  <c r="EE8" i="3"/>
  <c r="ED8" i="3"/>
  <c r="EC8" i="3"/>
  <c r="EB8" i="3"/>
  <c r="EA8" i="3"/>
  <c r="DZ8" i="3"/>
  <c r="DY8" i="3"/>
  <c r="DX8" i="3"/>
  <c r="DW8" i="3"/>
  <c r="DV8" i="3"/>
  <c r="DU8" i="3"/>
  <c r="DT8" i="3"/>
  <c r="DS8" i="3"/>
  <c r="DR8" i="3"/>
  <c r="DQ8" i="3"/>
  <c r="DP8" i="3"/>
  <c r="DO8" i="3"/>
  <c r="DN8" i="3"/>
  <c r="DM8" i="3"/>
  <c r="DL8" i="3"/>
  <c r="DK8" i="3"/>
  <c r="DJ8" i="3"/>
  <c r="DI8" i="3"/>
  <c r="DH8" i="3"/>
  <c r="DG8" i="3"/>
  <c r="DF8" i="3"/>
  <c r="DE8" i="3"/>
  <c r="DD8" i="3"/>
  <c r="DC8" i="3"/>
  <c r="DB8" i="3"/>
  <c r="DA8" i="3"/>
  <c r="CZ8" i="3"/>
  <c r="CY8" i="3"/>
  <c r="CX8" i="3"/>
  <c r="CW8" i="3"/>
  <c r="CV8" i="3"/>
  <c r="CU8" i="3"/>
  <c r="CT8" i="3"/>
  <c r="CS8" i="3"/>
  <c r="CR8" i="3"/>
  <c r="CQ8" i="3"/>
  <c r="CP8" i="3"/>
  <c r="CO8" i="3"/>
  <c r="CN8" i="3"/>
  <c r="CM8" i="3"/>
  <c r="CL8" i="3"/>
  <c r="CK8" i="3"/>
  <c r="CJ8" i="3"/>
  <c r="CI8" i="3"/>
  <c r="CH8" i="3"/>
  <c r="CG8" i="3"/>
  <c r="CF8" i="3"/>
  <c r="CE8" i="3"/>
  <c r="CD8" i="3"/>
  <c r="CC8" i="3"/>
  <c r="CB8" i="3"/>
  <c r="CA8" i="3"/>
  <c r="BZ8" i="3"/>
  <c r="BY8" i="3"/>
  <c r="BX8" i="3"/>
  <c r="BW8" i="3"/>
  <c r="BV8" i="3"/>
  <c r="BU8" i="3"/>
  <c r="BT8" i="3"/>
  <c r="BS8" i="3"/>
  <c r="BR8" i="3"/>
  <c r="BQ8" i="3"/>
  <c r="BP8" i="3"/>
  <c r="BO8" i="3"/>
  <c r="BN8" i="3"/>
  <c r="BM8" i="3"/>
  <c r="BL8" i="3"/>
  <c r="BK8" i="3"/>
  <c r="BJ8" i="3"/>
  <c r="BI8" i="3"/>
  <c r="BH8" i="3"/>
  <c r="BG8" i="3"/>
  <c r="BF8" i="3"/>
  <c r="BE8" i="3"/>
  <c r="BD8" i="3"/>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S8" i="3"/>
  <c r="R8" i="3"/>
  <c r="Q8" i="3"/>
  <c r="P8" i="3"/>
  <c r="O8" i="3"/>
  <c r="N8" i="3"/>
  <c r="M8" i="3"/>
  <c r="L8" i="3"/>
  <c r="K8" i="3"/>
  <c r="J8" i="3"/>
  <c r="I8" i="3"/>
  <c r="H8" i="3"/>
  <c r="G8" i="3"/>
  <c r="F8" i="3"/>
  <c r="E8" i="3"/>
  <c r="D8" i="3"/>
  <c r="C8" i="3"/>
  <c r="B8" i="3"/>
  <c r="A8" i="3"/>
  <c r="IV7" i="3"/>
  <c r="IU7" i="3"/>
  <c r="IT7" i="3"/>
  <c r="IS7" i="3"/>
  <c r="IR7" i="3"/>
  <c r="IQ7" i="3"/>
  <c r="IP7" i="3"/>
  <c r="IO7" i="3"/>
  <c r="IN7" i="3"/>
  <c r="IL7" i="3"/>
  <c r="IK7" i="3"/>
  <c r="IJ7" i="3"/>
  <c r="II7" i="3"/>
  <c r="IH7" i="3"/>
  <c r="IG7" i="3"/>
  <c r="IF7" i="3"/>
  <c r="IE7" i="3"/>
  <c r="ID7" i="3"/>
  <c r="IB7" i="3"/>
  <c r="IA7" i="3"/>
  <c r="HZ7" i="3"/>
  <c r="HY7" i="3"/>
  <c r="HX7" i="3"/>
  <c r="HW7" i="3"/>
  <c r="HV7" i="3"/>
  <c r="HU7" i="3"/>
  <c r="HT7" i="3"/>
  <c r="HR7" i="3"/>
  <c r="HQ7" i="3"/>
  <c r="HP7" i="3"/>
  <c r="HO7" i="3"/>
  <c r="HN7" i="3"/>
  <c r="HM7" i="3"/>
  <c r="HL7" i="3"/>
  <c r="HK7" i="3"/>
  <c r="HJ7" i="3"/>
  <c r="HH7" i="3"/>
  <c r="HG7" i="3"/>
  <c r="HF7" i="3"/>
  <c r="HE7" i="3"/>
  <c r="HD7" i="3"/>
  <c r="HC7" i="3"/>
  <c r="HB7" i="3"/>
  <c r="HA7" i="3"/>
  <c r="GZ7" i="3"/>
  <c r="GX7" i="3"/>
  <c r="GW7" i="3"/>
  <c r="GV7" i="3"/>
  <c r="GU7" i="3"/>
  <c r="GT7" i="3"/>
  <c r="GS7" i="3"/>
  <c r="GR7" i="3"/>
  <c r="GQ7" i="3"/>
  <c r="GP7" i="3"/>
  <c r="GN7" i="3"/>
  <c r="GM7" i="3"/>
  <c r="GL7" i="3"/>
  <c r="GK7" i="3"/>
  <c r="GJ7" i="3"/>
  <c r="GI7" i="3"/>
  <c r="GH7" i="3"/>
  <c r="GG7" i="3"/>
  <c r="GF7" i="3"/>
  <c r="GD7" i="3"/>
  <c r="GC7" i="3"/>
  <c r="GB7" i="3"/>
  <c r="GA7" i="3"/>
  <c r="FZ7" i="3"/>
  <c r="FY7" i="3"/>
  <c r="FX7" i="3"/>
  <c r="FW7" i="3"/>
  <c r="FV7" i="3"/>
  <c r="FT7" i="3"/>
  <c r="FS7" i="3"/>
  <c r="FR7" i="3"/>
  <c r="FQ7" i="3"/>
  <c r="FP7" i="3"/>
  <c r="FO7" i="3"/>
  <c r="FN7" i="3"/>
  <c r="FM7" i="3"/>
  <c r="FL7" i="3"/>
  <c r="FJ7" i="3"/>
  <c r="FI7" i="3"/>
  <c r="FH7" i="3"/>
  <c r="FG7" i="3"/>
  <c r="FF7" i="3"/>
  <c r="FE7" i="3"/>
  <c r="FD7" i="3"/>
  <c r="FC7" i="3"/>
  <c r="FB7" i="3"/>
  <c r="EZ7" i="3"/>
  <c r="EY7" i="3"/>
  <c r="EX7" i="3"/>
  <c r="EW7" i="3"/>
  <c r="EV7" i="3"/>
  <c r="EU7" i="3"/>
  <c r="ET7" i="3"/>
  <c r="ES7" i="3"/>
  <c r="ER7" i="3"/>
  <c r="EP7" i="3"/>
  <c r="EO7" i="3"/>
  <c r="EN7" i="3"/>
  <c r="EM7" i="3"/>
  <c r="EL7" i="3"/>
  <c r="EK7" i="3"/>
  <c r="EJ7" i="3"/>
  <c r="EI7" i="3"/>
  <c r="EH7" i="3"/>
  <c r="EF7" i="3"/>
  <c r="EE7" i="3"/>
  <c r="ED7" i="3"/>
  <c r="EC7" i="3"/>
  <c r="EB7" i="3"/>
  <c r="EA7" i="3"/>
  <c r="DZ7" i="3"/>
  <c r="DY7" i="3"/>
  <c r="DX7" i="3"/>
  <c r="DV7" i="3"/>
  <c r="DU7" i="3"/>
  <c r="DT7" i="3"/>
  <c r="DS7" i="3"/>
  <c r="DR7" i="3"/>
  <c r="DQ7" i="3"/>
  <c r="DP7" i="3"/>
  <c r="DO7" i="3"/>
  <c r="DN7" i="3"/>
  <c r="DM7" i="3"/>
  <c r="DL7" i="3"/>
  <c r="DK7" i="3"/>
  <c r="DJ7" i="3"/>
  <c r="DI7" i="3"/>
  <c r="DH7" i="3"/>
  <c r="DG7" i="3"/>
  <c r="DF7" i="3"/>
  <c r="DE7" i="3"/>
  <c r="DD7" i="3"/>
  <c r="DC7" i="3"/>
  <c r="DB7" i="3"/>
  <c r="DA7" i="3"/>
  <c r="CZ7" i="3"/>
  <c r="CY7" i="3"/>
  <c r="CX7" i="3"/>
  <c r="CW7" i="3"/>
  <c r="CV7" i="3"/>
  <c r="CU7" i="3"/>
  <c r="CT7" i="3"/>
  <c r="CS7" i="3"/>
  <c r="CR7" i="3"/>
  <c r="CQ7" i="3"/>
  <c r="CP7" i="3"/>
  <c r="CO7" i="3"/>
  <c r="CN7" i="3"/>
  <c r="CM7" i="3"/>
  <c r="CL7" i="3"/>
  <c r="CK7" i="3"/>
  <c r="CJ7" i="3"/>
  <c r="CI7" i="3"/>
  <c r="CH7" i="3"/>
  <c r="CG7" i="3"/>
  <c r="CF7" i="3"/>
  <c r="CE7" i="3"/>
  <c r="CD7" i="3"/>
  <c r="CC7" i="3"/>
  <c r="CB7" i="3"/>
  <c r="CA7" i="3"/>
  <c r="BZ7" i="3"/>
  <c r="BX7" i="3"/>
  <c r="BW7" i="3"/>
  <c r="BV7" i="3"/>
  <c r="BU7" i="3"/>
  <c r="BT7" i="3"/>
  <c r="BS7" i="3"/>
  <c r="BR7" i="3"/>
  <c r="BQ7" i="3"/>
  <c r="BP7" i="3"/>
  <c r="BN7" i="3"/>
  <c r="BM7" i="3"/>
  <c r="BL7" i="3"/>
  <c r="BK7" i="3"/>
  <c r="BJ7" i="3"/>
  <c r="BI7" i="3"/>
  <c r="BH7" i="3"/>
  <c r="BG7" i="3"/>
  <c r="BF7" i="3"/>
  <c r="BD7" i="3"/>
  <c r="BC7" i="3"/>
  <c r="BB7" i="3"/>
  <c r="BA7" i="3"/>
  <c r="AZ7" i="3"/>
  <c r="AY7" i="3"/>
  <c r="AX7" i="3"/>
  <c r="AW7" i="3"/>
  <c r="AV7" i="3"/>
  <c r="AT7" i="3"/>
  <c r="AS7" i="3"/>
  <c r="AR7" i="3"/>
  <c r="AQ7" i="3"/>
  <c r="AP7" i="3"/>
  <c r="AO7" i="3"/>
  <c r="AN7" i="3"/>
  <c r="AM7" i="3"/>
  <c r="AL7" i="3"/>
  <c r="AJ7" i="3"/>
  <c r="AI7" i="3"/>
  <c r="AH7" i="3"/>
  <c r="AG7" i="3"/>
  <c r="AF7" i="3"/>
  <c r="AE7" i="3"/>
  <c r="AD7" i="3"/>
  <c r="AC7" i="3"/>
  <c r="AB7" i="3"/>
  <c r="Z7" i="3"/>
  <c r="Y7" i="3"/>
  <c r="X7" i="3"/>
  <c r="W7" i="3"/>
  <c r="V7" i="3"/>
  <c r="U7" i="3"/>
  <c r="T7" i="3"/>
  <c r="S7" i="3"/>
  <c r="R7" i="3"/>
  <c r="P7" i="3"/>
  <c r="O7" i="3"/>
  <c r="N7" i="3"/>
  <c r="M7" i="3"/>
  <c r="L7" i="3"/>
  <c r="K7" i="3"/>
  <c r="J7" i="3"/>
  <c r="I7" i="3"/>
  <c r="H7" i="3"/>
  <c r="F7" i="3"/>
  <c r="E7" i="3"/>
  <c r="D7" i="3"/>
  <c r="C7" i="3"/>
  <c r="B7" i="3"/>
  <c r="A7" i="3"/>
  <c r="IV6" i="3"/>
  <c r="IU6" i="3"/>
  <c r="IT6" i="3"/>
  <c r="IR6" i="3"/>
  <c r="IQ6" i="3"/>
  <c r="IP6" i="3"/>
  <c r="IO6" i="3"/>
  <c r="IN6" i="3"/>
  <c r="IM6" i="3"/>
  <c r="IL6" i="3"/>
  <c r="IK6" i="3"/>
  <c r="IJ6" i="3"/>
  <c r="IH6" i="3"/>
  <c r="IG6" i="3"/>
  <c r="IF6" i="3"/>
  <c r="IE6" i="3"/>
  <c r="ID6" i="3"/>
  <c r="IC6" i="3"/>
  <c r="IB6" i="3"/>
  <c r="IA6" i="3"/>
  <c r="HZ6" i="3"/>
  <c r="HX6" i="3"/>
  <c r="HW6" i="3"/>
  <c r="HV6" i="3"/>
  <c r="HU6" i="3"/>
  <c r="HT6" i="3"/>
  <c r="HS6" i="3"/>
  <c r="HR6" i="3"/>
  <c r="HQ6" i="3"/>
  <c r="HP6" i="3"/>
  <c r="HN6" i="3"/>
  <c r="HM6" i="3"/>
  <c r="HL6" i="3"/>
  <c r="HK6" i="3"/>
  <c r="HJ6" i="3"/>
  <c r="HI6" i="3"/>
  <c r="HH6" i="3"/>
  <c r="HG6" i="3"/>
  <c r="HF6" i="3"/>
  <c r="HD6" i="3"/>
  <c r="HC6" i="3"/>
  <c r="HB6" i="3"/>
  <c r="HA6" i="3"/>
  <c r="GZ6" i="3"/>
  <c r="GY6" i="3"/>
  <c r="GX6" i="3"/>
  <c r="GW6" i="3"/>
  <c r="GV6" i="3"/>
  <c r="GT6" i="3"/>
  <c r="GS6" i="3"/>
  <c r="GR6" i="3"/>
  <c r="GQ6" i="3"/>
  <c r="GP6" i="3"/>
  <c r="GO6" i="3"/>
  <c r="GN6" i="3"/>
  <c r="GM6" i="3"/>
  <c r="GL6" i="3"/>
  <c r="GJ6" i="3"/>
  <c r="GI6" i="3"/>
  <c r="GH6" i="3"/>
  <c r="GG6" i="3"/>
  <c r="GF6" i="3"/>
  <c r="GE6" i="3"/>
  <c r="GD6" i="3"/>
  <c r="GC6" i="3"/>
  <c r="GB6" i="3"/>
  <c r="FZ6" i="3"/>
  <c r="FY6" i="3"/>
  <c r="FX6" i="3"/>
  <c r="FW6" i="3"/>
  <c r="FV6" i="3"/>
  <c r="FU6" i="3"/>
  <c r="FT6" i="3"/>
  <c r="FS6" i="3"/>
  <c r="FR6" i="3"/>
  <c r="FP6" i="3"/>
  <c r="FO6" i="3"/>
  <c r="FN6" i="3"/>
  <c r="FM6" i="3"/>
  <c r="FL6" i="3"/>
  <c r="FK6" i="3"/>
  <c r="FJ6" i="3"/>
  <c r="FI6" i="3"/>
  <c r="FH6" i="3"/>
  <c r="FF6" i="3"/>
  <c r="FE6" i="3"/>
  <c r="FD6" i="3"/>
  <c r="FC6" i="3"/>
  <c r="FB6" i="3"/>
  <c r="FA6" i="3"/>
  <c r="EZ6" i="3"/>
  <c r="EY6" i="3"/>
  <c r="EX6" i="3"/>
  <c r="EV6" i="3"/>
  <c r="EU6" i="3"/>
  <c r="ET6" i="3"/>
  <c r="ES6" i="3"/>
  <c r="ER6" i="3"/>
  <c r="EQ6" i="3"/>
  <c r="EP6" i="3"/>
  <c r="EO6" i="3"/>
  <c r="EN6" i="3"/>
  <c r="EL6" i="3"/>
  <c r="EK6" i="3"/>
  <c r="EJ6" i="3"/>
  <c r="EI6" i="3"/>
  <c r="EH6" i="3"/>
  <c r="EG6" i="3"/>
  <c r="EF6" i="3"/>
  <c r="EE6" i="3"/>
  <c r="ED6" i="3"/>
  <c r="EB6" i="3"/>
  <c r="EA6" i="3"/>
  <c r="DZ6" i="3"/>
  <c r="DY6" i="3"/>
  <c r="DX6" i="3"/>
  <c r="DW6" i="3"/>
  <c r="DV6" i="3"/>
  <c r="DU6" i="3"/>
  <c r="DT6" i="3"/>
  <c r="DR6" i="3"/>
  <c r="DQ6" i="3"/>
  <c r="DP6" i="3"/>
  <c r="DO6" i="3"/>
  <c r="DN6" i="3"/>
  <c r="DM6" i="3"/>
  <c r="DL6" i="3"/>
  <c r="DK6" i="3"/>
  <c r="DJ6" i="3"/>
  <c r="DH6" i="3"/>
  <c r="DG6" i="3"/>
  <c r="DF6" i="3"/>
  <c r="DE6" i="3"/>
  <c r="DD6" i="3"/>
  <c r="DC6" i="3"/>
  <c r="DB6" i="3"/>
  <c r="DA6" i="3"/>
  <c r="CZ6" i="3"/>
  <c r="CX6" i="3"/>
  <c r="CW6" i="3"/>
  <c r="CV6" i="3"/>
  <c r="CU6" i="3"/>
  <c r="CT6" i="3"/>
  <c r="CS6" i="3"/>
  <c r="CR6" i="3"/>
  <c r="CQ6" i="3"/>
  <c r="CP6" i="3"/>
  <c r="CN6" i="3"/>
  <c r="CM6" i="3"/>
  <c r="CL6" i="3"/>
  <c r="CK6" i="3"/>
  <c r="CJ6" i="3"/>
  <c r="CI6" i="3"/>
  <c r="CH6" i="3"/>
  <c r="CG6" i="3"/>
  <c r="CF6" i="3"/>
  <c r="CD6" i="3"/>
  <c r="CC6" i="3"/>
  <c r="CB6" i="3"/>
  <c r="CA6" i="3"/>
  <c r="BZ6" i="3"/>
  <c r="BY6" i="3"/>
  <c r="BX6" i="3"/>
  <c r="BW6" i="3"/>
  <c r="BV6" i="3"/>
  <c r="BT6" i="3"/>
  <c r="BS6" i="3"/>
  <c r="BR6" i="3"/>
  <c r="BQ6" i="3"/>
  <c r="BP6" i="3"/>
  <c r="BO6" i="3"/>
  <c r="BN6" i="3"/>
  <c r="BM6" i="3"/>
  <c r="BL6" i="3"/>
  <c r="BJ6" i="3"/>
  <c r="BI6" i="3"/>
  <c r="BH6" i="3"/>
  <c r="BG6" i="3"/>
  <c r="BF6" i="3"/>
  <c r="BE6" i="3"/>
  <c r="BD6" i="3"/>
  <c r="BC6" i="3"/>
  <c r="BB6" i="3"/>
  <c r="AZ6" i="3"/>
  <c r="AY6" i="3"/>
  <c r="AX6" i="3"/>
  <c r="AW6" i="3"/>
  <c r="AV6" i="3"/>
  <c r="AU6" i="3"/>
  <c r="AT6" i="3"/>
  <c r="AS6" i="3"/>
  <c r="AR6" i="3"/>
  <c r="AP6" i="3"/>
  <c r="AO6" i="3"/>
  <c r="AN6" i="3"/>
  <c r="AM6" i="3"/>
  <c r="AL6" i="3"/>
  <c r="AK6" i="3"/>
  <c r="AJ6" i="3"/>
  <c r="AI6" i="3"/>
  <c r="AH6" i="3"/>
  <c r="AF6" i="3"/>
  <c r="AE6" i="3"/>
  <c r="AD6" i="3"/>
  <c r="AC6" i="3"/>
  <c r="AB6" i="3"/>
  <c r="AA6" i="3"/>
  <c r="Z6" i="3"/>
  <c r="Y6" i="3"/>
  <c r="X6" i="3"/>
  <c r="V6" i="3"/>
  <c r="U6" i="3"/>
  <c r="T6" i="3"/>
  <c r="S6" i="3"/>
  <c r="R6" i="3"/>
  <c r="Q6" i="3"/>
  <c r="P6" i="3"/>
  <c r="O6" i="3"/>
  <c r="N6" i="3"/>
  <c r="L6" i="3"/>
  <c r="K6" i="3"/>
  <c r="J6" i="3"/>
  <c r="I6" i="3"/>
  <c r="H6" i="3"/>
  <c r="G6" i="3"/>
  <c r="F6" i="3"/>
  <c r="E6" i="3"/>
  <c r="D6" i="3"/>
  <c r="B6" i="3"/>
  <c r="A6" i="3"/>
  <c r="IV5" i="3"/>
  <c r="IU5" i="3"/>
  <c r="IT5" i="3"/>
  <c r="IS5" i="3"/>
  <c r="IR5" i="3"/>
  <c r="IQ5" i="3"/>
  <c r="IP5" i="3"/>
  <c r="IN5" i="3"/>
  <c r="IM5" i="3"/>
  <c r="IL5" i="3"/>
  <c r="IK5" i="3"/>
  <c r="IJ5" i="3"/>
  <c r="II5" i="3"/>
  <c r="IH5" i="3"/>
  <c r="IG5" i="3"/>
  <c r="IF5" i="3"/>
  <c r="ID5" i="3"/>
  <c r="IC5" i="3"/>
  <c r="IB5" i="3"/>
  <c r="IA5" i="3"/>
  <c r="HZ5" i="3"/>
  <c r="HY5" i="3"/>
  <c r="HX5" i="3"/>
  <c r="HW5" i="3"/>
  <c r="HV5" i="3"/>
  <c r="HT5" i="3"/>
  <c r="HS5" i="3"/>
  <c r="HR5" i="3"/>
  <c r="HQ5" i="3"/>
  <c r="HP5" i="3"/>
  <c r="HO5" i="3"/>
  <c r="HN5" i="3"/>
  <c r="HM5" i="3"/>
  <c r="HL5" i="3"/>
  <c r="HJ5" i="3"/>
  <c r="HI5" i="3"/>
  <c r="HH5" i="3"/>
  <c r="HG5" i="3"/>
  <c r="HF5" i="3"/>
  <c r="HE5" i="3"/>
  <c r="HD5" i="3"/>
  <c r="HC5" i="3"/>
  <c r="HB5" i="3"/>
  <c r="GZ5" i="3"/>
  <c r="GY5" i="3"/>
  <c r="GX5" i="3"/>
  <c r="GW5" i="3"/>
  <c r="GV5" i="3"/>
  <c r="GU5" i="3"/>
  <c r="GT5" i="3"/>
  <c r="GS5" i="3"/>
  <c r="GR5" i="3"/>
  <c r="GQ5" i="3"/>
  <c r="GP5" i="3"/>
  <c r="GO5" i="3"/>
  <c r="GN5" i="3"/>
  <c r="GM5" i="3"/>
  <c r="GL5" i="3"/>
  <c r="GK5" i="3"/>
  <c r="GJ5" i="3"/>
  <c r="GI5" i="3"/>
  <c r="GH5" i="3"/>
  <c r="GG5" i="3"/>
  <c r="GF5" i="3"/>
  <c r="GE5" i="3"/>
  <c r="GD5" i="3"/>
  <c r="GC5" i="3"/>
  <c r="GB5" i="3"/>
  <c r="GA5" i="3"/>
  <c r="FZ5" i="3"/>
  <c r="FY5" i="3"/>
  <c r="FX5" i="3"/>
  <c r="FW5" i="3"/>
  <c r="FV5" i="3"/>
  <c r="FU5" i="3"/>
  <c r="FT5" i="3"/>
  <c r="FS5" i="3"/>
  <c r="FR5" i="3"/>
  <c r="FQ5" i="3"/>
  <c r="FP5" i="3"/>
  <c r="FO5" i="3"/>
  <c r="FN5" i="3"/>
  <c r="FM5" i="3"/>
  <c r="FL5" i="3"/>
  <c r="FK5" i="3"/>
  <c r="FJ5" i="3"/>
  <c r="FI5" i="3"/>
  <c r="FH5" i="3"/>
  <c r="FG5" i="3"/>
  <c r="FF5" i="3"/>
  <c r="FE5" i="3"/>
  <c r="FD5" i="3"/>
  <c r="FB5" i="3"/>
  <c r="FA5" i="3"/>
  <c r="EZ5" i="3"/>
  <c r="EY5" i="3"/>
  <c r="EX5" i="3"/>
  <c r="EW5" i="3"/>
  <c r="EV5" i="3"/>
  <c r="EU5" i="3"/>
  <c r="ET5" i="3"/>
  <c r="ER5" i="3"/>
  <c r="EQ5" i="3"/>
  <c r="EP5" i="3"/>
  <c r="EO5" i="3"/>
  <c r="EN5" i="3"/>
  <c r="EM5" i="3"/>
  <c r="EL5" i="3"/>
  <c r="EK5" i="3"/>
  <c r="EJ5" i="3"/>
  <c r="EI5" i="3"/>
  <c r="EH5" i="3"/>
  <c r="EG5" i="3"/>
  <c r="EF5" i="3"/>
  <c r="EE5" i="3"/>
  <c r="ED5" i="3"/>
  <c r="EC5" i="3"/>
  <c r="EB5" i="3"/>
  <c r="EA5" i="3"/>
  <c r="DZ5" i="3"/>
  <c r="DX5" i="3"/>
  <c r="DW5" i="3"/>
  <c r="DV5" i="3"/>
  <c r="DU5" i="3"/>
  <c r="DT5" i="3"/>
  <c r="DS5" i="3"/>
  <c r="DR5" i="3"/>
  <c r="DQ5" i="3"/>
  <c r="DP5" i="3"/>
  <c r="DO5" i="3"/>
  <c r="DN5" i="3"/>
  <c r="DM5" i="3"/>
  <c r="DL5" i="3"/>
  <c r="DK5" i="3"/>
  <c r="DJ5" i="3"/>
  <c r="DI5" i="3"/>
  <c r="DH5" i="3"/>
  <c r="DG5" i="3"/>
  <c r="DF5" i="3"/>
  <c r="DD5" i="3"/>
  <c r="DC5" i="3"/>
  <c r="DB5" i="3"/>
  <c r="DA5" i="3"/>
  <c r="CZ5" i="3"/>
  <c r="CY5" i="3"/>
  <c r="CX5" i="3"/>
  <c r="CW5" i="3"/>
  <c r="CV5" i="3"/>
  <c r="CT5" i="3"/>
  <c r="CS5" i="3"/>
  <c r="CR5" i="3"/>
  <c r="CQ5" i="3"/>
  <c r="CP5" i="3"/>
  <c r="CO5" i="3"/>
  <c r="CN5" i="3"/>
  <c r="CM5" i="3"/>
  <c r="CL5" i="3"/>
  <c r="CJ5" i="3"/>
  <c r="CI5" i="3"/>
  <c r="CH5" i="3"/>
  <c r="CG5" i="3"/>
  <c r="CF5" i="3"/>
  <c r="CE5" i="3"/>
  <c r="CD5" i="3"/>
  <c r="CC5" i="3"/>
  <c r="CB5" i="3"/>
  <c r="BZ5" i="3"/>
  <c r="BY5" i="3"/>
  <c r="BX5" i="3"/>
  <c r="BW5" i="3"/>
  <c r="BV5" i="3"/>
  <c r="BU5" i="3"/>
  <c r="BT5" i="3"/>
  <c r="BS5" i="3"/>
  <c r="BR5" i="3"/>
  <c r="BP5" i="3"/>
  <c r="BO5" i="3"/>
  <c r="BN5" i="3"/>
  <c r="BM5" i="3"/>
  <c r="BL5" i="3"/>
  <c r="BK5" i="3"/>
  <c r="BJ5" i="3"/>
  <c r="BI5" i="3"/>
  <c r="BH5" i="3"/>
  <c r="BG5" i="3"/>
  <c r="BF5" i="3"/>
  <c r="BE5" i="3"/>
  <c r="BD5" i="3"/>
  <c r="BC5" i="3"/>
  <c r="BB5" i="3"/>
  <c r="BA5" i="3"/>
  <c r="AZ5" i="3"/>
  <c r="AY5" i="3"/>
  <c r="AX5" i="3"/>
  <c r="AV5" i="3"/>
  <c r="AU5" i="3"/>
  <c r="AT5" i="3"/>
  <c r="AS5" i="3"/>
  <c r="AR5" i="3"/>
  <c r="AQ5" i="3"/>
  <c r="AP5" i="3"/>
  <c r="AO5" i="3"/>
  <c r="AN5" i="3"/>
  <c r="AL5" i="3"/>
  <c r="AK5" i="3"/>
  <c r="AJ5" i="3"/>
  <c r="AI5" i="3"/>
  <c r="AH5" i="3"/>
  <c r="AG5" i="3"/>
  <c r="AF5" i="3"/>
  <c r="AE5" i="3"/>
  <c r="AD5" i="3"/>
  <c r="AB5" i="3"/>
  <c r="AA5" i="3"/>
  <c r="Z5" i="3"/>
  <c r="Y5" i="3"/>
  <c r="X5" i="3"/>
  <c r="W5" i="3"/>
  <c r="V5" i="3"/>
  <c r="U5" i="3"/>
  <c r="T5" i="3"/>
  <c r="R5" i="3"/>
  <c r="Q5" i="3"/>
  <c r="P5" i="3"/>
  <c r="O5" i="3"/>
  <c r="N5" i="3"/>
  <c r="M5" i="3"/>
  <c r="L5" i="3"/>
  <c r="K5" i="3"/>
  <c r="J5" i="3"/>
  <c r="H5" i="3"/>
  <c r="G5" i="3"/>
  <c r="F5" i="3"/>
  <c r="E5" i="3"/>
  <c r="D5" i="3"/>
  <c r="C5" i="3"/>
  <c r="B5" i="3"/>
  <c r="A5" i="3"/>
  <c r="IV4" i="3"/>
  <c r="IT4" i="3"/>
  <c r="IS4" i="3"/>
  <c r="IR4" i="3"/>
  <c r="IQ4" i="3"/>
  <c r="IP4" i="3"/>
  <c r="IO4" i="3"/>
  <c r="IN4" i="3"/>
  <c r="IM4" i="3"/>
  <c r="IL4" i="3"/>
  <c r="IJ4" i="3"/>
  <c r="II4" i="3"/>
  <c r="IH4" i="3"/>
  <c r="IG4" i="3"/>
  <c r="IF4" i="3"/>
  <c r="IE4" i="3"/>
  <c r="ID4" i="3"/>
  <c r="IC4" i="3"/>
  <c r="IB4" i="3"/>
  <c r="HZ4" i="3"/>
  <c r="HY4" i="3"/>
  <c r="HX4" i="3"/>
  <c r="HW4" i="3"/>
  <c r="HV4" i="3"/>
  <c r="HU4" i="3"/>
  <c r="HT4" i="3"/>
  <c r="HS4" i="3"/>
  <c r="HR4" i="3"/>
  <c r="HP4" i="3"/>
  <c r="HO4" i="3"/>
  <c r="HN4" i="3"/>
  <c r="HM4" i="3"/>
  <c r="HL4" i="3"/>
  <c r="HK4" i="3"/>
  <c r="HJ4" i="3"/>
  <c r="HI4" i="3"/>
  <c r="HH4" i="3"/>
  <c r="HF4" i="3"/>
  <c r="HE4" i="3"/>
  <c r="HD4" i="3"/>
  <c r="HC4" i="3"/>
  <c r="HB4" i="3"/>
  <c r="HA4" i="3"/>
  <c r="GZ4" i="3"/>
  <c r="GY4" i="3"/>
  <c r="GX4" i="3"/>
  <c r="GV4" i="3"/>
  <c r="GU4" i="3"/>
  <c r="GT4" i="3"/>
  <c r="GS4" i="3"/>
  <c r="GR4" i="3"/>
  <c r="GQ4" i="3"/>
  <c r="GP4" i="3"/>
  <c r="GO4" i="3"/>
  <c r="GN4" i="3"/>
  <c r="GL4" i="3"/>
  <c r="GK4" i="3"/>
  <c r="GJ4" i="3"/>
  <c r="GI4" i="3"/>
  <c r="GH4" i="3"/>
  <c r="GG4" i="3"/>
  <c r="GF4" i="3"/>
  <c r="GE4" i="3"/>
  <c r="GD4" i="3"/>
  <c r="GB4" i="3"/>
  <c r="GA4" i="3"/>
  <c r="FZ4" i="3"/>
  <c r="FY4" i="3"/>
  <c r="FX4" i="3"/>
  <c r="FW4" i="3"/>
  <c r="FV4" i="3"/>
  <c r="FU4" i="3"/>
  <c r="FT4" i="3"/>
  <c r="FR4" i="3"/>
  <c r="FQ4" i="3"/>
  <c r="FP4" i="3"/>
  <c r="FO4" i="3"/>
  <c r="FN4" i="3"/>
  <c r="FM4" i="3"/>
  <c r="FL4" i="3"/>
  <c r="FK4" i="3"/>
  <c r="FJ4" i="3"/>
  <c r="FI4" i="3"/>
  <c r="FH4" i="3"/>
  <c r="FG4" i="3"/>
  <c r="FF4" i="3"/>
  <c r="FE4" i="3"/>
  <c r="FD4" i="3"/>
  <c r="FC4" i="3"/>
  <c r="FB4" i="3"/>
  <c r="FA4" i="3"/>
  <c r="EZ4" i="3"/>
  <c r="EY4" i="3"/>
  <c r="EX4" i="3"/>
  <c r="EW4" i="3"/>
  <c r="EV4" i="3"/>
  <c r="EU4" i="3"/>
  <c r="ET4" i="3"/>
  <c r="ES4" i="3"/>
  <c r="ER4" i="3"/>
  <c r="EQ4" i="3"/>
  <c r="EP4" i="3"/>
  <c r="EN4" i="3"/>
  <c r="EM4" i="3"/>
  <c r="EL4" i="3"/>
  <c r="EK4" i="3"/>
  <c r="EJ4" i="3"/>
  <c r="EI4" i="3"/>
  <c r="EH4" i="3"/>
  <c r="EG4" i="3"/>
  <c r="EF4" i="3"/>
  <c r="ED4" i="3"/>
  <c r="EC4" i="3"/>
  <c r="EB4" i="3"/>
  <c r="EA4" i="3"/>
  <c r="DZ4" i="3"/>
  <c r="DY4" i="3"/>
  <c r="DX4" i="3"/>
  <c r="DW4" i="3"/>
  <c r="DV4" i="3"/>
  <c r="DT4" i="3"/>
  <c r="DS4" i="3"/>
  <c r="DR4" i="3"/>
  <c r="DQ4" i="3"/>
  <c r="DP4" i="3"/>
  <c r="DO4" i="3"/>
  <c r="DN4" i="3"/>
  <c r="DM4" i="3"/>
  <c r="DL4" i="3"/>
  <c r="DJ4" i="3"/>
  <c r="DI4" i="3"/>
  <c r="DH4" i="3"/>
  <c r="DG4" i="3"/>
  <c r="DF4" i="3"/>
  <c r="DE4" i="3"/>
  <c r="DD4" i="3"/>
  <c r="DC4" i="3"/>
  <c r="DB4" i="3"/>
  <c r="CZ4" i="3"/>
  <c r="CY4" i="3"/>
  <c r="CX4" i="3"/>
  <c r="CW4" i="3"/>
  <c r="CV4" i="3"/>
  <c r="CU4" i="3"/>
  <c r="CT4" i="3"/>
  <c r="CS4" i="3"/>
  <c r="CR4" i="3"/>
  <c r="CP4" i="3"/>
  <c r="CO4" i="3"/>
  <c r="CN4" i="3"/>
  <c r="CM4" i="3"/>
  <c r="CL4" i="3"/>
  <c r="CK4" i="3"/>
  <c r="CJ4" i="3"/>
  <c r="CI4" i="3"/>
  <c r="CH4" i="3"/>
  <c r="CF4" i="3"/>
  <c r="CE4" i="3"/>
  <c r="CD4" i="3"/>
  <c r="CC4" i="3"/>
  <c r="CB4" i="3"/>
  <c r="CA4" i="3"/>
  <c r="BZ4" i="3"/>
  <c r="BY4" i="3"/>
  <c r="BX4" i="3"/>
  <c r="BV4" i="3"/>
  <c r="BU4" i="3"/>
  <c r="BT4" i="3"/>
  <c r="BS4" i="3"/>
  <c r="BR4" i="3"/>
  <c r="BQ4" i="3"/>
  <c r="BP4" i="3"/>
  <c r="BO4" i="3"/>
  <c r="BN4" i="3"/>
  <c r="BL4" i="3"/>
  <c r="BK4" i="3"/>
  <c r="BJ4" i="3"/>
  <c r="BI4" i="3"/>
  <c r="BH4" i="3"/>
  <c r="BG4" i="3"/>
  <c r="BF4" i="3"/>
  <c r="BE4" i="3"/>
  <c r="BD4" i="3"/>
  <c r="BB4" i="3"/>
  <c r="BA4" i="3"/>
  <c r="AZ4" i="3"/>
  <c r="AY4" i="3"/>
  <c r="AX4" i="3"/>
  <c r="AW4" i="3"/>
  <c r="AV4" i="3"/>
  <c r="AU4" i="3"/>
  <c r="AT4" i="3"/>
  <c r="AR4" i="3"/>
  <c r="AQ4" i="3"/>
  <c r="AP4" i="3"/>
  <c r="AO4" i="3"/>
  <c r="AN4" i="3"/>
  <c r="AM4" i="3"/>
  <c r="AL4" i="3"/>
  <c r="AK4" i="3"/>
  <c r="AJ4" i="3"/>
  <c r="AH4" i="3"/>
  <c r="AG4" i="3"/>
  <c r="AF4" i="3"/>
  <c r="AE4" i="3"/>
  <c r="AD4" i="3"/>
  <c r="AC4" i="3"/>
  <c r="AB4" i="3"/>
  <c r="AA4" i="3"/>
  <c r="Z4" i="3"/>
  <c r="X4" i="3"/>
  <c r="W4" i="3"/>
  <c r="V4" i="3"/>
  <c r="U4" i="3"/>
  <c r="T4" i="3"/>
  <c r="S4" i="3"/>
  <c r="R4" i="3"/>
  <c r="Q4" i="3"/>
  <c r="P4" i="3"/>
  <c r="N4" i="3"/>
  <c r="M4" i="3"/>
  <c r="L4" i="3"/>
  <c r="K4" i="3"/>
  <c r="J4" i="3"/>
  <c r="I4" i="3"/>
  <c r="H4" i="3"/>
  <c r="G4" i="3"/>
  <c r="F4" i="3"/>
  <c r="E4" i="3"/>
  <c r="D4" i="3"/>
  <c r="C4" i="3"/>
  <c r="B4" i="3"/>
  <c r="A4" i="3"/>
  <c r="IV3" i="3"/>
  <c r="IU3" i="3"/>
  <c r="IT3" i="3"/>
  <c r="IS3" i="3"/>
  <c r="IR3" i="3"/>
  <c r="IQ3" i="3"/>
  <c r="IP3" i="3"/>
  <c r="IO3" i="3"/>
  <c r="IN3" i="3"/>
  <c r="IM3" i="3"/>
  <c r="IL3" i="3"/>
  <c r="IK3" i="3"/>
  <c r="IJ3" i="3"/>
  <c r="II3" i="3"/>
  <c r="IH3" i="3"/>
  <c r="IG3" i="3"/>
  <c r="IF3" i="3"/>
  <c r="IE3" i="3"/>
  <c r="ID3" i="3"/>
  <c r="IC3" i="3"/>
  <c r="IB3" i="3"/>
  <c r="IA3" i="3"/>
  <c r="HZ3" i="3"/>
  <c r="HY3" i="3"/>
  <c r="HX3" i="3"/>
  <c r="HV3" i="3"/>
  <c r="HU3" i="3"/>
  <c r="HT3" i="3"/>
  <c r="HS3" i="3"/>
  <c r="HR3" i="3"/>
  <c r="HQ3" i="3"/>
  <c r="HP3" i="3"/>
  <c r="HO3" i="3"/>
  <c r="HN3" i="3"/>
  <c r="HL3" i="3"/>
  <c r="HK3" i="3"/>
  <c r="HJ3" i="3"/>
  <c r="HI3" i="3"/>
  <c r="HH3" i="3"/>
  <c r="HG3" i="3"/>
  <c r="HF3" i="3"/>
  <c r="HE3" i="3"/>
  <c r="HD3" i="3"/>
  <c r="HB3" i="3"/>
  <c r="HA3" i="3"/>
  <c r="GZ3" i="3"/>
  <c r="GY3" i="3"/>
  <c r="GX3" i="3"/>
  <c r="GW3" i="3"/>
  <c r="GV3" i="3"/>
  <c r="GU3" i="3"/>
  <c r="GT3" i="3"/>
  <c r="GR3" i="3"/>
  <c r="GQ3" i="3"/>
  <c r="GP3" i="3"/>
  <c r="GO3" i="3"/>
  <c r="GN3" i="3"/>
  <c r="GM3" i="3"/>
  <c r="GL3" i="3"/>
  <c r="GK3" i="3"/>
  <c r="GJ3" i="3"/>
  <c r="GH3" i="3"/>
  <c r="GG3" i="3"/>
  <c r="GF3" i="3"/>
  <c r="GE3" i="3"/>
  <c r="GD3" i="3"/>
  <c r="GC3" i="3"/>
  <c r="GB3" i="3"/>
  <c r="GA3" i="3"/>
  <c r="FZ3" i="3"/>
  <c r="FX3" i="3"/>
  <c r="FW3" i="3"/>
  <c r="FV3" i="3"/>
  <c r="FU3" i="3"/>
  <c r="FT3" i="3"/>
  <c r="FS3" i="3"/>
  <c r="FR3" i="3"/>
  <c r="FQ3" i="3"/>
  <c r="FP3" i="3"/>
  <c r="FN3" i="3"/>
  <c r="FM3" i="3"/>
  <c r="FL3" i="3"/>
  <c r="FK3" i="3"/>
  <c r="FJ3" i="3"/>
  <c r="FI3" i="3"/>
  <c r="FH3" i="3"/>
  <c r="FG3" i="3"/>
  <c r="FF3" i="3"/>
  <c r="FD3" i="3"/>
  <c r="FC3" i="3"/>
  <c r="FB3" i="3"/>
  <c r="FA3" i="3"/>
  <c r="EZ3" i="3"/>
  <c r="EY3" i="3"/>
  <c r="EX3" i="3"/>
  <c r="EW3" i="3"/>
  <c r="EV3" i="3"/>
  <c r="ET3" i="3"/>
  <c r="ES3" i="3"/>
  <c r="ER3" i="3"/>
  <c r="EQ3" i="3"/>
  <c r="EP3" i="3"/>
  <c r="EO3" i="3"/>
  <c r="EN3" i="3"/>
  <c r="EM3" i="3"/>
  <c r="EL3" i="3"/>
  <c r="EJ3" i="3"/>
  <c r="EI3" i="3"/>
  <c r="EH3" i="3"/>
  <c r="EG3" i="3"/>
  <c r="EF3" i="3"/>
  <c r="EE3" i="3"/>
  <c r="ED3" i="3"/>
  <c r="EC3" i="3"/>
  <c r="EB3" i="3"/>
  <c r="DZ3" i="3"/>
  <c r="DY3" i="3"/>
  <c r="DX3" i="3"/>
  <c r="DW3" i="3"/>
  <c r="DV3" i="3"/>
  <c r="DU3" i="3"/>
  <c r="DT3" i="3"/>
  <c r="DS3" i="3"/>
  <c r="DR3" i="3"/>
  <c r="DP3" i="3"/>
  <c r="DO3" i="3"/>
  <c r="DN3" i="3"/>
  <c r="DM3" i="3"/>
  <c r="DL3" i="3"/>
  <c r="DK3" i="3"/>
  <c r="DJ3" i="3"/>
  <c r="DI3" i="3"/>
  <c r="DH3" i="3"/>
  <c r="DF3" i="3"/>
  <c r="DE3" i="3"/>
  <c r="DD3" i="3"/>
  <c r="DC3" i="3"/>
  <c r="DB3" i="3"/>
  <c r="DA3" i="3"/>
  <c r="CZ3" i="3"/>
  <c r="CY3" i="3"/>
  <c r="CX3" i="3"/>
  <c r="CV3" i="3"/>
  <c r="CU3" i="3"/>
  <c r="CT3" i="3"/>
  <c r="CS3" i="3"/>
  <c r="CR3" i="3"/>
  <c r="CQ3" i="3"/>
  <c r="CP3" i="3"/>
  <c r="CO3" i="3"/>
  <c r="CN3" i="3"/>
  <c r="CL3" i="3"/>
  <c r="CK3" i="3"/>
  <c r="CJ3" i="3"/>
  <c r="CI3" i="3"/>
  <c r="CH3" i="3"/>
  <c r="CG3" i="3"/>
  <c r="CF3" i="3"/>
  <c r="CE3" i="3"/>
  <c r="CD3" i="3"/>
  <c r="CB3" i="3"/>
  <c r="CA3" i="3"/>
  <c r="BZ3" i="3"/>
  <c r="BY3" i="3"/>
  <c r="BX3" i="3"/>
  <c r="BW3" i="3"/>
  <c r="BV3" i="3"/>
  <c r="BU3" i="3"/>
  <c r="BT3" i="3"/>
  <c r="BR3" i="3"/>
  <c r="BQ3" i="3"/>
  <c r="BP3" i="3"/>
  <c r="BO3" i="3"/>
  <c r="BN3" i="3"/>
  <c r="BM3" i="3"/>
  <c r="BL3" i="3"/>
  <c r="BK3" i="3"/>
  <c r="BJ3" i="3"/>
  <c r="BH3" i="3"/>
  <c r="BG3" i="3"/>
  <c r="BF3" i="3"/>
  <c r="BE3" i="3"/>
  <c r="BD3" i="3"/>
  <c r="BC3" i="3"/>
  <c r="BB3" i="3"/>
  <c r="BA3" i="3"/>
  <c r="AZ3" i="3"/>
  <c r="AX3" i="3"/>
  <c r="AW3" i="3"/>
  <c r="AV3" i="3"/>
  <c r="AU3" i="3"/>
  <c r="AT3" i="3"/>
  <c r="AS3" i="3"/>
  <c r="AR3" i="3"/>
  <c r="AQ3" i="3"/>
  <c r="AP3" i="3"/>
  <c r="AN3" i="3"/>
  <c r="AM3" i="3"/>
  <c r="AL3" i="3"/>
  <c r="AK3" i="3"/>
  <c r="AJ3" i="3"/>
  <c r="AI3" i="3"/>
  <c r="AH3" i="3"/>
  <c r="AG3" i="3"/>
  <c r="AF3" i="3"/>
  <c r="AD3" i="3"/>
  <c r="AC3" i="3"/>
  <c r="AB3" i="3"/>
  <c r="AA3" i="3"/>
  <c r="Z3" i="3"/>
  <c r="Y3" i="3"/>
  <c r="X3" i="3"/>
  <c r="W3" i="3"/>
  <c r="V3" i="3"/>
  <c r="T3" i="3"/>
  <c r="S3" i="3"/>
  <c r="R3" i="3"/>
  <c r="Q3" i="3"/>
  <c r="P3" i="3"/>
  <c r="O3" i="3"/>
  <c r="N3" i="3"/>
  <c r="M3" i="3"/>
  <c r="L3" i="3"/>
  <c r="J3" i="3"/>
  <c r="I3" i="3"/>
  <c r="H3" i="3"/>
  <c r="G3" i="3"/>
  <c r="F3" i="3"/>
  <c r="E3" i="3"/>
  <c r="D3" i="3"/>
  <c r="C3" i="3"/>
  <c r="B3" i="3"/>
  <c r="IV2" i="3"/>
  <c r="IU2" i="3"/>
  <c r="IT2" i="3"/>
  <c r="IS2" i="3"/>
  <c r="IR2" i="3"/>
  <c r="IQ2" i="3"/>
  <c r="IP2" i="3"/>
  <c r="IO2" i="3"/>
  <c r="IN2" i="3"/>
  <c r="IL2" i="3"/>
  <c r="IK2" i="3"/>
  <c r="IJ2" i="3"/>
  <c r="II2" i="3"/>
  <c r="IH2" i="3"/>
  <c r="IG2" i="3"/>
  <c r="IF2" i="3"/>
  <c r="IE2" i="3"/>
  <c r="ID2" i="3"/>
  <c r="IB2" i="3"/>
  <c r="IA2" i="3"/>
  <c r="HZ2" i="3"/>
  <c r="HY2" i="3"/>
  <c r="HX2" i="3"/>
  <c r="HW2" i="3"/>
  <c r="HV2" i="3"/>
  <c r="HU2" i="3"/>
  <c r="HT2" i="3"/>
  <c r="HR2" i="3"/>
  <c r="HQ2" i="3"/>
  <c r="HP2" i="3"/>
  <c r="HO2" i="3"/>
  <c r="HN2" i="3"/>
  <c r="HM2" i="3"/>
  <c r="HL2" i="3"/>
  <c r="HK2" i="3"/>
  <c r="HJ2" i="3"/>
  <c r="GX2" i="3"/>
  <c r="GW2" i="3"/>
  <c r="GV2" i="3"/>
  <c r="GU2" i="3"/>
  <c r="GT2" i="3"/>
  <c r="GS2" i="3"/>
  <c r="GR2" i="3"/>
  <c r="GQ2" i="3"/>
  <c r="GP2" i="3"/>
  <c r="GO2" i="3"/>
  <c r="GM2" i="3"/>
  <c r="GL2" i="3"/>
  <c r="GK2" i="3"/>
  <c r="GJ2" i="3"/>
  <c r="GI2" i="3"/>
  <c r="GH2" i="3"/>
  <c r="GG2" i="3"/>
  <c r="GF2" i="3"/>
  <c r="GE2" i="3"/>
  <c r="GD2" i="3"/>
  <c r="GB2" i="3"/>
  <c r="GA2" i="3"/>
  <c r="FZ2" i="3"/>
  <c r="FY2" i="3"/>
  <c r="FX2" i="3"/>
  <c r="FW2" i="3"/>
  <c r="FV2" i="3"/>
  <c r="FU2" i="3"/>
  <c r="FT2" i="3"/>
  <c r="FS2" i="3"/>
  <c r="FQ2" i="3"/>
  <c r="FP2" i="3"/>
  <c r="FO2" i="3"/>
  <c r="FN2" i="3"/>
  <c r="FM2" i="3"/>
  <c r="FL2" i="3"/>
  <c r="FK2" i="3"/>
  <c r="FJ2" i="3"/>
  <c r="FI2" i="3"/>
  <c r="FH2" i="3"/>
  <c r="FF2" i="3"/>
  <c r="FE2" i="3"/>
  <c r="FD2" i="3"/>
  <c r="FC2" i="3"/>
  <c r="FB2" i="3"/>
  <c r="FA2" i="3"/>
  <c r="EZ2" i="3"/>
  <c r="EY2" i="3"/>
  <c r="EX2" i="3"/>
  <c r="EW2" i="3"/>
  <c r="EU2" i="3"/>
  <c r="ET2" i="3"/>
  <c r="ES2" i="3"/>
  <c r="ER2" i="3"/>
  <c r="EQ2" i="3"/>
  <c r="EP2" i="3"/>
  <c r="EO2" i="3"/>
  <c r="EN2" i="3"/>
  <c r="EM2" i="3"/>
  <c r="EL2" i="3"/>
  <c r="EJ2" i="3"/>
  <c r="EI2" i="3"/>
  <c r="EH2" i="3"/>
  <c r="EG2" i="3"/>
  <c r="EF2" i="3"/>
  <c r="EE2" i="3"/>
  <c r="ED2" i="3"/>
  <c r="EC2" i="3"/>
  <c r="EB2" i="3"/>
  <c r="EA2" i="3"/>
  <c r="DY2" i="3"/>
  <c r="DX2" i="3"/>
  <c r="DW2" i="3"/>
  <c r="DV2" i="3"/>
  <c r="DU2" i="3"/>
  <c r="DT2" i="3"/>
  <c r="DS2" i="3"/>
  <c r="DR2" i="3"/>
  <c r="DQ2" i="3"/>
  <c r="DP2" i="3"/>
  <c r="DN2" i="3"/>
  <c r="DM2" i="3"/>
  <c r="DL2" i="3"/>
  <c r="DK2" i="3"/>
  <c r="DJ2" i="3"/>
  <c r="DI2" i="3"/>
  <c r="DH2" i="3"/>
  <c r="DG2" i="3"/>
  <c r="DF2" i="3"/>
  <c r="DE2" i="3"/>
  <c r="DC2" i="3"/>
  <c r="DB2" i="3"/>
  <c r="DA2" i="3"/>
  <c r="CZ2" i="3"/>
  <c r="CY2" i="3"/>
  <c r="CX2" i="3"/>
  <c r="CW2" i="3"/>
  <c r="CV2" i="3"/>
  <c r="CU2" i="3"/>
  <c r="CT2" i="3"/>
  <c r="CR2" i="3"/>
  <c r="CQ2" i="3"/>
  <c r="CP2" i="3"/>
  <c r="CO2" i="3"/>
  <c r="CN2" i="3"/>
  <c r="CM2" i="3"/>
  <c r="CL2" i="3"/>
  <c r="CK2" i="3"/>
  <c r="CJ2" i="3"/>
  <c r="CI2" i="3"/>
  <c r="CG2" i="3"/>
  <c r="CF2" i="3"/>
  <c r="CE2" i="3"/>
  <c r="CD2" i="3"/>
  <c r="CC2" i="3"/>
  <c r="CB2" i="3"/>
  <c r="CA2" i="3"/>
  <c r="BZ2" i="3"/>
  <c r="BY2" i="3"/>
  <c r="BX2" i="3"/>
  <c r="BV2" i="3"/>
  <c r="BU2" i="3"/>
  <c r="BT2" i="3"/>
  <c r="BS2" i="3"/>
  <c r="BR2" i="3"/>
  <c r="BQ2" i="3"/>
  <c r="BP2" i="3"/>
  <c r="BO2" i="3"/>
  <c r="BN2" i="3"/>
  <c r="BM2" i="3"/>
  <c r="BK2" i="3"/>
  <c r="BJ2" i="3"/>
  <c r="BI2" i="3"/>
  <c r="BH2" i="3"/>
  <c r="BG2" i="3"/>
  <c r="BF2" i="3"/>
  <c r="BE2" i="3"/>
  <c r="BD2" i="3"/>
  <c r="BC2" i="3"/>
  <c r="BB2" i="3"/>
  <c r="AZ2" i="3"/>
  <c r="AY2" i="3"/>
  <c r="AX2" i="3"/>
  <c r="AW2" i="3"/>
  <c r="AV2" i="3"/>
  <c r="AU2" i="3"/>
  <c r="AT2" i="3"/>
  <c r="AS2" i="3"/>
  <c r="AR2" i="3"/>
  <c r="AQ2" i="3"/>
  <c r="AO2" i="3"/>
  <c r="AN2" i="3"/>
  <c r="AM2" i="3"/>
  <c r="AL2" i="3"/>
  <c r="AK2" i="3"/>
  <c r="AJ2" i="3"/>
  <c r="AI2" i="3"/>
  <c r="AH2" i="3"/>
  <c r="AG2" i="3"/>
  <c r="AF2" i="3"/>
  <c r="AE2" i="3"/>
  <c r="AD2" i="3"/>
  <c r="AC2" i="3"/>
  <c r="AB2" i="3"/>
  <c r="AA2" i="3"/>
  <c r="Z2" i="3"/>
  <c r="Y2" i="3"/>
  <c r="X2" i="3"/>
  <c r="W2" i="3"/>
  <c r="V2" i="3"/>
  <c r="U2" i="3"/>
  <c r="T2" i="3"/>
  <c r="S2" i="3"/>
  <c r="R2" i="3"/>
  <c r="Q2" i="3"/>
  <c r="P2" i="3"/>
  <c r="O2" i="3"/>
  <c r="N2" i="3"/>
  <c r="M2" i="3"/>
  <c r="L2" i="3"/>
  <c r="K2" i="3"/>
  <c r="J2" i="3"/>
  <c r="I2" i="3"/>
  <c r="H2" i="3"/>
  <c r="G2" i="3"/>
  <c r="F2" i="3"/>
  <c r="E2" i="3"/>
  <c r="D2" i="3"/>
  <c r="C2" i="3"/>
  <c r="B2" i="3"/>
  <c r="A2" i="3"/>
  <c r="IV1" i="3"/>
  <c r="IU1" i="3"/>
  <c r="IT1" i="3"/>
  <c r="IS1" i="3"/>
  <c r="IR1" i="3"/>
  <c r="IQ1" i="3"/>
  <c r="IP1" i="3"/>
  <c r="IO1" i="3"/>
  <c r="IN1" i="3"/>
  <c r="IM1" i="3"/>
  <c r="IL1" i="3"/>
  <c r="IK1" i="3"/>
  <c r="IJ1" i="3"/>
  <c r="IH1" i="3"/>
  <c r="IG1" i="3"/>
  <c r="IF1" i="3"/>
  <c r="IE1" i="3"/>
  <c r="ID1" i="3"/>
  <c r="IC1" i="3"/>
  <c r="IB1" i="3"/>
  <c r="IA1" i="3"/>
  <c r="HZ1" i="3"/>
  <c r="HY1" i="3"/>
  <c r="HW1" i="3"/>
  <c r="HV1" i="3"/>
  <c r="HU1" i="3"/>
  <c r="HT1" i="3"/>
  <c r="HS1" i="3"/>
  <c r="HR1" i="3"/>
  <c r="HQ1" i="3"/>
  <c r="HP1" i="3"/>
  <c r="HO1" i="3"/>
  <c r="HN1" i="3"/>
  <c r="HL1" i="3"/>
  <c r="HK1" i="3"/>
  <c r="HJ1" i="3"/>
  <c r="HI1" i="3"/>
  <c r="HH1" i="3"/>
  <c r="HG1" i="3"/>
  <c r="HF1" i="3"/>
  <c r="HE1" i="3"/>
  <c r="HD1" i="3"/>
  <c r="HC1" i="3"/>
  <c r="HA1" i="3"/>
  <c r="GZ1" i="3"/>
  <c r="GY1" i="3"/>
  <c r="GX1" i="3"/>
  <c r="GW1" i="3"/>
  <c r="GV1" i="3"/>
  <c r="GU1" i="3"/>
  <c r="GT1" i="3"/>
  <c r="GS1" i="3"/>
  <c r="GR1" i="3"/>
  <c r="GP1" i="3"/>
  <c r="GO1" i="3"/>
  <c r="GN1" i="3"/>
  <c r="GM1" i="3"/>
  <c r="GL1" i="3"/>
  <c r="GK1" i="3"/>
  <c r="GJ1" i="3"/>
  <c r="GI1" i="3"/>
  <c r="GH1" i="3"/>
  <c r="GG1" i="3"/>
  <c r="GE1" i="3"/>
  <c r="GD1" i="3"/>
  <c r="GC1" i="3"/>
  <c r="GB1" i="3"/>
  <c r="GA1" i="3"/>
  <c r="FZ1" i="3"/>
  <c r="FY1" i="3"/>
  <c r="FX1" i="3"/>
  <c r="FW1" i="3"/>
  <c r="FV1" i="3"/>
  <c r="FT1" i="3"/>
  <c r="FS1" i="3"/>
  <c r="FR1" i="3"/>
  <c r="FQ1" i="3"/>
  <c r="FP1" i="3"/>
  <c r="FO1" i="3"/>
  <c r="FN1" i="3"/>
  <c r="FM1" i="3"/>
  <c r="FL1" i="3"/>
  <c r="FK1" i="3"/>
  <c r="FI1" i="3"/>
  <c r="FH1" i="3"/>
  <c r="FG1" i="3"/>
  <c r="FF1" i="3"/>
  <c r="FE1" i="3"/>
  <c r="FD1" i="3"/>
  <c r="FC1" i="3"/>
  <c r="FB1" i="3"/>
  <c r="FA1" i="3"/>
  <c r="EZ1" i="3"/>
  <c r="EX1" i="3"/>
  <c r="EW1" i="3"/>
  <c r="EV1" i="3"/>
  <c r="EU1" i="3"/>
  <c r="ET1" i="3"/>
  <c r="ES1" i="3"/>
  <c r="ER1" i="3"/>
  <c r="EQ1" i="3"/>
  <c r="EP1" i="3"/>
  <c r="EO1" i="3"/>
  <c r="EM1" i="3"/>
  <c r="EL1" i="3"/>
  <c r="EK1" i="3"/>
  <c r="EJ1" i="3"/>
  <c r="EI1" i="3"/>
  <c r="EH1" i="3"/>
  <c r="EG1" i="3"/>
  <c r="EF1" i="3"/>
  <c r="EE1" i="3"/>
  <c r="ED1" i="3"/>
  <c r="EB1" i="3"/>
  <c r="EA1" i="3"/>
  <c r="DZ1" i="3"/>
  <c r="DY1" i="3"/>
  <c r="DX1" i="3"/>
  <c r="DW1" i="3"/>
  <c r="DV1" i="3"/>
  <c r="DU1" i="3"/>
  <c r="DT1" i="3"/>
  <c r="DS1" i="3"/>
  <c r="DQ1" i="3"/>
  <c r="DP1" i="3"/>
  <c r="DO1" i="3"/>
  <c r="DN1" i="3"/>
  <c r="DM1" i="3"/>
  <c r="DL1" i="3"/>
  <c r="DK1" i="3"/>
  <c r="DJ1" i="3"/>
  <c r="DI1" i="3"/>
  <c r="DH1" i="3"/>
  <c r="DF1" i="3"/>
  <c r="DE1" i="3"/>
  <c r="DD1" i="3"/>
  <c r="DC1" i="3"/>
  <c r="DB1" i="3"/>
  <c r="DA1" i="3"/>
  <c r="CZ1" i="3"/>
  <c r="CY1" i="3"/>
  <c r="CX1" i="3"/>
  <c r="CW1" i="3"/>
  <c r="CU1" i="3"/>
  <c r="CT1" i="3"/>
  <c r="CS1" i="3"/>
  <c r="CR1" i="3"/>
  <c r="CQ1" i="3"/>
  <c r="CP1" i="3"/>
  <c r="CO1" i="3"/>
  <c r="CN1" i="3"/>
  <c r="CM1" i="3"/>
  <c r="CL1" i="3"/>
  <c r="CJ1" i="3"/>
  <c r="CI1" i="3"/>
  <c r="CH1" i="3"/>
  <c r="CG1" i="3"/>
  <c r="CF1" i="3"/>
  <c r="CE1" i="3"/>
  <c r="CD1" i="3"/>
  <c r="CC1" i="3"/>
  <c r="CB1" i="3"/>
  <c r="CA1" i="3"/>
  <c r="BY1" i="3"/>
  <c r="BX1" i="3"/>
  <c r="BW1" i="3"/>
  <c r="BV1" i="3"/>
  <c r="BU1" i="3"/>
  <c r="BT1" i="3"/>
  <c r="BS1" i="3"/>
  <c r="BR1" i="3"/>
  <c r="BQ1" i="3"/>
  <c r="BP1" i="3"/>
  <c r="BN1" i="3"/>
  <c r="BM1" i="3"/>
  <c r="BL1" i="3"/>
  <c r="BK1" i="3"/>
  <c r="BJ1" i="3"/>
  <c r="BI1" i="3"/>
  <c r="BH1" i="3"/>
  <c r="BG1" i="3"/>
  <c r="BF1" i="3"/>
  <c r="BE1" i="3"/>
  <c r="BC1" i="3"/>
  <c r="BB1" i="3"/>
  <c r="BA1" i="3"/>
  <c r="AZ1" i="3"/>
  <c r="AY1" i="3"/>
  <c r="AX1" i="3"/>
  <c r="AW1" i="3"/>
  <c r="AV1" i="3"/>
  <c r="AU1" i="3"/>
  <c r="AT1" i="3"/>
  <c r="AR1" i="3"/>
  <c r="AQ1" i="3"/>
  <c r="AP1" i="3"/>
  <c r="AO1" i="3"/>
  <c r="AN1" i="3"/>
  <c r="AM1" i="3"/>
  <c r="AL1" i="3"/>
  <c r="AK1" i="3"/>
  <c r="AJ1" i="3"/>
  <c r="AI1" i="3"/>
  <c r="AG1" i="3"/>
  <c r="AF1" i="3"/>
  <c r="AE1" i="3"/>
  <c r="AD1" i="3"/>
  <c r="AC1" i="3"/>
  <c r="AB1" i="3"/>
  <c r="AA1" i="3"/>
  <c r="Z1" i="3"/>
  <c r="Y1" i="3"/>
  <c r="X1" i="3"/>
  <c r="V1" i="3"/>
  <c r="U1" i="3"/>
  <c r="T1" i="3"/>
  <c r="S1" i="3"/>
  <c r="R1" i="3"/>
  <c r="Q1" i="3"/>
  <c r="P1" i="3"/>
  <c r="O1" i="3"/>
  <c r="N1" i="3"/>
  <c r="M1" i="3"/>
  <c r="K1" i="3"/>
  <c r="J1" i="3"/>
  <c r="I1" i="3"/>
  <c r="H1" i="3"/>
  <c r="G1" i="3"/>
  <c r="F1" i="3"/>
  <c r="E1" i="3"/>
  <c r="D1" i="3"/>
  <c r="C1" i="3"/>
  <c r="B1" i="3"/>
</calcChain>
</file>

<file path=xl/sharedStrings.xml><?xml version="1.0" encoding="utf-8"?>
<sst xmlns="http://schemas.openxmlformats.org/spreadsheetml/2006/main" count="2497" uniqueCount="261">
  <si>
    <t>Resources</t>
  </si>
  <si>
    <t>Vaccines</t>
  </si>
  <si>
    <t>Vaccine Type (CVX)</t>
  </si>
  <si>
    <t>Preferable Age Range</t>
  </si>
  <si>
    <t>Allowable Age Range</t>
  </si>
  <si>
    <t>Trade Name (MVX)</t>
  </si>
  <si>
    <t>Volume (ml)</t>
  </si>
  <si>
    <t>Status</t>
  </si>
  <si>
    <t>Notes</t>
  </si>
  <si>
    <t>Active</t>
  </si>
  <si>
    <t>Inactive</t>
  </si>
  <si>
    <t>Hep B, Dialysis (44)</t>
  </si>
  <si>
    <t>n/a</t>
  </si>
  <si>
    <t>Hep B, Unspecified Formulation (45)</t>
  </si>
  <si>
    <t>Hib-HepB (51)</t>
  </si>
  <si>
    <t>DTaP-Hib-HepB (102)</t>
  </si>
  <si>
    <t>HepA-HepB (104)</t>
  </si>
  <si>
    <t>DTaP-HepB-IPV (110)</t>
  </si>
  <si>
    <t>DTaP-IPV-Hib-HepB, historical (132)</t>
  </si>
  <si>
    <t>DTaP-IPV-Hib-HepB (146)</t>
  </si>
  <si>
    <t>3-Dose Primary Series</t>
  </si>
  <si>
    <t>4-Dose Series</t>
  </si>
  <si>
    <t>2-Dose Adolescent Series</t>
  </si>
  <si>
    <t>As per the 1/28/11 MMWR General Recommendations, a 2-dose series separated by at least 4 months of adult formulation Recombivax HB is licensed for use in children aged 11 through 15 years</t>
  </si>
  <si>
    <t>A 3-dose Twinrix series for adults 18 and over</t>
  </si>
  <si>
    <t>Series Name</t>
  </si>
  <si>
    <t>Target Disease</t>
  </si>
  <si>
    <t>Vaccine Group</t>
  </si>
  <si>
    <t>Select Best Patient Series</t>
  </si>
  <si>
    <t>Default Series</t>
  </si>
  <si>
    <t>Product Path</t>
  </si>
  <si>
    <t>Series Preference</t>
  </si>
  <si>
    <t>Yes</t>
  </si>
  <si>
    <t>No</t>
  </si>
  <si>
    <t>Series Dose</t>
  </si>
  <si>
    <t>Dose 1</t>
  </si>
  <si>
    <t>Age</t>
  </si>
  <si>
    <t>Absolute Minimum Age</t>
  </si>
  <si>
    <t>Minimum Age</t>
  </si>
  <si>
    <t>Earliest Recommended Age</t>
  </si>
  <si>
    <t>Latest Recommended Age (less than)</t>
  </si>
  <si>
    <t>Maximum Age (less than)</t>
  </si>
  <si>
    <t>0 days</t>
  </si>
  <si>
    <t>0 days</t>
  </si>
  <si>
    <t>4 weeks</t>
  </si>
  <si>
    <t>Interval</t>
  </si>
  <si>
    <t>From Immediate Previous Dose Administered? Y/N</t>
  </si>
  <si>
    <t>From Target Dose # in Series</t>
  </si>
  <si>
    <t>Absolute Minimum Interval</t>
  </si>
  <si>
    <t>Minimum Interval</t>
  </si>
  <si>
    <t>Earliest Recommended Interval</t>
  </si>
  <si>
    <t>Latest Recommended Interval (less than)</t>
  </si>
  <si>
    <t>Preferable Vaccine</t>
  </si>
  <si>
    <t>Vaccine Type Begin Age</t>
  </si>
  <si>
    <t>Vaccine Type End Age (less than)</t>
  </si>
  <si>
    <t>Volume (in ml)</t>
  </si>
  <si>
    <t>20 years</t>
  </si>
  <si>
    <t>Hep B, Adult (43)</t>
  </si>
  <si>
    <t>n/a</t>
  </si>
  <si>
    <t>6 weeks</t>
  </si>
  <si>
    <t>7 years</t>
  </si>
  <si>
    <t>Allowable Vaccine</t>
  </si>
  <si>
    <t>Hep B, Adol/high risk infant (42)</t>
  </si>
  <si>
    <t>Recurring Dose</t>
  </si>
  <si>
    <t>Recurring Dose (Yes/No)</t>
  </si>
  <si>
    <t>Start Date</t>
  </si>
  <si>
    <t>End Date</t>
  </si>
  <si>
    <t>Seasonal Recommendation</t>
  </si>
  <si>
    <t>Gender</t>
  </si>
  <si>
    <t>Required Gender</t>
  </si>
  <si>
    <t>Dose 2</t>
  </si>
  <si>
    <t>4 weeks - 4 days</t>
  </si>
  <si>
    <t>1 month</t>
  </si>
  <si>
    <t>3 months + 4 weeks</t>
  </si>
  <si>
    <t>Y</t>
  </si>
  <si>
    <t>5 months + 4 weeks</t>
  </si>
  <si>
    <t>Dose 3</t>
  </si>
  <si>
    <t>24 weeks - 4 days</t>
  </si>
  <si>
    <t>24 weeks</t>
  </si>
  <si>
    <t>6 months</t>
  </si>
  <si>
    <t>19 months + 4 weeks</t>
  </si>
  <si>
    <t>8 weeks - 4 days</t>
  </si>
  <si>
    <t>8 weeks</t>
  </si>
  <si>
    <t>18 months + 4 weeks</t>
  </si>
  <si>
    <t>N</t>
  </si>
  <si>
    <t>16 weeks - 4 days</t>
  </si>
  <si>
    <t>AAAAAHy57Zk=</t>
  </si>
  <si>
    <t>2 months</t>
  </si>
  <si>
    <t>4 months</t>
  </si>
  <si>
    <t>Dose 4</t>
  </si>
  <si>
    <t>16 weeks</t>
  </si>
  <si>
    <t>HepB 4-Dose Series (Comvax)</t>
  </si>
  <si>
    <t>11 years - 4 days</t>
  </si>
  <si>
    <t>11 years</t>
  </si>
  <si>
    <t>16 years</t>
  </si>
  <si>
    <t>4 months - 4 days</t>
  </si>
  <si>
    <t>Twinrix 3-Dose Series</t>
  </si>
  <si>
    <t>18 years</t>
  </si>
  <si>
    <t>5 months - 4 days</t>
  </si>
  <si>
    <t>5 months</t>
  </si>
  <si>
    <t>#VALUE!:notNumber</t>
  </si>
  <si>
    <t>Overview</t>
  </si>
  <si>
    <t>Hep B, Adol/peds (08)</t>
  </si>
  <si>
    <t>≥0 d</t>
  </si>
  <si>
    <t>ENGERIX-B PEDS (SKB)</t>
  </si>
  <si>
    <t>RECOMBIVAX PEDS (MSD)</t>
  </si>
  <si>
    <t>not preferred</t>
  </si>
  <si>
    <t>RECOMBIVAX ADULT (MSD)</t>
  </si>
  <si>
    <t>ENGERIX-B ADULT (SKB)</t>
  </si>
  <si>
    <t>RECOMBIVAX DIALYSIS (MSD)</t>
  </si>
  <si>
    <t>COMVAX (MSD)</t>
  </si>
  <si>
    <t>Pentavalente (Not licensed in U.S.)</t>
  </si>
  <si>
    <t>TWINRIX (SKB)</t>
  </si>
  <si>
    <t>≥6 wks to &lt;7 yrs</t>
  </si>
  <si>
    <t>PEDIARIX (SKB)</t>
  </si>
  <si>
    <t>≥18 yrs</t>
  </si>
  <si>
    <t>≥20 yrs</t>
  </si>
  <si>
    <t>Version</t>
  </si>
  <si>
    <t>Change</t>
  </si>
  <si>
    <t>Change #</t>
  </si>
  <si>
    <t>Area</t>
  </si>
  <si>
    <t>Previous</t>
  </si>
  <si>
    <t>Reason for Change</t>
  </si>
  <si>
    <t>General Updates</t>
  </si>
  <si>
    <t>N/A</t>
  </si>
  <si>
    <t>Added "Overview" section to Overview tab.  Cleaned up vaccine names in overview table and "series" tabs.</t>
  </si>
  <si>
    <t>Inconsistencies between Vaccine table in overview tab and "series" tabs</t>
  </si>
  <si>
    <t>Preferable and Allowable Vaccines</t>
  </si>
  <si>
    <t>Improved dilineation between preferrable and allowable vaccines through clear age range definition</t>
  </si>
  <si>
    <t>Consistency effort across all antigens to clearly define preferred vaccines which should be given and allowable vaccines which can be given.</t>
  </si>
  <si>
    <t>The maximum age modified to align with the products preferred age range per clarifications</t>
  </si>
  <si>
    <t>≥6 wks to &lt;6 yrs</t>
  </si>
  <si>
    <t>6 years</t>
  </si>
  <si>
    <t>Generic 4-dose series</t>
  </si>
  <si>
    <t>Maximum Age Values</t>
  </si>
  <si>
    <t>Consistent 7 year on all doses</t>
  </si>
  <si>
    <t>Comvax 4-dose series</t>
  </si>
  <si>
    <t>Consistent 6 year on all doses</t>
  </si>
  <si>
    <t>Absolute Min Age and Min Age on both 4-dose series</t>
  </si>
  <si>
    <t>4 weeks (- 4 days on abs min)</t>
  </si>
  <si>
    <t>Align with HepB recommendations for minimum age on dose 2.</t>
  </si>
  <si>
    <t>7 months + 4 weeks</t>
  </si>
  <si>
    <t>Dose 2 interval in Adolescent Recombivax series</t>
  </si>
  <si>
    <t>Earliest Recommended: 5M+4W
Latest Recommended: n/a</t>
  </si>
  <si>
    <t>Earliest Recommended: 4M
Latest Recommended: 7M + 4W</t>
  </si>
  <si>
    <t>Correction to align with MMWR which states 4 through 6 Months (less than 7M + the 4W buffer)</t>
  </si>
  <si>
    <t>≥0 d to &lt;20 yrs</t>
  </si>
  <si>
    <t>General Recs – MMWR/ January 28, 2011 / Vol. 60 / No. 2 - http://www.cdc.gov/mmwr/pdf/rr/rr6002.pdf</t>
  </si>
  <si>
    <t>IIS Standard Code Sets - http://www.cdc.gov/vaccines/programs/iis/code-sets.html</t>
  </si>
  <si>
    <t>A Comprehensive Immunization Strategy to Eliminate Transmission of Hepatitis B Virus Infection in the United States (Part I) - http://www.cdc.gov/mmwr/PDF/rr/rr5416.pdf</t>
  </si>
  <si>
    <t>A Comprehensive Immunization Strategy to Eliminate Transmission of Hepatitis B Virus Infection in the United States (Part II) - http://www.cdc.gov/mmwr/PDF/rr/rr5516.pdf</t>
  </si>
  <si>
    <t>Also has preferred usage for a 2-dose adolescents age 11 through 15 yrs.</t>
  </si>
  <si>
    <t>Each Supporting Data file is targeted to one specific antigen and is comprised of three or more tabs.</t>
  </si>
  <si>
    <r>
      <t xml:space="preserve">The first tab is this tab (Antigen Series Overview) and is merely a high-level tab to orient the user in regards to the other tabs.  It </t>
    </r>
    <r>
      <rPr>
        <b/>
        <u/>
        <sz val="10"/>
        <color rgb="FF000000"/>
        <rFont val="Arial"/>
        <family val="2"/>
      </rPr>
      <t>should not</t>
    </r>
    <r>
      <rPr>
        <sz val="10"/>
        <color rgb="FF000000"/>
        <rFont val="Arial"/>
        <family val="2"/>
      </rPr>
      <t xml:space="preserve"> be used to infer, interpret, or assume any logic or values.</t>
    </r>
  </si>
  <si>
    <t>The second tab is the change history tab used to document the changes to the supporting data.</t>
  </si>
  <si>
    <r>
      <t xml:space="preserve">Each subsequent tab contains structured detail for an Antigen Series, or "path to immunity", and </t>
    </r>
    <r>
      <rPr>
        <b/>
        <u/>
        <sz val="10"/>
        <color rgb="FF000000"/>
        <rFont val="Arial"/>
        <family val="2"/>
      </rPr>
      <t>should</t>
    </r>
    <r>
      <rPr>
        <sz val="10"/>
        <color rgb="FF000000"/>
        <rFont val="Arial"/>
        <family val="2"/>
      </rPr>
      <t xml:space="preserve"> be used for CDS purposes</t>
    </r>
  </si>
  <si>
    <t>The number of Antigen Series tabs varies based on the antigen and associated ACIP recommendation complexities.</t>
  </si>
  <si>
    <t>The HepB 4-dose series is designed to be compatible with other vaccine group series; the use of combination vaccines often results in an extra (4th) dose of HepB.</t>
  </si>
  <si>
    <t>This series accommodates this without marking the extra HepB dose as being invalid.</t>
  </si>
  <si>
    <t>Maximum Age To Start</t>
  </si>
  <si>
    <t>Removed entire series.</t>
  </si>
  <si>
    <t>Based on guidance from EIPB, the 4-dose series for HepB should not be forecasted, but validated after the fact.  Given this notion, only one 4-dose series is needed which can handle all combinations of products.  Previously, the two 4-dose series had a large amount of overlap with this series focusing on forecasting Comvax specific forecasting for Hib alignment.</t>
  </si>
  <si>
    <t>Allowable Interval</t>
  </si>
  <si>
    <t>HepB 4-Dose Series
   -&gt; Dose 3 
         -&gt; Age</t>
  </si>
  <si>
    <t>Fully specified</t>
  </si>
  <si>
    <t>Removed age requirements</t>
  </si>
  <si>
    <t>Based on guidance from EIPB, the 3rd dose can be "dropped out" when validating a 4-dose administration.  As such, the age requirements were removed to allow the 3rd dose to be valid.</t>
  </si>
  <si>
    <t>HepB 4-Dose Series
   -&gt; Dose 3 
         -&gt; Interval</t>
  </si>
  <si>
    <t>Removed interval requirements</t>
  </si>
  <si>
    <t>Based on guidance from EIPB, the 3rd dose can be "dropped out" when validating a 4-dose administration.  As such, the interval requirements were removed to allow the 3rd dose to be valid.</t>
  </si>
  <si>
    <t>HepB 4-Dose Series
   -&gt; Dose 4 
         -&gt; Interval</t>
  </si>
  <si>
    <t>Three intervals were specified
* 16 weeks from dose 1
* 8 weeks from dose 2
* 1 week from previous dose</t>
  </si>
  <si>
    <t>Updated intervals are:
* 16 weeks from dose 1
* 8 weeks from previous dose</t>
  </si>
  <si>
    <t>Based on guidance from EIPB the 4th dose should be forecasted similar to the traditional 3rd dose.  As such, the interval requirements were updated to reflect this.</t>
  </si>
  <si>
    <t>HepB 4-Dose Series
 -&gt; Dose 4 
   -&gt; Allowable Interval</t>
  </si>
  <si>
    <t>Not Specified</t>
  </si>
  <si>
    <t>Now specified to be 16 weeks - 4 days from dose 1</t>
  </si>
  <si>
    <t>Based on guidance from EIPB the 4th dose can be considered valid as long as it is 24 weeks - 4 days of age and 16 weeks - 4 days from dose 1.  It is not necessary to retain the 8 week interval from the previous dose for validation purposes.  As such, the allowable interval is used to specify this requirement.</t>
  </si>
  <si>
    <t>HepB 4-Dose Series
  -&gt; All Doses
     -&gt; Maximum Age</t>
  </si>
  <si>
    <t>7 Years</t>
  </si>
  <si>
    <t>Removed</t>
  </si>
  <si>
    <t>This series originially started to serve Pediarix specifically which has an upper age of 7 years.  Now that this series is designed to validate all HepB vaccines, this upper bound is no longer needed.</t>
  </si>
  <si>
    <t>16 years - 4 months</t>
  </si>
  <si>
    <t>HepB 2-Dose Adolescent Series
-&gt;  Select Best Patient Series
-&gt; Maximum Age To Start</t>
  </si>
  <si>
    <t>Previously, this series would be selected as the best series if a dose of Recombivax Adult was administered on or after 11 years of age.  This should be the case up until the point where the series cannot be completed.  That is, if the first dose is administered on or after 16 years - 4 months of age, the series cannot be completed since the interval is 4 months.  Adding 16 years - 4 months for the Maximum Age To Start the series will produce the desired result to not further recommend a second dose in 4 months which would be after age 16 years.</t>
  </si>
  <si>
    <t>The third tab is the Immunity tab used to document evidence of  immunity.</t>
  </si>
  <si>
    <t>Recommended Immunization Schedule for Persons Aged 0 through 18 years (2015) - http://www.cdc.gov/vaccines/schedules/downloads/child/0-18yrs-child-combined-schedule.pdf</t>
  </si>
  <si>
    <t>General Update</t>
  </si>
  <si>
    <t xml:space="preserve">Added Immunity Tab.  </t>
  </si>
  <si>
    <t>To document evidence of immunity where applicable.</t>
  </si>
  <si>
    <t>Clinical History Immunity</t>
  </si>
  <si>
    <t>Immunity Guideline</t>
  </si>
  <si>
    <t xml:space="preserve"> Concept </t>
  </si>
  <si>
    <t xml:space="preserve">Concept Code </t>
  </si>
  <si>
    <t>Concept Text</t>
  </si>
  <si>
    <t>Birth Date Immunity</t>
  </si>
  <si>
    <t>Immunity Date</t>
  </si>
  <si>
    <t>Concept</t>
  </si>
  <si>
    <t>Concept Code</t>
  </si>
  <si>
    <t>Added 2015 Childhood and Adult Immunization Schedules  to the Resources area.</t>
  </si>
  <si>
    <t>To provide current ACIP Immunization recommendations for Persons Aged 0 through 18 and Adults aged 19 years and older.</t>
  </si>
  <si>
    <t xml:space="preserve">Recommended Immunization Schedule for Adults 19 and over (2015) - http://www.cdc.gov/vaccines/schedules/downloads/adult/adult-combined-schedule.pdf </t>
  </si>
  <si>
    <t>Exclusion Condition</t>
  </si>
  <si>
    <t>Laboratory Evidence of Immunity or confirmation of Hepatitis B Disease</t>
  </si>
  <si>
    <t>SNOMED-CT</t>
  </si>
  <si>
    <t>271511000</t>
  </si>
  <si>
    <t>Hepatitis B Immune (Finding)</t>
  </si>
  <si>
    <t>Country of Birth</t>
  </si>
  <si>
    <t>Minimum Age To Start</t>
  </si>
  <si>
    <t>Begin Age</t>
  </si>
  <si>
    <t>End Age</t>
  </si>
  <si>
    <t>Forecast Vaccine Type (Y/N)</t>
  </si>
  <si>
    <t>From Most Recent (CVX)</t>
  </si>
  <si>
    <t>Twinrix 4 Dose Series</t>
  </si>
  <si>
    <t>7 days</t>
  </si>
  <si>
    <t>12 months - 4 days</t>
  </si>
  <si>
    <t>12 months</t>
  </si>
  <si>
    <t>Twinrix 3 Dose Series</t>
  </si>
  <si>
    <t>Hep B 2 Dose Adolescent Series</t>
  </si>
  <si>
    <t>Hep B 4 Dose Series</t>
  </si>
  <si>
    <t>Hep B 3 Dose Primary Series</t>
  </si>
  <si>
    <t>Hep B 3 and 4-Dose series, Allowable Vaccine, all doses</t>
  </si>
  <si>
    <t>Added HepA-HepB (104)</t>
  </si>
  <si>
    <t>To allow for interchangeability of receiving a Hep B component.</t>
  </si>
  <si>
    <t>Hep B Twinrix 3 Dose Series Hep B Dose, Allowable Vaccine</t>
  </si>
  <si>
    <t>Added Hep B, adult (43)</t>
  </si>
  <si>
    <t>Adding the new value would allow for the swapping of  Twinrix with a standard adult dose of hepatitis B to be a complete series for hepatitis B vaccine for adults 18 years and over.</t>
  </si>
  <si>
    <t xml:space="preserve">Hep B Twinrix 4-dose </t>
  </si>
  <si>
    <t>Added Twinrix 4 dose series</t>
  </si>
  <si>
    <t>Adding the new series allows for individuals such as people who are traveling to high-prevalence areas imminently and emergency responders, especially those being deployed to disaster areas overseas, who are in need of rapid protection from Hepatitis B.</t>
  </si>
  <si>
    <t>Twinrix 4-Dose Series</t>
  </si>
  <si>
    <t>A 4-dose Twinrix series for adults 18 and over</t>
  </si>
  <si>
    <t>HepB</t>
  </si>
  <si>
    <t>Vaccine Types (CVX List)</t>
  </si>
  <si>
    <t>18 years - 4 days</t>
  </si>
  <si>
    <t>Typo in version 2.1.</t>
  </si>
  <si>
    <t>Conditional Skip</t>
  </si>
  <si>
    <t>Set Logic</t>
  </si>
  <si>
    <t>Set ID</t>
  </si>
  <si>
    <t>Description</t>
  </si>
  <si>
    <t>Condition Logic</t>
  </si>
  <si>
    <t>Condition ID</t>
  </si>
  <si>
    <t>Type</t>
  </si>
  <si>
    <t>Dose Count</t>
  </si>
  <si>
    <t>Dose Type</t>
  </si>
  <si>
    <t>Dose Count Logic</t>
  </si>
  <si>
    <t>Interval Priority Flag</t>
  </si>
  <si>
    <t>na</t>
  </si>
  <si>
    <t>14 days</t>
  </si>
  <si>
    <t>24 days</t>
  </si>
  <si>
    <t>All doses - Interval</t>
  </si>
  <si>
    <t>Added Interval Priority Skip</t>
  </si>
  <si>
    <t>To determine, if applicable, when an interval override should be used.</t>
  </si>
  <si>
    <t>Removed Skip dose, Conditional Need, and Substitute Dose concepts</t>
  </si>
  <si>
    <t>Added Conditional Skip concept</t>
  </si>
  <si>
    <t xml:space="preserve">To better align with current ACIP recommendations. </t>
  </si>
  <si>
    <t>To align with current ACIP recommendations.</t>
  </si>
  <si>
    <t>Absolute Minimal Interval, Minimal Interval, and Earliest Recommended Interval were 21 days. The Latest Recommended Interval was 30 days.</t>
  </si>
  <si>
    <t>Twinrix 3 and 4 dose series - Age - Absolute Minimum Age</t>
  </si>
  <si>
    <t>Twinrix 4 Dose Series- Dose 3 - Interval</t>
  </si>
  <si>
    <t>Changed the Absolute Minimal Interval, Minimal Interval, Earliest Recommended Interval to 14 days and changed the Latest Recommended Interval to 24 days respectively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</si>
</sst>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5" x14ac:knownFonts="1">
    <font>
      <sz val="10"/>
      <color rgb="FF000000"/>
      <name val="Arial"/>
    </font>
    <font>
      <sz val="10"/>
      <color rgb="FF000000"/>
      <name val="Arial"/>
      <family val="2"/>
    </font>
    <font>
      <sz val="12"/>
      <color rgb="FF8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8"/>
      <color rgb="FF000000"/>
      <name val="Arial"/>
      <family val="2"/>
    </font>
    <font>
      <sz val="10"/>
      <color rgb="FF000000"/>
      <name val="Arial"/>
      <family val="2"/>
    </font>
    <font>
      <sz val="10"/>
      <color rgb="FF000000"/>
      <name val="Arial"/>
      <family val="2"/>
    </font>
    <font>
      <sz val="12"/>
      <color rgb="FF800000"/>
      <name val="Arial"/>
      <family val="2"/>
    </font>
    <font>
      <sz val="12"/>
      <color rgb="FF800000"/>
      <name val="Arial"/>
      <family val="2"/>
    </font>
    <font>
      <sz val="10"/>
      <color rgb="FF000000"/>
      <name val="Arial"/>
      <family val="2"/>
    </font>
    <font>
      <sz val="10"/>
      <color rgb="FF000000"/>
      <name val="Arial"/>
      <family val="2"/>
    </font>
    <font>
      <sz val="12"/>
      <color rgb="FF800000"/>
      <name val="Arial"/>
      <family val="2"/>
    </font>
    <font>
      <sz val="8"/>
      <color rgb="FF000000"/>
      <name val="Arial"/>
      <family val="2"/>
    </font>
    <font>
      <sz val="10"/>
      <color rgb="FF000000"/>
      <name val="Arial"/>
      <family val="2"/>
    </font>
    <font>
      <sz val="10"/>
      <color rgb="FF000000"/>
      <name val="Arial"/>
      <family val="2"/>
    </font>
    <font>
      <sz val="12"/>
      <color rgb="FF8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8"/>
      <color rgb="FF000000"/>
      <name val="Arial"/>
      <family val="2"/>
    </font>
    <font>
      <sz val="12"/>
      <color rgb="FF800000"/>
      <name val="Arial"/>
      <family val="2"/>
    </font>
    <font>
      <sz val="8"/>
      <color rgb="FF000000"/>
      <name val="Arial"/>
      <family val="2"/>
    </font>
    <font>
      <sz val="12"/>
      <color rgb="FF800000"/>
      <name val="Arial"/>
      <family val="2"/>
    </font>
    <font>
      <sz val="12"/>
      <color rgb="FF800000"/>
      <name val="Arial"/>
      <family val="2"/>
    </font>
    <font>
      <sz val="10"/>
      <color rgb="FF000000"/>
      <name val="Arial"/>
      <family val="2"/>
    </font>
    <font>
      <sz val="10"/>
      <color rgb="FF000000"/>
      <name val="Arial"/>
      <family val="2"/>
    </font>
    <font>
      <sz val="10"/>
      <color rgb="FF000000"/>
      <name val="Arial"/>
      <family val="2"/>
    </font>
    <font>
      <sz val="8"/>
      <color rgb="FF000000"/>
      <name val="Arial"/>
      <family val="2"/>
    </font>
    <font>
      <sz val="12"/>
      <color rgb="FF800000"/>
      <name val="Arial"/>
      <family val="2"/>
    </font>
    <font>
      <sz val="10"/>
      <color rgb="FF000000"/>
      <name val="Arial"/>
      <family val="2"/>
    </font>
    <font>
      <sz val="12"/>
      <color rgb="FF800000"/>
      <name val="Arial"/>
      <family val="2"/>
    </font>
    <font>
      <sz val="8"/>
      <color rgb="FF000000"/>
      <name val="Arial"/>
      <family val="2"/>
    </font>
    <font>
      <sz val="12"/>
      <color rgb="FF800000"/>
      <name val="Arial"/>
      <family val="2"/>
    </font>
    <font>
      <sz val="10"/>
      <color rgb="FF000000"/>
      <name val="Arial"/>
      <family val="2"/>
    </font>
    <font>
      <sz val="10"/>
      <name val="Arial"/>
      <family val="2"/>
    </font>
    <font>
      <b/>
      <u/>
      <sz val="10"/>
      <color rgb="FF000000"/>
      <name val="Arial"/>
      <family val="2"/>
    </font>
    <font>
      <sz val="10"/>
      <color rgb="FFFF9966"/>
      <name val="Arial"/>
      <family val="2"/>
    </font>
    <font>
      <sz val="10"/>
      <color rgb="FF000000"/>
      <name val="Arial"/>
    </font>
    <font>
      <sz val="11"/>
      <color rgb="FF9C6500"/>
      <name val="Calibri"/>
      <family val="2"/>
      <scheme val="minor"/>
    </font>
    <font>
      <sz val="12"/>
      <color rgb="FF990000"/>
      <name val="Arial"/>
      <family val="2"/>
    </font>
  </fonts>
  <fills count="26">
    <fill>
      <patternFill patternType="none"/>
    </fill>
    <fill>
      <patternFill patternType="gray125"/>
    </fill>
    <fill>
      <patternFill patternType="solid">
        <fgColor rgb="FFFF9966"/>
        <bgColor indexed="64"/>
      </patternFill>
    </fill>
    <fill>
      <patternFill patternType="solid">
        <fgColor rgb="FFFF9966"/>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CC99"/>
        <bgColor indexed="64"/>
      </patternFill>
    </fill>
    <fill>
      <patternFill patternType="solid">
        <fgColor rgb="FFFF9966"/>
        <bgColor indexed="64"/>
      </patternFill>
    </fill>
    <fill>
      <patternFill patternType="solid">
        <fgColor rgb="FFFFFF99"/>
        <bgColor indexed="64"/>
      </patternFill>
    </fill>
    <fill>
      <patternFill patternType="solid">
        <fgColor rgb="FFFFFF99"/>
        <bgColor indexed="64"/>
      </patternFill>
    </fill>
    <fill>
      <patternFill patternType="solid">
        <fgColor rgb="FFFF9966"/>
        <bgColor indexed="64"/>
      </patternFill>
    </fill>
    <fill>
      <patternFill patternType="solid">
        <fgColor rgb="FFFFCC99"/>
        <bgColor indexed="64"/>
      </patternFill>
    </fill>
    <fill>
      <patternFill patternType="solid">
        <fgColor rgb="FFFFFF99"/>
        <bgColor indexed="64"/>
      </patternFill>
    </fill>
    <fill>
      <patternFill patternType="solid">
        <fgColor rgb="FFFFCC99"/>
        <bgColor indexed="64"/>
      </patternFill>
    </fill>
    <fill>
      <patternFill patternType="solid">
        <fgColor rgb="FFFFFF99"/>
        <bgColor indexed="64"/>
      </patternFill>
    </fill>
    <fill>
      <patternFill patternType="solid">
        <fgColor rgb="FFFF9966"/>
        <bgColor indexed="64"/>
      </patternFill>
    </fill>
    <fill>
      <patternFill patternType="solid">
        <fgColor rgb="FFFFFF99"/>
        <bgColor indexed="64"/>
      </patternFill>
    </fill>
    <fill>
      <patternFill patternType="solid">
        <fgColor rgb="FFFFCC99"/>
        <bgColor indexed="64"/>
      </patternFill>
    </fill>
    <fill>
      <patternFill patternType="solid">
        <fgColor rgb="FFFF9966"/>
        <bgColor indexed="64"/>
      </patternFill>
    </fill>
    <fill>
      <patternFill patternType="solid">
        <fgColor rgb="FFFFFF99"/>
        <bgColor indexed="64"/>
      </patternFill>
    </fill>
    <fill>
      <patternFill patternType="solid">
        <fgColor rgb="FFFFFF99"/>
        <bgColor indexed="64"/>
      </patternFill>
    </fill>
    <fill>
      <patternFill patternType="solid">
        <fgColor rgb="FFFF9966"/>
        <bgColor indexed="64"/>
      </patternFill>
    </fill>
    <fill>
      <patternFill patternType="solid">
        <fgColor rgb="FFFFEB9C"/>
      </patternFill>
    </fill>
    <fill>
      <patternFill patternType="solid">
        <fgColor theme="9" tint="0.39997558519241921"/>
        <bgColor indexed="64"/>
      </patternFill>
    </fill>
    <fill>
      <patternFill patternType="solid">
        <fgColor rgb="FFFFEB9C"/>
        <bgColor indexed="64"/>
      </patternFill>
    </fill>
  </fills>
  <borders count="61">
    <border>
      <left/>
      <right/>
      <top/>
      <bottom/>
      <diagonal/>
    </border>
    <border>
      <left/>
      <right/>
      <top style="thin">
        <color rgb="FF000000"/>
      </top>
      <bottom/>
      <diagonal/>
    </border>
    <border>
      <left/>
      <right/>
      <top style="thin">
        <color indexed="64"/>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style="thin">
        <color indexed="64"/>
      </left>
      <right/>
      <top style="thin">
        <color rgb="FF000000"/>
      </top>
      <bottom/>
      <diagonal/>
    </border>
    <border>
      <left/>
      <right style="thin">
        <color indexed="64"/>
      </right>
      <top style="thin">
        <color indexed="64"/>
      </top>
      <bottom style="thin">
        <color indexed="64"/>
      </bottom>
      <diagonal/>
    </border>
    <border>
      <left/>
      <right style="thin">
        <color rgb="FF000000"/>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rgb="FF000000"/>
      </right>
      <top/>
      <bottom/>
      <diagonal/>
    </border>
  </borders>
  <cellStyleXfs count="8">
    <xf numFmtId="0" fontId="0" fillId="0" borderId="0"/>
    <xf numFmtId="0" fontId="1" fillId="0" borderId="0"/>
    <xf numFmtId="0" fontId="43" fillId="23" borderId="0" applyNumberFormat="0" applyBorder="0" applyAlignment="0" applyProtection="0"/>
    <xf numFmtId="0" fontId="42" fillId="0" borderId="0"/>
    <xf numFmtId="0" fontId="1" fillId="0" borderId="0"/>
    <xf numFmtId="0" fontId="1" fillId="0" borderId="0"/>
    <xf numFmtId="0" fontId="42" fillId="0" borderId="0"/>
    <xf numFmtId="0" fontId="1" fillId="0" borderId="0"/>
  </cellStyleXfs>
  <cellXfs count="216">
    <xf numFmtId="0" fontId="0" fillId="0" borderId="0" xfId="0" applyAlignment="1">
      <alignment wrapText="1"/>
    </xf>
    <xf numFmtId="0" fontId="0" fillId="0" borderId="1" xfId="0" applyBorder="1" applyAlignment="1">
      <alignment wrapText="1"/>
    </xf>
    <xf numFmtId="0" fontId="1" fillId="0" borderId="2" xfId="0" applyFont="1" applyBorder="1" applyAlignment="1">
      <alignment wrapText="1"/>
    </xf>
    <xf numFmtId="0" fontId="3" fillId="0" borderId="3" xfId="0" applyFont="1" applyBorder="1" applyAlignment="1">
      <alignment wrapText="1"/>
    </xf>
    <xf numFmtId="0" fontId="5" fillId="0" borderId="5" xfId="0" applyFont="1" applyBorder="1" applyAlignment="1">
      <alignment wrapText="1"/>
    </xf>
    <xf numFmtId="0" fontId="0" fillId="0" borderId="6" xfId="0" applyBorder="1" applyAlignment="1">
      <alignment wrapText="1"/>
    </xf>
    <xf numFmtId="0" fontId="6" fillId="2" borderId="7" xfId="0" applyFont="1" applyFill="1" applyBorder="1" applyAlignment="1">
      <alignment vertical="center"/>
    </xf>
    <xf numFmtId="0" fontId="8" fillId="0" borderId="9" xfId="0" applyFont="1" applyBorder="1" applyAlignment="1">
      <alignment wrapText="1"/>
    </xf>
    <xf numFmtId="0" fontId="9" fillId="3" borderId="10" xfId="0" applyFont="1" applyFill="1" applyBorder="1" applyAlignment="1">
      <alignment wrapText="1"/>
    </xf>
    <xf numFmtId="0" fontId="10" fillId="4" borderId="11" xfId="0" applyFont="1" applyFill="1" applyBorder="1" applyAlignment="1">
      <alignment horizontal="center" vertical="top" wrapText="1"/>
    </xf>
    <xf numFmtId="0" fontId="12" fillId="0" borderId="13" xfId="0" applyFont="1" applyBorder="1" applyAlignment="1">
      <alignment wrapText="1"/>
    </xf>
    <xf numFmtId="0" fontId="13" fillId="0" borderId="14" xfId="0" applyFont="1" applyBorder="1" applyAlignment="1">
      <alignment wrapText="1"/>
    </xf>
    <xf numFmtId="0" fontId="14" fillId="6" borderId="15" xfId="0" applyFont="1" applyFill="1" applyBorder="1" applyAlignment="1">
      <alignment horizontal="center" vertical="center" wrapText="1"/>
    </xf>
    <xf numFmtId="0" fontId="18" fillId="0" borderId="18" xfId="0" applyFont="1" applyBorder="1" applyAlignment="1">
      <alignment horizontal="center" vertical="center" wrapText="1"/>
    </xf>
    <xf numFmtId="0" fontId="19" fillId="10" borderId="20" xfId="0" applyFont="1" applyFill="1" applyBorder="1" applyAlignment="1">
      <alignment vertical="center" wrapText="1"/>
    </xf>
    <xf numFmtId="0" fontId="20" fillId="0" borderId="21" xfId="0" applyFont="1" applyBorder="1" applyAlignment="1">
      <alignment wrapText="1"/>
    </xf>
    <xf numFmtId="0" fontId="22" fillId="0" borderId="23" xfId="0" applyFont="1" applyBorder="1" applyAlignment="1">
      <alignment wrapText="1"/>
    </xf>
    <xf numFmtId="0" fontId="23" fillId="0" borderId="24" xfId="0" applyFont="1" applyBorder="1" applyAlignment="1">
      <alignment wrapText="1"/>
    </xf>
    <xf numFmtId="0" fontId="24" fillId="12" borderId="25" xfId="0" applyFont="1" applyFill="1" applyBorder="1" applyAlignment="1">
      <alignment horizontal="center" vertical="top" wrapText="1"/>
    </xf>
    <xf numFmtId="0" fontId="25" fillId="13" borderId="26" xfId="0" applyFont="1" applyFill="1" applyBorder="1" applyAlignment="1">
      <alignment vertical="center" wrapText="1"/>
    </xf>
    <xf numFmtId="0" fontId="28" fillId="15" borderId="28" xfId="0" applyFont="1" applyFill="1" applyBorder="1" applyAlignment="1">
      <alignment horizontal="left" vertical="center" wrapText="1"/>
    </xf>
    <xf numFmtId="0" fontId="0" fillId="0" borderId="29" xfId="0" applyBorder="1" applyAlignment="1">
      <alignment wrapText="1"/>
    </xf>
    <xf numFmtId="0" fontId="0" fillId="0" borderId="30" xfId="0" applyBorder="1" applyAlignment="1">
      <alignment wrapText="1"/>
    </xf>
    <xf numFmtId="0" fontId="0" fillId="0" borderId="32" xfId="0" applyBorder="1" applyAlignment="1">
      <alignment wrapText="1"/>
    </xf>
    <xf numFmtId="0" fontId="32" fillId="18" borderId="33" xfId="0" applyFont="1" applyFill="1" applyBorder="1" applyAlignment="1">
      <alignment horizontal="center" vertical="center" wrapText="1"/>
    </xf>
    <xf numFmtId="0" fontId="33" fillId="0" borderId="34" xfId="0" applyFont="1" applyBorder="1" applyAlignment="1">
      <alignment horizontal="center" vertical="top" wrapText="1"/>
    </xf>
    <xf numFmtId="0" fontId="36" fillId="0" borderId="37" xfId="0" applyFont="1" applyBorder="1" applyAlignment="1">
      <alignment horizontal="center" vertical="center" wrapText="1"/>
    </xf>
    <xf numFmtId="0" fontId="38" fillId="0" borderId="0" xfId="0" applyFont="1" applyAlignment="1">
      <alignment vertical="center"/>
    </xf>
    <xf numFmtId="0" fontId="22" fillId="0" borderId="0" xfId="0" applyFont="1" applyBorder="1" applyAlignment="1">
      <alignment wrapText="1"/>
    </xf>
    <xf numFmtId="0" fontId="5" fillId="0" borderId="0" xfId="0" applyFont="1" applyBorder="1" applyAlignment="1">
      <alignment wrapText="1"/>
    </xf>
    <xf numFmtId="0" fontId="3" fillId="0" borderId="0" xfId="0" applyFont="1" applyBorder="1" applyAlignment="1">
      <alignment wrapText="1"/>
    </xf>
    <xf numFmtId="0" fontId="0" fillId="0" borderId="0" xfId="0" applyBorder="1" applyAlignment="1">
      <alignment wrapText="1"/>
    </xf>
    <xf numFmtId="0" fontId="32" fillId="18" borderId="36" xfId="0" applyFont="1" applyFill="1" applyBorder="1" applyAlignment="1">
      <alignment horizontal="center" vertical="center" wrapText="1"/>
    </xf>
    <xf numFmtId="0" fontId="14" fillId="6" borderId="36" xfId="0" applyFont="1" applyFill="1" applyBorder="1" applyAlignment="1">
      <alignment horizontal="center" vertical="center" wrapText="1"/>
    </xf>
    <xf numFmtId="0" fontId="2" fillId="15" borderId="28" xfId="0" applyFont="1" applyFill="1" applyBorder="1" applyAlignment="1">
      <alignment horizontal="lef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horizontal="left" vertical="top" wrapText="1"/>
    </xf>
    <xf numFmtId="0" fontId="19" fillId="10" borderId="40" xfId="0" applyFont="1" applyFill="1" applyBorder="1" applyAlignment="1">
      <alignment vertical="center" wrapText="1"/>
    </xf>
    <xf numFmtId="0" fontId="23" fillId="0" borderId="37" xfId="0" applyFont="1" applyBorder="1" applyAlignment="1">
      <alignment wrapText="1"/>
    </xf>
    <xf numFmtId="0" fontId="1" fillId="10" borderId="20" xfId="0" applyFont="1" applyFill="1" applyBorder="1" applyAlignment="1">
      <alignment vertical="center" wrapText="1"/>
    </xf>
    <xf numFmtId="0" fontId="1" fillId="10" borderId="40" xfId="0" applyFont="1" applyFill="1" applyBorder="1" applyAlignment="1">
      <alignment vertical="center" wrapText="1"/>
    </xf>
    <xf numFmtId="164" fontId="19" fillId="10" borderId="20" xfId="0" applyNumberFormat="1" applyFont="1" applyFill="1" applyBorder="1" applyAlignment="1">
      <alignment vertical="center" wrapText="1"/>
    </xf>
    <xf numFmtId="0" fontId="2" fillId="6" borderId="15" xfId="0" applyFont="1" applyFill="1" applyBorder="1" applyAlignment="1">
      <alignment horizontal="center" vertical="center" wrapText="1"/>
    </xf>
    <xf numFmtId="0" fontId="1" fillId="22" borderId="44" xfId="0" applyFont="1" applyFill="1" applyBorder="1" applyAlignment="1">
      <alignment vertical="center"/>
    </xf>
    <xf numFmtId="0" fontId="2" fillId="21" borderId="40" xfId="0" applyFont="1" applyFill="1" applyBorder="1" applyAlignment="1">
      <alignment horizontal="left" vertical="center"/>
    </xf>
    <xf numFmtId="0" fontId="7" fillId="18" borderId="36" xfId="0" applyFont="1" applyFill="1" applyBorder="1" applyAlignment="1">
      <alignment horizontal="center" vertical="center"/>
    </xf>
    <xf numFmtId="0" fontId="7" fillId="18" borderId="40" xfId="0" applyFont="1" applyFill="1" applyBorder="1" applyAlignment="1">
      <alignment horizontal="center" vertical="center"/>
    </xf>
    <xf numFmtId="0" fontId="2" fillId="21" borderId="36" xfId="0" applyFont="1" applyFill="1" applyBorder="1" applyAlignment="1">
      <alignment horizontal="left" vertical="center" wrapText="1"/>
    </xf>
    <xf numFmtId="0" fontId="2" fillId="21" borderId="40" xfId="0" applyFont="1" applyFill="1" applyBorder="1" applyAlignment="1">
      <alignment horizontal="left" vertical="center" wrapText="1"/>
    </xf>
    <xf numFmtId="0" fontId="28" fillId="15" borderId="40" xfId="0" applyFont="1" applyFill="1" applyBorder="1" applyAlignment="1">
      <alignment horizontal="left" vertical="center" wrapText="1"/>
    </xf>
    <xf numFmtId="0" fontId="0" fillId="0" borderId="37" xfId="0" applyBorder="1" applyAlignment="1">
      <alignment wrapText="1"/>
    </xf>
    <xf numFmtId="0" fontId="1" fillId="22" borderId="43" xfId="1" applyFont="1" applyFill="1" applyBorder="1" applyAlignment="1">
      <alignment vertical="center" wrapText="1"/>
    </xf>
    <xf numFmtId="0" fontId="1" fillId="21" borderId="0" xfId="1" applyFont="1" applyFill="1" applyBorder="1" applyAlignment="1">
      <alignment horizontal="left" vertical="top" wrapText="1"/>
    </xf>
    <xf numFmtId="0" fontId="1" fillId="21" borderId="0" xfId="1" applyFont="1" applyFill="1" applyBorder="1" applyAlignment="1">
      <alignment vertical="top"/>
    </xf>
    <xf numFmtId="0" fontId="1" fillId="21" borderId="45" xfId="1" applyFont="1" applyFill="1" applyBorder="1" applyAlignment="1">
      <alignment vertical="top"/>
    </xf>
    <xf numFmtId="0" fontId="1" fillId="21" borderId="46" xfId="1" applyFont="1" applyFill="1" applyBorder="1" applyAlignment="1">
      <alignment vertical="top"/>
    </xf>
    <xf numFmtId="0" fontId="1" fillId="21" borderId="47" xfId="1" applyFont="1" applyFill="1" applyBorder="1" applyAlignment="1">
      <alignment horizontal="left" vertical="top" wrapText="1"/>
    </xf>
    <xf numFmtId="0" fontId="1" fillId="21" borderId="47" xfId="1" applyFont="1" applyFill="1" applyBorder="1" applyAlignment="1">
      <alignment vertical="top"/>
    </xf>
    <xf numFmtId="0" fontId="1" fillId="21" borderId="48" xfId="1" applyFont="1" applyFill="1" applyBorder="1" applyAlignment="1">
      <alignment vertical="top"/>
    </xf>
    <xf numFmtId="0" fontId="1" fillId="21" borderId="49" xfId="1" applyFont="1" applyFill="1" applyBorder="1" applyAlignment="1">
      <alignment vertical="top"/>
    </xf>
    <xf numFmtId="0" fontId="41" fillId="22" borderId="41" xfId="1" applyFont="1" applyFill="1" applyBorder="1" applyAlignment="1">
      <alignment vertical="center" wrapText="1"/>
    </xf>
    <xf numFmtId="0" fontId="41" fillId="22" borderId="42" xfId="1" applyFont="1" applyFill="1" applyBorder="1" applyAlignment="1">
      <alignment vertical="center" wrapText="1"/>
    </xf>
    <xf numFmtId="0" fontId="1" fillId="22" borderId="43" xfId="0" applyFont="1" applyFill="1" applyBorder="1" applyAlignment="1">
      <alignment vertical="center"/>
    </xf>
    <xf numFmtId="0" fontId="41" fillId="22" borderId="41" xfId="0" applyFont="1" applyFill="1" applyBorder="1" applyAlignment="1">
      <alignment vertical="center"/>
    </xf>
    <xf numFmtId="0" fontId="41" fillId="22" borderId="42" xfId="0" applyFont="1" applyFill="1" applyBorder="1" applyAlignment="1">
      <alignment vertical="center"/>
    </xf>
    <xf numFmtId="0" fontId="1" fillId="21" borderId="50" xfId="0" applyFont="1" applyFill="1" applyBorder="1" applyAlignment="1">
      <alignment vertical="center"/>
    </xf>
    <xf numFmtId="0" fontId="39" fillId="21" borderId="50" xfId="0" applyFont="1" applyFill="1" applyBorder="1" applyAlignment="1">
      <alignment vertical="center"/>
    </xf>
    <xf numFmtId="0" fontId="1" fillId="21" borderId="6" xfId="0" applyFont="1" applyFill="1" applyBorder="1" applyAlignment="1">
      <alignment wrapText="1"/>
    </xf>
    <xf numFmtId="0" fontId="1" fillId="21" borderId="36" xfId="0" applyFont="1" applyFill="1" applyBorder="1" applyAlignment="1">
      <alignment wrapText="1"/>
    </xf>
    <xf numFmtId="0" fontId="39" fillId="21" borderId="6" xfId="0" applyFont="1" applyFill="1" applyBorder="1" applyAlignment="1">
      <alignment wrapText="1"/>
    </xf>
    <xf numFmtId="0" fontId="39" fillId="21" borderId="36" xfId="0" applyFont="1" applyFill="1" applyBorder="1" applyAlignment="1">
      <alignment wrapText="1"/>
    </xf>
    <xf numFmtId="0" fontId="1" fillId="10" borderId="36" xfId="0" applyFont="1" applyFill="1" applyBorder="1" applyAlignment="1">
      <alignment vertical="center" wrapText="1"/>
    </xf>
    <xf numFmtId="0" fontId="19" fillId="10" borderId="36" xfId="0" applyFont="1" applyFill="1" applyBorder="1" applyAlignment="1">
      <alignment vertical="center" wrapText="1"/>
    </xf>
    <xf numFmtId="0" fontId="16" fillId="8" borderId="43" xfId="0" applyFont="1" applyFill="1" applyBorder="1" applyAlignment="1">
      <alignment vertical="center" wrapText="1"/>
    </xf>
    <xf numFmtId="0" fontId="41" fillId="8" borderId="41" xfId="0" applyFont="1" applyFill="1" applyBorder="1" applyAlignment="1">
      <alignment vertical="center" wrapText="1"/>
    </xf>
    <xf numFmtId="0" fontId="41" fillId="8" borderId="42" xfId="0" applyFont="1" applyFill="1" applyBorder="1" applyAlignment="1">
      <alignment vertical="center" wrapText="1"/>
    </xf>
    <xf numFmtId="0" fontId="31" fillId="21" borderId="51" xfId="0" applyFont="1" applyFill="1" applyBorder="1" applyAlignment="1">
      <alignment vertical="top" wrapText="1"/>
    </xf>
    <xf numFmtId="0" fontId="0" fillId="21" borderId="39" xfId="0" applyFill="1" applyBorder="1" applyAlignment="1">
      <alignment wrapText="1"/>
    </xf>
    <xf numFmtId="0" fontId="0" fillId="21" borderId="17" xfId="0" applyFill="1" applyBorder="1" applyAlignment="1">
      <alignment wrapText="1"/>
    </xf>
    <xf numFmtId="0" fontId="16" fillId="8" borderId="22" xfId="0" applyFont="1" applyFill="1" applyBorder="1" applyAlignment="1">
      <alignment vertical="center" wrapText="1"/>
    </xf>
    <xf numFmtId="0" fontId="31" fillId="17" borderId="51" xfId="0" applyFont="1" applyFill="1" applyBorder="1" applyAlignment="1">
      <alignment vertical="top"/>
    </xf>
    <xf numFmtId="0" fontId="23" fillId="0" borderId="0" xfId="0" applyFont="1" applyBorder="1" applyAlignment="1">
      <alignment wrapText="1"/>
    </xf>
    <xf numFmtId="0" fontId="1" fillId="21" borderId="45" xfId="0" applyFont="1" applyFill="1" applyBorder="1" applyAlignment="1">
      <alignment vertical="top"/>
    </xf>
    <xf numFmtId="0" fontId="0" fillId="21" borderId="45" xfId="0" applyFill="1" applyBorder="1" applyAlignment="1">
      <alignment wrapText="1"/>
    </xf>
    <xf numFmtId="0" fontId="0" fillId="21" borderId="46" xfId="0" applyFill="1" applyBorder="1" applyAlignment="1">
      <alignment wrapText="1"/>
    </xf>
    <xf numFmtId="0" fontId="1" fillId="21" borderId="48" xfId="0" applyFont="1" applyFill="1" applyBorder="1" applyAlignment="1">
      <alignment vertical="top"/>
    </xf>
    <xf numFmtId="0" fontId="0" fillId="21" borderId="48" xfId="0" applyFill="1" applyBorder="1" applyAlignment="1">
      <alignment wrapText="1"/>
    </xf>
    <xf numFmtId="0" fontId="0" fillId="21" borderId="49" xfId="0" applyFill="1" applyBorder="1" applyAlignment="1">
      <alignment wrapText="1"/>
    </xf>
    <xf numFmtId="0" fontId="0" fillId="21" borderId="39" xfId="0" applyFill="1" applyBorder="1" applyAlignment="1"/>
    <xf numFmtId="0" fontId="0" fillId="21" borderId="17" xfId="0" applyFill="1" applyBorder="1" applyAlignment="1"/>
    <xf numFmtId="0" fontId="31" fillId="21" borderId="50" xfId="0" applyFont="1" applyFill="1" applyBorder="1" applyAlignment="1">
      <alignment vertical="top"/>
    </xf>
    <xf numFmtId="0" fontId="0" fillId="21" borderId="6" xfId="0" applyFill="1" applyBorder="1" applyAlignment="1"/>
    <xf numFmtId="0" fontId="0" fillId="21" borderId="36" xfId="0" applyFill="1" applyBorder="1" applyAlignment="1"/>
    <xf numFmtId="0" fontId="1" fillId="8" borderId="22" xfId="0" applyFont="1" applyFill="1" applyBorder="1" applyAlignment="1">
      <alignment vertical="center" wrapText="1"/>
    </xf>
    <xf numFmtId="0" fontId="1" fillId="22" borderId="43" xfId="0" applyFont="1" applyFill="1" applyBorder="1" applyAlignment="1">
      <alignment vertical="center" wrapText="1"/>
    </xf>
    <xf numFmtId="0" fontId="1" fillId="2" borderId="7" xfId="0" applyFont="1" applyFill="1" applyBorder="1" applyAlignment="1">
      <alignment vertical="center"/>
    </xf>
    <xf numFmtId="0" fontId="41" fillId="22" borderId="41" xfId="1" applyFont="1" applyFill="1" applyBorder="1" applyAlignment="1">
      <alignment vertical="center" wrapText="1"/>
    </xf>
    <xf numFmtId="0" fontId="41" fillId="22" borderId="42" xfId="1" applyFont="1" applyFill="1" applyBorder="1" applyAlignment="1">
      <alignment vertical="center" wrapText="1"/>
    </xf>
    <xf numFmtId="0" fontId="29" fillId="16" borderId="43" xfId="0" applyFont="1" applyFill="1" applyBorder="1" applyAlignment="1">
      <alignment vertical="center" wrapText="1"/>
    </xf>
    <xf numFmtId="0" fontId="1" fillId="22" borderId="43" xfId="1" applyFont="1" applyFill="1" applyBorder="1" applyAlignment="1">
      <alignment vertical="center" wrapText="1"/>
    </xf>
    <xf numFmtId="0" fontId="35" fillId="21" borderId="6" xfId="0" applyFont="1" applyFill="1" applyBorder="1" applyAlignment="1">
      <alignment vertical="center"/>
    </xf>
    <xf numFmtId="0" fontId="35" fillId="21" borderId="36" xfId="0" applyFont="1" applyFill="1" applyBorder="1" applyAlignment="1">
      <alignment vertical="center"/>
    </xf>
    <xf numFmtId="0" fontId="28" fillId="15" borderId="36" xfId="0" applyFont="1" applyFill="1" applyBorder="1" applyAlignment="1">
      <alignment horizontal="left" vertical="center" wrapText="1"/>
    </xf>
    <xf numFmtId="0" fontId="21" fillId="11" borderId="43" xfId="0" applyFont="1" applyFill="1" applyBorder="1" applyAlignment="1">
      <alignment vertical="center" wrapText="1"/>
    </xf>
    <xf numFmtId="0" fontId="34" fillId="19" borderId="43" xfId="0" applyFont="1" applyFill="1" applyBorder="1" applyAlignment="1">
      <alignment vertical="center" wrapText="1"/>
    </xf>
    <xf numFmtId="0" fontId="0" fillId="0" borderId="0" xfId="0" applyAlignment="1"/>
    <xf numFmtId="0" fontId="7" fillId="18" borderId="40" xfId="0" applyFont="1" applyFill="1" applyBorder="1" applyAlignment="1">
      <alignment horizontal="center" vertical="center"/>
    </xf>
    <xf numFmtId="0" fontId="1" fillId="0" borderId="0" xfId="0" applyFont="1" applyBorder="1" applyAlignment="1">
      <alignment wrapText="1"/>
    </xf>
    <xf numFmtId="0" fontId="7" fillId="18" borderId="17" xfId="0" applyFont="1" applyFill="1" applyBorder="1" applyAlignment="1">
      <alignment horizontal="center" vertical="center"/>
    </xf>
    <xf numFmtId="0" fontId="7" fillId="18" borderId="44" xfId="0" applyFont="1" applyFill="1" applyBorder="1" applyAlignment="1">
      <alignment horizontal="center" vertical="center"/>
    </xf>
    <xf numFmtId="0" fontId="2" fillId="21" borderId="22" xfId="0" applyFont="1" applyFill="1" applyBorder="1" applyAlignment="1">
      <alignment horizontal="left" vertical="center" wrapText="1"/>
    </xf>
    <xf numFmtId="0" fontId="2" fillId="21" borderId="52" xfId="0" applyFont="1" applyFill="1" applyBorder="1" applyAlignment="1">
      <alignment horizontal="left" vertical="center" wrapText="1"/>
    </xf>
    <xf numFmtId="0" fontId="39" fillId="22" borderId="43" xfId="1" applyFont="1" applyFill="1" applyBorder="1" applyAlignment="1">
      <alignment vertical="top" wrapText="1"/>
    </xf>
    <xf numFmtId="0" fontId="1" fillId="0" borderId="0" xfId="1" applyAlignment="1">
      <alignment wrapText="1"/>
    </xf>
    <xf numFmtId="49" fontId="1" fillId="18" borderId="22" xfId="1" applyNumberFormat="1" applyFill="1" applyBorder="1" applyAlignment="1">
      <alignment vertical="top" wrapText="1"/>
    </xf>
    <xf numFmtId="49" fontId="1" fillId="18" borderId="22" xfId="4" applyNumberFormat="1" applyFill="1" applyBorder="1" applyAlignment="1">
      <alignment vertical="top" wrapText="1"/>
    </xf>
    <xf numFmtId="49" fontId="1" fillId="18" borderId="52" xfId="1" applyNumberFormat="1" applyFill="1" applyBorder="1" applyAlignment="1">
      <alignment vertical="top" wrapText="1"/>
    </xf>
    <xf numFmtId="49" fontId="1" fillId="24" borderId="22" xfId="1" applyNumberFormat="1" applyFont="1" applyFill="1" applyBorder="1" applyAlignment="1">
      <alignment vertical="top" wrapText="1"/>
    </xf>
    <xf numFmtId="0" fontId="1" fillId="24" borderId="22" xfId="1" applyFont="1" applyFill="1" applyBorder="1" applyAlignment="1">
      <alignment vertical="top" wrapText="1"/>
    </xf>
    <xf numFmtId="49" fontId="1" fillId="25" borderId="22" xfId="1" applyNumberFormat="1" applyFont="1" applyFill="1" applyBorder="1" applyAlignment="1">
      <alignment vertical="top" wrapText="1"/>
    </xf>
    <xf numFmtId="0" fontId="1" fillId="25" borderId="22" xfId="1" quotePrefix="1" applyNumberFormat="1" applyFont="1" applyFill="1" applyBorder="1" applyAlignment="1">
      <alignment horizontal="left" vertical="top" wrapText="1"/>
    </xf>
    <xf numFmtId="49" fontId="39" fillId="25" borderId="52" xfId="2" applyNumberFormat="1" applyFont="1" applyFill="1" applyBorder="1" applyAlignment="1">
      <alignment vertical="top" wrapText="1"/>
    </xf>
    <xf numFmtId="0" fontId="41" fillId="22" borderId="47" xfId="1" applyFont="1" applyFill="1" applyBorder="1" applyAlignment="1">
      <alignment wrapText="1"/>
    </xf>
    <xf numFmtId="49" fontId="41" fillId="22" borderId="49" xfId="1" applyNumberFormat="1" applyFont="1" applyFill="1" applyBorder="1" applyAlignment="1">
      <alignment vertical="top" wrapText="1"/>
    </xf>
    <xf numFmtId="0" fontId="0" fillId="0" borderId="0" xfId="0" applyAlignment="1">
      <alignment wrapText="1"/>
    </xf>
    <xf numFmtId="0" fontId="7" fillId="18" borderId="40" xfId="0" applyFont="1" applyFill="1" applyBorder="1" applyAlignment="1">
      <alignment horizontal="center" vertical="center"/>
    </xf>
    <xf numFmtId="0" fontId="7" fillId="18" borderId="36" xfId="0" applyFont="1" applyFill="1" applyBorder="1" applyAlignment="1">
      <alignment horizontal="center" vertical="center"/>
    </xf>
    <xf numFmtId="0" fontId="1" fillId="22" borderId="44" xfId="0" applyFont="1" applyFill="1" applyBorder="1" applyAlignment="1">
      <alignment vertical="center"/>
    </xf>
    <xf numFmtId="0" fontId="2" fillId="21" borderId="40" xfId="0" applyFont="1" applyFill="1" applyBorder="1" applyAlignment="1">
      <alignment horizontal="left" vertical="center"/>
    </xf>
    <xf numFmtId="0" fontId="1" fillId="22" borderId="43" xfId="0" applyFont="1" applyFill="1" applyBorder="1" applyAlignment="1">
      <alignment vertical="center" wrapText="1"/>
    </xf>
    <xf numFmtId="0" fontId="41" fillId="22" borderId="41" xfId="0" applyFont="1" applyFill="1" applyBorder="1" applyAlignment="1">
      <alignment vertical="center" wrapText="1"/>
    </xf>
    <xf numFmtId="0" fontId="2" fillId="21" borderId="22" xfId="0" applyFont="1" applyFill="1" applyBorder="1" applyAlignment="1">
      <alignment horizontal="left" vertical="center" wrapText="1"/>
    </xf>
    <xf numFmtId="0" fontId="2" fillId="21" borderId="53" xfId="0" applyFont="1" applyFill="1" applyBorder="1" applyAlignment="1">
      <alignment horizontal="left" vertical="center" wrapText="1"/>
    </xf>
    <xf numFmtId="0" fontId="2" fillId="21" borderId="10" xfId="0" applyFont="1" applyFill="1" applyBorder="1" applyAlignment="1">
      <alignment horizontal="left" vertical="center" wrapText="1"/>
    </xf>
    <xf numFmtId="0" fontId="2" fillId="21" borderId="44" xfId="1" applyFont="1" applyFill="1" applyBorder="1" applyAlignment="1">
      <alignment horizontal="left" vertical="center" wrapText="1"/>
    </xf>
    <xf numFmtId="0" fontId="2" fillId="21" borderId="54" xfId="1" applyFont="1" applyFill="1" applyBorder="1" applyAlignment="1">
      <alignment horizontal="left" vertical="center" wrapText="1"/>
    </xf>
    <xf numFmtId="0" fontId="41" fillId="22" borderId="49" xfId="0" applyFont="1" applyFill="1" applyBorder="1" applyAlignment="1">
      <alignment vertical="center" wrapText="1"/>
    </xf>
    <xf numFmtId="0" fontId="2" fillId="21" borderId="22" xfId="1" applyFont="1" applyFill="1" applyBorder="1" applyAlignment="1">
      <alignment horizontal="left" vertical="center" wrapText="1"/>
    </xf>
    <xf numFmtId="0" fontId="41" fillId="0" borderId="0" xfId="1" applyFont="1" applyFill="1" applyBorder="1" applyAlignment="1">
      <alignment wrapText="1"/>
    </xf>
    <xf numFmtId="49" fontId="39" fillId="0" borderId="0" xfId="2" applyNumberFormat="1" applyFont="1" applyFill="1" applyBorder="1" applyAlignment="1">
      <alignment vertical="top" wrapText="1"/>
    </xf>
    <xf numFmtId="0" fontId="41" fillId="22" borderId="42" xfId="1" applyFont="1" applyFill="1" applyBorder="1" applyAlignment="1">
      <alignment wrapText="1"/>
    </xf>
    <xf numFmtId="49" fontId="39" fillId="22" borderId="46" xfId="1" applyNumberFormat="1" applyFont="1" applyFill="1" applyBorder="1" applyAlignment="1">
      <alignment vertical="top" wrapText="1"/>
    </xf>
    <xf numFmtId="0" fontId="1" fillId="21" borderId="22" xfId="3" applyNumberFormat="1" applyFont="1" applyFill="1" applyBorder="1" applyAlignment="1">
      <alignment vertical="top" wrapText="1"/>
    </xf>
    <xf numFmtId="0" fontId="39" fillId="23" borderId="52" xfId="2" applyNumberFormat="1" applyFont="1" applyBorder="1" applyAlignment="1">
      <alignment vertical="top" wrapText="1"/>
    </xf>
    <xf numFmtId="0" fontId="0" fillId="21" borderId="22" xfId="3" applyNumberFormat="1" applyFont="1" applyFill="1" applyBorder="1" applyAlignment="1">
      <alignment vertical="top" wrapText="1"/>
    </xf>
    <xf numFmtId="0" fontId="39" fillId="23" borderId="22" xfId="2" applyNumberFormat="1" applyFont="1" applyBorder="1" applyAlignment="1">
      <alignment vertical="top" wrapText="1"/>
    </xf>
    <xf numFmtId="0" fontId="7" fillId="18" borderId="40" xfId="0" applyFont="1" applyFill="1" applyBorder="1" applyAlignment="1">
      <alignment horizontal="center" vertical="center"/>
    </xf>
    <xf numFmtId="0" fontId="7" fillId="18" borderId="33" xfId="0" applyFont="1" applyFill="1" applyBorder="1" applyAlignment="1">
      <alignment horizontal="center" vertical="center" wrapText="1"/>
    </xf>
    <xf numFmtId="0" fontId="7" fillId="12" borderId="25" xfId="0" applyFont="1" applyFill="1" applyBorder="1" applyAlignment="1">
      <alignment horizontal="center" vertical="top" wrapText="1"/>
    </xf>
    <xf numFmtId="0" fontId="2" fillId="4" borderId="11" xfId="0" applyFont="1" applyFill="1" applyBorder="1" applyAlignment="1">
      <alignment horizontal="center" vertical="top" wrapText="1"/>
    </xf>
    <xf numFmtId="0" fontId="2" fillId="13" borderId="26" xfId="0" applyFont="1" applyFill="1" applyBorder="1" applyAlignment="1">
      <alignment vertical="center" wrapText="1"/>
    </xf>
    <xf numFmtId="0" fontId="2" fillId="21" borderId="21" xfId="0" applyFont="1" applyFill="1" applyBorder="1" applyAlignment="1">
      <alignment vertical="center"/>
    </xf>
    <xf numFmtId="0" fontId="2" fillId="6" borderId="36" xfId="0" applyFont="1" applyFill="1" applyBorder="1" applyAlignment="1">
      <alignment horizontal="center" vertical="center" wrapText="1"/>
    </xf>
    <xf numFmtId="0" fontId="44" fillId="10" borderId="36" xfId="0" applyFont="1" applyFill="1" applyBorder="1" applyAlignment="1">
      <alignment vertical="center" wrapText="1"/>
    </xf>
    <xf numFmtId="0" fontId="1" fillId="22" borderId="56" xfId="0" applyFont="1" applyFill="1" applyBorder="1" applyAlignment="1">
      <alignment vertical="center"/>
    </xf>
    <xf numFmtId="0" fontId="2" fillId="21" borderId="57" xfId="0" applyFont="1" applyFill="1" applyBorder="1" applyAlignment="1">
      <alignment horizontal="left" vertical="center"/>
    </xf>
    <xf numFmtId="0" fontId="41" fillId="0" borderId="48" xfId="0" applyFont="1" applyFill="1" applyBorder="1" applyAlignment="1">
      <alignment vertical="center" wrapText="1"/>
    </xf>
    <xf numFmtId="0" fontId="2" fillId="0" borderId="48" xfId="0" applyFont="1" applyFill="1" applyBorder="1" applyAlignment="1">
      <alignment horizontal="left" vertical="center" wrapText="1"/>
    </xf>
    <xf numFmtId="0" fontId="1" fillId="21" borderId="50" xfId="0" applyFont="1" applyFill="1" applyBorder="1" applyAlignment="1">
      <alignment vertical="top"/>
    </xf>
    <xf numFmtId="0" fontId="7" fillId="18" borderId="22" xfId="7" applyFont="1" applyFill="1" applyBorder="1" applyAlignment="1">
      <alignment horizontal="center" vertical="center" wrapText="1"/>
    </xf>
    <xf numFmtId="0" fontId="2" fillId="21" borderId="22" xfId="7" applyFont="1" applyFill="1" applyBorder="1" applyAlignment="1">
      <alignment horizontal="center" vertical="center" wrapText="1"/>
    </xf>
    <xf numFmtId="0" fontId="25" fillId="13" borderId="26" xfId="0" applyFont="1" applyFill="1" applyBorder="1" applyAlignment="1">
      <alignment horizontal="center" vertical="center" wrapText="1"/>
    </xf>
    <xf numFmtId="0" fontId="8" fillId="0" borderId="0" xfId="0" applyFont="1" applyBorder="1" applyAlignment="1">
      <alignment wrapText="1"/>
    </xf>
    <xf numFmtId="0" fontId="12" fillId="0" borderId="37" xfId="0" applyFont="1" applyBorder="1" applyAlignment="1">
      <alignment wrapText="1"/>
    </xf>
    <xf numFmtId="0" fontId="2" fillId="6" borderId="55" xfId="0" applyFont="1" applyFill="1" applyBorder="1" applyAlignment="1">
      <alignment horizontal="center" vertical="center" wrapText="1"/>
    </xf>
    <xf numFmtId="0" fontId="2" fillId="9" borderId="19" xfId="0" applyFont="1" applyFill="1" applyBorder="1" applyAlignment="1">
      <alignment horizontal="center" vertical="top" wrapText="1"/>
    </xf>
    <xf numFmtId="0" fontId="2" fillId="13" borderId="26" xfId="0" applyFont="1" applyFill="1" applyBorder="1" applyAlignment="1">
      <alignment horizontal="center" vertical="center" wrapText="1"/>
    </xf>
    <xf numFmtId="0" fontId="44" fillId="10" borderId="36" xfId="0" applyFont="1" applyFill="1" applyBorder="1" applyAlignment="1">
      <alignment horizontal="center" vertical="center" wrapText="1"/>
    </xf>
    <xf numFmtId="0" fontId="41" fillId="22" borderId="58" xfId="0" applyFont="1" applyFill="1" applyBorder="1" applyAlignment="1">
      <alignment vertical="center" wrapText="1"/>
    </xf>
    <xf numFmtId="0" fontId="2" fillId="21" borderId="59" xfId="1" applyFont="1" applyFill="1" applyBorder="1" applyAlignment="1">
      <alignment horizontal="left" vertical="center" wrapText="1"/>
    </xf>
    <xf numFmtId="0" fontId="6" fillId="2" borderId="7" xfId="0" applyFont="1" applyFill="1" applyBorder="1" applyAlignment="1">
      <alignment vertical="center" wrapText="1"/>
    </xf>
    <xf numFmtId="0" fontId="15" fillId="7" borderId="16" xfId="0" applyFont="1" applyFill="1" applyBorder="1" applyAlignment="1">
      <alignment horizontal="center" vertical="center" wrapText="1"/>
    </xf>
    <xf numFmtId="0" fontId="7" fillId="18" borderId="40" xfId="0" applyFont="1" applyFill="1" applyBorder="1" applyAlignment="1">
      <alignment horizontal="center" vertical="center" wrapText="1"/>
    </xf>
    <xf numFmtId="0" fontId="11" fillId="5" borderId="12" xfId="0" applyFont="1" applyFill="1" applyBorder="1" applyAlignment="1">
      <alignment horizontal="center" vertical="center" wrapText="1"/>
    </xf>
    <xf numFmtId="0" fontId="2" fillId="21" borderId="40" xfId="0" applyFont="1" applyFill="1" applyBorder="1" applyAlignment="1">
      <alignment horizontal="center" vertical="center" wrapText="1"/>
    </xf>
    <xf numFmtId="0" fontId="1" fillId="22" borderId="22" xfId="1" applyFont="1" applyFill="1" applyBorder="1" applyAlignment="1">
      <alignment vertical="center" wrapText="1"/>
    </xf>
    <xf numFmtId="0" fontId="35" fillId="20" borderId="35" xfId="0" applyFont="1" applyFill="1" applyBorder="1" applyAlignment="1">
      <alignment horizontal="left" vertical="center" wrapText="1"/>
    </xf>
    <xf numFmtId="0" fontId="7" fillId="0" borderId="8" xfId="0" applyFont="1" applyBorder="1" applyAlignment="1">
      <alignment horizontal="center" vertical="center" wrapText="1"/>
    </xf>
    <xf numFmtId="0" fontId="27" fillId="0" borderId="27" xfId="0" applyFont="1" applyBorder="1" applyAlignment="1">
      <alignment horizontal="center" vertical="center" wrapText="1"/>
    </xf>
    <xf numFmtId="0" fontId="7" fillId="7" borderId="16" xfId="0" applyFont="1" applyFill="1" applyBorder="1" applyAlignment="1">
      <alignment horizontal="center" vertical="center" wrapText="1"/>
    </xf>
    <xf numFmtId="0" fontId="37" fillId="21" borderId="38" xfId="0" applyFont="1" applyFill="1" applyBorder="1" applyAlignment="1">
      <alignment horizontal="center" vertical="center" wrapText="1"/>
    </xf>
    <xf numFmtId="0" fontId="2" fillId="21" borderId="38" xfId="0" applyFont="1" applyFill="1" applyBorder="1" applyAlignment="1">
      <alignment horizontal="center" vertical="center" wrapText="1"/>
    </xf>
    <xf numFmtId="0" fontId="7" fillId="18" borderId="36" xfId="0" applyFont="1" applyFill="1" applyBorder="1" applyAlignment="1">
      <alignment horizontal="center" vertical="center" wrapText="1"/>
    </xf>
    <xf numFmtId="0" fontId="41" fillId="22" borderId="42" xfId="0" applyFont="1" applyFill="1" applyBorder="1" applyAlignment="1">
      <alignment vertical="center" wrapText="1"/>
    </xf>
    <xf numFmtId="0" fontId="2" fillId="21" borderId="36" xfId="0" applyFont="1" applyFill="1" applyBorder="1" applyAlignment="1">
      <alignment horizontal="center" vertical="center" wrapText="1"/>
    </xf>
    <xf numFmtId="0" fontId="26" fillId="14" borderId="36" xfId="0" applyFont="1" applyFill="1" applyBorder="1" applyAlignment="1">
      <alignment horizontal="center" vertical="center" wrapText="1"/>
    </xf>
    <xf numFmtId="0" fontId="7" fillId="18" borderId="55" xfId="1" applyFont="1" applyFill="1" applyBorder="1" applyAlignment="1">
      <alignment horizontal="center" vertical="center" wrapText="1"/>
    </xf>
    <xf numFmtId="0" fontId="41" fillId="11" borderId="41" xfId="0" applyFont="1" applyFill="1" applyBorder="1" applyAlignment="1">
      <alignment vertical="center" wrapText="1"/>
    </xf>
    <xf numFmtId="0" fontId="35" fillId="20" borderId="36" xfId="0" applyFont="1" applyFill="1" applyBorder="1" applyAlignment="1">
      <alignment horizontal="left" vertical="center" wrapText="1"/>
    </xf>
    <xf numFmtId="164" fontId="37" fillId="21" borderId="38" xfId="0" applyNumberFormat="1" applyFont="1" applyFill="1" applyBorder="1" applyAlignment="1">
      <alignment horizontal="center" vertical="center" wrapText="1"/>
    </xf>
    <xf numFmtId="0" fontId="2" fillId="21" borderId="40" xfId="1" applyFont="1" applyFill="1" applyBorder="1" applyAlignment="1">
      <alignment horizontal="center" vertical="center" wrapText="1"/>
    </xf>
    <xf numFmtId="0" fontId="41" fillId="11" borderId="42" xfId="0" applyFont="1" applyFill="1" applyBorder="1" applyAlignment="1">
      <alignment vertical="center" wrapText="1"/>
    </xf>
    <xf numFmtId="0" fontId="17" fillId="0" borderId="0" xfId="0" applyFont="1" applyBorder="1" applyAlignment="1">
      <alignment vertical="center" wrapText="1"/>
    </xf>
    <xf numFmtId="0" fontId="41" fillId="19" borderId="41" xfId="0" applyFont="1" applyFill="1" applyBorder="1" applyAlignment="1">
      <alignment vertical="center" wrapText="1"/>
    </xf>
    <xf numFmtId="0" fontId="41" fillId="19" borderId="42" xfId="0" applyFont="1" applyFill="1" applyBorder="1" applyAlignment="1">
      <alignment vertical="center" wrapText="1"/>
    </xf>
    <xf numFmtId="0" fontId="2" fillId="21" borderId="36" xfId="0" applyFont="1" applyFill="1" applyBorder="1" applyAlignment="1">
      <alignment vertical="center" wrapText="1"/>
    </xf>
    <xf numFmtId="0" fontId="30" fillId="0" borderId="31" xfId="0" applyFont="1" applyBorder="1" applyAlignment="1">
      <alignment vertical="center" wrapText="1"/>
    </xf>
    <xf numFmtId="0" fontId="4" fillId="0" borderId="4" xfId="0" applyFont="1" applyBorder="1" applyAlignment="1">
      <alignment vertical="center" wrapText="1"/>
    </xf>
    <xf numFmtId="0" fontId="35" fillId="20" borderId="40" xfId="0" applyFont="1" applyFill="1" applyBorder="1" applyAlignment="1">
      <alignment horizontal="left" vertical="center" wrapText="1"/>
    </xf>
    <xf numFmtId="0" fontId="23" fillId="0" borderId="24" xfId="0" applyFont="1" applyBorder="1" applyAlignment="1"/>
    <xf numFmtId="0" fontId="2" fillId="5" borderId="12" xfId="0" applyFont="1" applyFill="1" applyBorder="1" applyAlignment="1">
      <alignment horizontal="center" vertical="center" wrapText="1"/>
    </xf>
    <xf numFmtId="0" fontId="15" fillId="7" borderId="36" xfId="0" applyFont="1" applyFill="1" applyBorder="1" applyAlignment="1">
      <alignment horizontal="center" vertical="center" wrapText="1"/>
    </xf>
    <xf numFmtId="0" fontId="41" fillId="16" borderId="41" xfId="0" applyFont="1" applyFill="1" applyBorder="1" applyAlignment="1">
      <alignment vertical="center" wrapText="1"/>
    </xf>
    <xf numFmtId="0" fontId="41" fillId="16" borderId="42" xfId="0" applyFont="1" applyFill="1" applyBorder="1" applyAlignment="1">
      <alignment vertical="center" wrapText="1"/>
    </xf>
    <xf numFmtId="0" fontId="11" fillId="5" borderId="36" xfId="0" applyFont="1" applyFill="1" applyBorder="1" applyAlignment="1">
      <alignment horizontal="center" vertical="center" wrapText="1"/>
    </xf>
    <xf numFmtId="0" fontId="35" fillId="20" borderId="35" xfId="0" applyFont="1" applyFill="1" applyBorder="1" applyAlignment="1">
      <alignment horizontal="center" vertical="center" wrapText="1"/>
    </xf>
    <xf numFmtId="0" fontId="35" fillId="20" borderId="36" xfId="0" applyFont="1" applyFill="1" applyBorder="1" applyAlignment="1">
      <alignment horizontal="center" vertical="center" wrapText="1"/>
    </xf>
    <xf numFmtId="0" fontId="2" fillId="5" borderId="55" xfId="0" applyFont="1" applyFill="1" applyBorder="1" applyAlignment="1">
      <alignment horizontal="center" vertical="center" wrapText="1"/>
    </xf>
    <xf numFmtId="0" fontId="2" fillId="21" borderId="38" xfId="0" applyFont="1" applyFill="1" applyBorder="1" applyAlignment="1">
      <alignment vertical="center" wrapText="1"/>
    </xf>
    <xf numFmtId="0" fontId="1" fillId="22" borderId="41" xfId="0" applyFont="1" applyFill="1" applyBorder="1" applyAlignment="1">
      <alignment vertical="center" wrapText="1"/>
    </xf>
    <xf numFmtId="0" fontId="7" fillId="18" borderId="60" xfId="0" applyFont="1" applyFill="1" applyBorder="1" applyAlignment="1">
      <alignment horizontal="center" vertical="center"/>
    </xf>
    <xf numFmtId="0" fontId="7" fillId="18" borderId="57" xfId="0" applyFont="1" applyFill="1" applyBorder="1" applyAlignment="1">
      <alignment horizontal="center" vertical="center"/>
    </xf>
    <xf numFmtId="0" fontId="7" fillId="18" borderId="56" xfId="0" applyFont="1" applyFill="1" applyBorder="1" applyAlignment="1">
      <alignment horizontal="center" vertical="center"/>
    </xf>
    <xf numFmtId="0" fontId="2" fillId="0" borderId="0" xfId="1" applyFont="1" applyFill="1" applyBorder="1" applyAlignment="1">
      <alignment horizontal="left" vertical="center" wrapText="1"/>
    </xf>
    <xf numFmtId="0" fontId="2" fillId="0" borderId="0" xfId="0" applyFont="1" applyFill="1" applyBorder="1" applyAlignment="1">
      <alignment horizontal="left" vertical="center" wrapText="1"/>
    </xf>
    <xf numFmtId="0" fontId="0" fillId="0" borderId="34" xfId="0" applyBorder="1" applyAlignment="1">
      <alignment wrapText="1"/>
    </xf>
  </cellXfs>
  <cellStyles count="8">
    <cellStyle name="Neutral" xfId="2" builtinId="28"/>
    <cellStyle name="Normal" xfId="0" builtinId="0"/>
    <cellStyle name="Normal 2" xfId="1"/>
    <cellStyle name="Normal 2 2" xfId="3"/>
    <cellStyle name="Normal 2 2 2" xfId="4"/>
    <cellStyle name="Normal 2 2 3" xfId="5"/>
    <cellStyle name="Normal 2 2 4" xfId="6"/>
    <cellStyle name="Normal_Sheet1" xfId="7"/>
  </cellStyles>
  <dxfs count="0"/>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tabSelected="1" workbookViewId="0"/>
  </sheetViews>
  <sheetFormatPr defaultColWidth="17.140625" defaultRowHeight="12.75" customHeight="1" x14ac:dyDescent="0.2"/>
  <cols>
    <col min="2" max="2" width="33.85546875" customWidth="1"/>
    <col min="3" max="3" width="16.5703125" customWidth="1"/>
    <col min="5" max="5" width="28.42578125" customWidth="1"/>
    <col min="6" max="6" width="12.140625" customWidth="1"/>
    <col min="7" max="7" width="15" customWidth="1"/>
    <col min="8" max="8" width="41.7109375" customWidth="1"/>
  </cols>
  <sheetData>
    <row r="1" spans="1:9" ht="12.75" customHeight="1" x14ac:dyDescent="0.2">
      <c r="A1" s="51" t="s">
        <v>101</v>
      </c>
      <c r="B1" s="54" t="s">
        <v>152</v>
      </c>
      <c r="C1" s="54"/>
      <c r="D1" s="54"/>
      <c r="E1" s="54"/>
      <c r="F1" s="54"/>
      <c r="G1" s="54"/>
      <c r="H1" s="55"/>
    </row>
    <row r="2" spans="1:9" ht="12.75" customHeight="1" x14ac:dyDescent="0.2">
      <c r="A2" s="60" t="s">
        <v>101</v>
      </c>
      <c r="B2" s="52"/>
      <c r="C2" s="52"/>
      <c r="D2" s="52"/>
      <c r="E2" s="52"/>
      <c r="F2" s="52"/>
      <c r="G2" s="52"/>
      <c r="H2" s="56"/>
    </row>
    <row r="3" spans="1:9" ht="12.75" customHeight="1" x14ac:dyDescent="0.2">
      <c r="A3" s="60" t="s">
        <v>101</v>
      </c>
      <c r="B3" s="53" t="s">
        <v>153</v>
      </c>
      <c r="C3" s="53"/>
      <c r="D3" s="53"/>
      <c r="E3" s="53"/>
      <c r="F3" s="53"/>
      <c r="G3" s="53"/>
      <c r="H3" s="57"/>
    </row>
    <row r="4" spans="1:9" ht="12.75" customHeight="1" x14ac:dyDescent="0.2">
      <c r="A4" s="60" t="s">
        <v>101</v>
      </c>
      <c r="B4" s="52"/>
      <c r="C4" s="52"/>
      <c r="D4" s="52"/>
      <c r="E4" s="52"/>
      <c r="F4" s="52"/>
      <c r="G4" s="52"/>
      <c r="H4" s="56"/>
    </row>
    <row r="5" spans="1:9" ht="12.75" customHeight="1" x14ac:dyDescent="0.2">
      <c r="A5" s="60" t="s">
        <v>101</v>
      </c>
      <c r="B5" s="53" t="s">
        <v>154</v>
      </c>
      <c r="C5" s="53"/>
      <c r="D5" s="53"/>
      <c r="E5" s="53"/>
      <c r="F5" s="53"/>
      <c r="G5" s="53"/>
      <c r="H5" s="57"/>
    </row>
    <row r="6" spans="1:9" ht="12.75" customHeight="1" x14ac:dyDescent="0.2">
      <c r="A6" s="96" t="s">
        <v>101</v>
      </c>
      <c r="B6" s="53"/>
      <c r="C6" s="53"/>
      <c r="D6" s="53"/>
      <c r="E6" s="53"/>
      <c r="F6" s="53"/>
      <c r="G6" s="53"/>
      <c r="H6" s="57"/>
    </row>
    <row r="7" spans="1:9" ht="12.75" customHeight="1" x14ac:dyDescent="0.2">
      <c r="A7" s="96" t="s">
        <v>101</v>
      </c>
      <c r="B7" s="53" t="s">
        <v>185</v>
      </c>
      <c r="C7" s="53"/>
      <c r="D7" s="53"/>
      <c r="E7" s="53"/>
      <c r="F7" s="53"/>
      <c r="G7" s="53"/>
      <c r="H7" s="57"/>
    </row>
    <row r="8" spans="1:9" ht="12.75" customHeight="1" x14ac:dyDescent="0.2">
      <c r="A8" s="60" t="s">
        <v>101</v>
      </c>
      <c r="B8" s="52"/>
      <c r="C8" s="52"/>
      <c r="D8" s="52"/>
      <c r="E8" s="52"/>
      <c r="F8" s="52"/>
      <c r="G8" s="52"/>
      <c r="H8" s="56"/>
    </row>
    <row r="9" spans="1:9" ht="12.75" customHeight="1" x14ac:dyDescent="0.2">
      <c r="A9" s="60" t="s">
        <v>101</v>
      </c>
      <c r="B9" s="53" t="s">
        <v>155</v>
      </c>
      <c r="C9" s="53"/>
      <c r="D9" s="53"/>
      <c r="E9" s="53"/>
      <c r="F9" s="53"/>
      <c r="G9" s="53"/>
      <c r="H9" s="57"/>
    </row>
    <row r="10" spans="1:9" ht="12.75" customHeight="1" x14ac:dyDescent="0.2">
      <c r="A10" s="61"/>
      <c r="B10" s="58" t="s">
        <v>156</v>
      </c>
      <c r="C10" s="58"/>
      <c r="D10" s="58"/>
      <c r="E10" s="58"/>
      <c r="F10" s="58"/>
      <c r="G10" s="58"/>
      <c r="H10" s="59"/>
    </row>
    <row r="11" spans="1:9" ht="12.75" customHeight="1" x14ac:dyDescent="0.2">
      <c r="A11" s="35"/>
      <c r="B11" s="36"/>
      <c r="C11" s="36"/>
      <c r="D11" s="36"/>
      <c r="E11" s="36"/>
      <c r="F11" s="36"/>
      <c r="G11" s="36"/>
      <c r="H11" s="36"/>
    </row>
    <row r="13" spans="1:9" ht="15" customHeight="1" x14ac:dyDescent="0.2">
      <c r="A13" s="62" t="s">
        <v>0</v>
      </c>
      <c r="B13" s="65" t="s">
        <v>186</v>
      </c>
      <c r="C13" s="67"/>
      <c r="D13" s="67"/>
      <c r="E13" s="67"/>
      <c r="F13" s="67"/>
      <c r="G13" s="67"/>
      <c r="H13" s="68"/>
      <c r="I13" s="50"/>
    </row>
    <row r="14" spans="1:9" ht="15" customHeight="1" x14ac:dyDescent="0.2">
      <c r="A14" s="63" t="s">
        <v>0</v>
      </c>
      <c r="B14" s="65" t="s">
        <v>201</v>
      </c>
      <c r="C14" s="67"/>
      <c r="D14" s="67"/>
      <c r="E14" s="67"/>
      <c r="F14" s="67"/>
      <c r="G14" s="67"/>
      <c r="H14" s="68"/>
      <c r="I14" s="50"/>
    </row>
    <row r="15" spans="1:9" ht="15" customHeight="1" x14ac:dyDescent="0.2">
      <c r="A15" s="63" t="s">
        <v>0</v>
      </c>
      <c r="B15" s="65" t="s">
        <v>147</v>
      </c>
      <c r="C15" s="67"/>
      <c r="D15" s="67"/>
      <c r="E15" s="67"/>
      <c r="F15" s="67"/>
      <c r="G15" s="67"/>
      <c r="H15" s="68"/>
      <c r="I15" s="50"/>
    </row>
    <row r="16" spans="1:9" ht="15" customHeight="1" x14ac:dyDescent="0.2">
      <c r="A16" s="63" t="s">
        <v>0</v>
      </c>
      <c r="B16" s="65" t="s">
        <v>148</v>
      </c>
      <c r="C16" s="67"/>
      <c r="D16" s="67"/>
      <c r="E16" s="67"/>
      <c r="F16" s="67"/>
      <c r="G16" s="67"/>
      <c r="H16" s="68"/>
      <c r="I16" s="50"/>
    </row>
    <row r="17" spans="1:9" ht="15" customHeight="1" x14ac:dyDescent="0.2">
      <c r="A17" s="63" t="s">
        <v>0</v>
      </c>
      <c r="B17" s="66" t="s">
        <v>149</v>
      </c>
      <c r="C17" s="69"/>
      <c r="D17" s="69"/>
      <c r="E17" s="69"/>
      <c r="F17" s="69"/>
      <c r="G17" s="69"/>
      <c r="H17" s="70"/>
      <c r="I17" s="50"/>
    </row>
    <row r="18" spans="1:9" ht="15" customHeight="1" x14ac:dyDescent="0.2">
      <c r="A18" s="64" t="s">
        <v>0</v>
      </c>
      <c r="B18" s="66" t="s">
        <v>150</v>
      </c>
      <c r="C18" s="69"/>
      <c r="D18" s="69"/>
      <c r="E18" s="69"/>
      <c r="F18" s="69"/>
      <c r="G18" s="69"/>
      <c r="H18" s="70"/>
      <c r="I18" s="50"/>
    </row>
    <row r="19" spans="1:9" x14ac:dyDescent="0.2">
      <c r="A19" s="29"/>
      <c r="B19" s="4"/>
      <c r="C19" s="4"/>
      <c r="D19" s="4"/>
      <c r="E19" s="4"/>
      <c r="F19" s="4"/>
      <c r="G19" s="4"/>
      <c r="H19" s="4"/>
    </row>
    <row r="20" spans="1:9" x14ac:dyDescent="0.2">
      <c r="A20" s="28"/>
      <c r="B20" s="16"/>
      <c r="C20" s="16"/>
      <c r="D20" s="16"/>
      <c r="E20" s="16"/>
      <c r="F20" s="16"/>
      <c r="G20" s="16"/>
      <c r="H20" s="16"/>
    </row>
    <row r="21" spans="1:9" x14ac:dyDescent="0.2">
      <c r="A21" s="73" t="s">
        <v>1</v>
      </c>
      <c r="B21" s="32" t="s">
        <v>2</v>
      </c>
      <c r="C21" s="24" t="s">
        <v>3</v>
      </c>
      <c r="D21" s="24" t="s">
        <v>4</v>
      </c>
      <c r="E21" s="24" t="s">
        <v>5</v>
      </c>
      <c r="F21" s="24" t="s">
        <v>6</v>
      </c>
      <c r="G21" s="24" t="s">
        <v>7</v>
      </c>
      <c r="H21" s="24" t="s">
        <v>8</v>
      </c>
      <c r="I21" s="17"/>
    </row>
    <row r="22" spans="1:9" x14ac:dyDescent="0.2">
      <c r="A22" s="74" t="s">
        <v>1</v>
      </c>
      <c r="B22" s="71" t="s">
        <v>102</v>
      </c>
      <c r="C22" s="40" t="s">
        <v>146</v>
      </c>
      <c r="D22" s="40" t="s">
        <v>103</v>
      </c>
      <c r="E22" s="39" t="s">
        <v>105</v>
      </c>
      <c r="F22" s="41">
        <v>0.5</v>
      </c>
      <c r="G22" s="14" t="s">
        <v>9</v>
      </c>
      <c r="H22" s="14"/>
      <c r="I22" s="17"/>
    </row>
    <row r="23" spans="1:9" x14ac:dyDescent="0.2">
      <c r="A23" s="74" t="s">
        <v>1</v>
      </c>
      <c r="B23" s="71" t="s">
        <v>102</v>
      </c>
      <c r="C23" s="40" t="s">
        <v>146</v>
      </c>
      <c r="D23" s="40" t="s">
        <v>103</v>
      </c>
      <c r="E23" s="40" t="s">
        <v>104</v>
      </c>
      <c r="F23" s="41">
        <v>0.5</v>
      </c>
      <c r="G23" s="14" t="s">
        <v>9</v>
      </c>
      <c r="H23" s="37"/>
      <c r="I23" s="38"/>
    </row>
    <row r="24" spans="1:9" x14ac:dyDescent="0.2">
      <c r="A24" s="74" t="s">
        <v>1</v>
      </c>
      <c r="B24" s="71" t="s">
        <v>62</v>
      </c>
      <c r="C24" s="39" t="s">
        <v>106</v>
      </c>
      <c r="D24" s="40" t="s">
        <v>103</v>
      </c>
      <c r="E24" s="14"/>
      <c r="F24" s="41"/>
      <c r="G24" s="14" t="s">
        <v>10</v>
      </c>
      <c r="H24" s="14"/>
      <c r="I24" s="17"/>
    </row>
    <row r="25" spans="1:9" ht="25.5" x14ac:dyDescent="0.2">
      <c r="A25" s="74" t="s">
        <v>1</v>
      </c>
      <c r="B25" s="71" t="s">
        <v>57</v>
      </c>
      <c r="C25" s="39" t="s">
        <v>116</v>
      </c>
      <c r="D25" s="40" t="s">
        <v>103</v>
      </c>
      <c r="E25" s="39" t="s">
        <v>107</v>
      </c>
      <c r="F25" s="41">
        <v>1</v>
      </c>
      <c r="G25" s="14" t="s">
        <v>9</v>
      </c>
      <c r="H25" s="39" t="s">
        <v>151</v>
      </c>
      <c r="I25" s="17"/>
    </row>
    <row r="26" spans="1:9" x14ac:dyDescent="0.2">
      <c r="A26" s="74" t="s">
        <v>1</v>
      </c>
      <c r="B26" s="71" t="s">
        <v>57</v>
      </c>
      <c r="C26" s="39" t="s">
        <v>116</v>
      </c>
      <c r="D26" s="40" t="s">
        <v>103</v>
      </c>
      <c r="E26" s="39" t="s">
        <v>108</v>
      </c>
      <c r="F26" s="41">
        <v>1</v>
      </c>
      <c r="G26" s="14" t="s">
        <v>9</v>
      </c>
      <c r="H26" s="37"/>
      <c r="I26" s="38"/>
    </row>
    <row r="27" spans="1:9" x14ac:dyDescent="0.2">
      <c r="A27" s="74" t="s">
        <v>1</v>
      </c>
      <c r="B27" s="72" t="s">
        <v>11</v>
      </c>
      <c r="C27" s="39" t="s">
        <v>116</v>
      </c>
      <c r="D27" s="40" t="s">
        <v>103</v>
      </c>
      <c r="E27" s="39" t="s">
        <v>109</v>
      </c>
      <c r="F27" s="41">
        <v>1</v>
      </c>
      <c r="G27" s="14" t="s">
        <v>9</v>
      </c>
      <c r="H27" s="14"/>
      <c r="I27" s="17"/>
    </row>
    <row r="28" spans="1:9" x14ac:dyDescent="0.2">
      <c r="A28" s="74" t="s">
        <v>1</v>
      </c>
      <c r="B28" s="72" t="s">
        <v>13</v>
      </c>
      <c r="C28" s="39" t="s">
        <v>106</v>
      </c>
      <c r="D28" s="40" t="s">
        <v>103</v>
      </c>
      <c r="E28" s="14"/>
      <c r="F28" s="41"/>
      <c r="G28" s="39" t="s">
        <v>10</v>
      </c>
      <c r="H28" s="14"/>
      <c r="I28" s="17"/>
    </row>
    <row r="29" spans="1:9" x14ac:dyDescent="0.2">
      <c r="A29" s="74" t="s">
        <v>1</v>
      </c>
      <c r="B29" s="72" t="s">
        <v>14</v>
      </c>
      <c r="C29" s="39" t="s">
        <v>131</v>
      </c>
      <c r="D29" s="40" t="s">
        <v>103</v>
      </c>
      <c r="E29" s="39" t="s">
        <v>110</v>
      </c>
      <c r="F29" s="41">
        <v>0.5</v>
      </c>
      <c r="G29" s="14" t="s">
        <v>9</v>
      </c>
      <c r="H29" s="14"/>
      <c r="I29" s="17"/>
    </row>
    <row r="30" spans="1:9" x14ac:dyDescent="0.2">
      <c r="A30" s="74" t="s">
        <v>1</v>
      </c>
      <c r="B30" s="72" t="s">
        <v>15</v>
      </c>
      <c r="C30" s="39" t="s">
        <v>106</v>
      </c>
      <c r="D30" s="40" t="s">
        <v>103</v>
      </c>
      <c r="E30" s="14"/>
      <c r="F30" s="41"/>
      <c r="G30" s="14" t="s">
        <v>10</v>
      </c>
      <c r="H30" s="39" t="s">
        <v>111</v>
      </c>
      <c r="I30" s="17"/>
    </row>
    <row r="31" spans="1:9" x14ac:dyDescent="0.2">
      <c r="A31" s="74" t="s">
        <v>1</v>
      </c>
      <c r="B31" s="71" t="s">
        <v>16</v>
      </c>
      <c r="C31" s="39" t="s">
        <v>115</v>
      </c>
      <c r="D31" s="39" t="s">
        <v>115</v>
      </c>
      <c r="E31" s="39" t="s">
        <v>112</v>
      </c>
      <c r="F31" s="41">
        <v>1</v>
      </c>
      <c r="G31" s="14" t="s">
        <v>9</v>
      </c>
      <c r="H31" s="14"/>
      <c r="I31" s="17"/>
    </row>
    <row r="32" spans="1:9" x14ac:dyDescent="0.2">
      <c r="A32" s="74" t="s">
        <v>1</v>
      </c>
      <c r="B32" s="72" t="s">
        <v>17</v>
      </c>
      <c r="C32" s="39" t="s">
        <v>113</v>
      </c>
      <c r="D32" s="40" t="s">
        <v>103</v>
      </c>
      <c r="E32" s="39" t="s">
        <v>114</v>
      </c>
      <c r="F32" s="41">
        <v>0.5</v>
      </c>
      <c r="G32" s="14" t="s">
        <v>9</v>
      </c>
      <c r="H32" s="14"/>
      <c r="I32" s="17"/>
    </row>
    <row r="33" spans="1:9" x14ac:dyDescent="0.2">
      <c r="A33" s="74" t="s">
        <v>1</v>
      </c>
      <c r="B33" s="72" t="s">
        <v>18</v>
      </c>
      <c r="C33" s="39" t="s">
        <v>106</v>
      </c>
      <c r="D33" s="40" t="s">
        <v>103</v>
      </c>
      <c r="E33" s="14"/>
      <c r="F33" s="41"/>
      <c r="G33" s="14" t="s">
        <v>10</v>
      </c>
      <c r="H33" s="14"/>
      <c r="I33" s="17"/>
    </row>
    <row r="34" spans="1:9" x14ac:dyDescent="0.2">
      <c r="A34" s="75" t="s">
        <v>1</v>
      </c>
      <c r="B34" s="72" t="s">
        <v>19</v>
      </c>
      <c r="C34" s="39" t="s">
        <v>106</v>
      </c>
      <c r="D34" s="40" t="s">
        <v>103</v>
      </c>
      <c r="E34" s="14"/>
      <c r="F34" s="41"/>
      <c r="G34" s="39" t="s">
        <v>10</v>
      </c>
      <c r="H34" s="14"/>
      <c r="I34" s="17"/>
    </row>
    <row r="35" spans="1:9" x14ac:dyDescent="0.2">
      <c r="A35" s="29"/>
      <c r="B35" s="4"/>
      <c r="C35" s="4"/>
      <c r="D35" s="4"/>
      <c r="E35" s="4"/>
      <c r="F35" s="4"/>
      <c r="G35" s="4"/>
      <c r="H35" s="4"/>
    </row>
    <row r="36" spans="1:9" x14ac:dyDescent="0.2">
      <c r="A36" s="28"/>
      <c r="B36" s="16"/>
      <c r="C36" s="16"/>
      <c r="D36" s="16"/>
      <c r="E36" s="16"/>
      <c r="F36" s="16"/>
      <c r="G36" s="16"/>
      <c r="H36" s="16"/>
    </row>
    <row r="37" spans="1:9" ht="25.5" x14ac:dyDescent="0.2">
      <c r="A37" s="79" t="s">
        <v>20</v>
      </c>
      <c r="B37" s="76" t="s">
        <v>20</v>
      </c>
      <c r="C37" s="77"/>
      <c r="D37" s="77"/>
      <c r="E37" s="77"/>
      <c r="F37" s="77"/>
      <c r="G37" s="77"/>
      <c r="H37" s="78"/>
      <c r="I37" s="17"/>
    </row>
    <row r="38" spans="1:9" x14ac:dyDescent="0.2">
      <c r="A38" s="29"/>
      <c r="B38" s="4"/>
      <c r="C38" s="4"/>
      <c r="D38" s="4"/>
      <c r="E38" s="4"/>
      <c r="F38" s="4"/>
      <c r="G38" s="4"/>
      <c r="H38" s="4"/>
    </row>
    <row r="39" spans="1:9" x14ac:dyDescent="0.2">
      <c r="A39" s="73" t="s">
        <v>21</v>
      </c>
      <c r="B39" s="82" t="s">
        <v>157</v>
      </c>
      <c r="C39" s="83"/>
      <c r="D39" s="83"/>
      <c r="E39" s="83"/>
      <c r="F39" s="83"/>
      <c r="G39" s="83"/>
      <c r="H39" s="84"/>
      <c r="I39" s="81"/>
    </row>
    <row r="40" spans="1:9" x14ac:dyDescent="0.2">
      <c r="A40" s="75" t="s">
        <v>21</v>
      </c>
      <c r="B40" s="85" t="s">
        <v>158</v>
      </c>
      <c r="C40" s="86"/>
      <c r="D40" s="86"/>
      <c r="E40" s="86"/>
      <c r="F40" s="86"/>
      <c r="G40" s="86"/>
      <c r="H40" s="87"/>
      <c r="I40" s="81"/>
    </row>
    <row r="41" spans="1:9" x14ac:dyDescent="0.2">
      <c r="A41" s="28"/>
      <c r="B41" s="30"/>
      <c r="C41" s="30"/>
      <c r="D41" s="30"/>
      <c r="E41" s="30"/>
      <c r="F41" s="30"/>
      <c r="G41" s="30"/>
      <c r="H41" s="30"/>
    </row>
    <row r="42" spans="1:9" ht="25.5" x14ac:dyDescent="0.2">
      <c r="A42" s="79" t="s">
        <v>22</v>
      </c>
      <c r="B42" s="80" t="s">
        <v>23</v>
      </c>
      <c r="C42" s="88"/>
      <c r="D42" s="88"/>
      <c r="E42" s="88"/>
      <c r="F42" s="88"/>
      <c r="G42" s="88"/>
      <c r="H42" s="89"/>
      <c r="I42" s="17"/>
    </row>
    <row r="43" spans="1:9" x14ac:dyDescent="0.2">
      <c r="A43" s="31"/>
      <c r="B43" s="5"/>
      <c r="C43" s="5"/>
      <c r="D43" s="5"/>
      <c r="E43" s="5"/>
      <c r="F43" s="5"/>
      <c r="G43" s="5"/>
      <c r="H43" s="5"/>
    </row>
    <row r="44" spans="1:9" ht="25.5" x14ac:dyDescent="0.2">
      <c r="A44" s="93" t="s">
        <v>96</v>
      </c>
      <c r="B44" s="90" t="s">
        <v>24</v>
      </c>
      <c r="C44" s="91"/>
      <c r="D44" s="91"/>
      <c r="E44" s="91"/>
      <c r="F44" s="91"/>
      <c r="G44" s="91"/>
      <c r="H44" s="92"/>
      <c r="I44" s="17"/>
    </row>
    <row r="46" spans="1:9" ht="26.25" customHeight="1" x14ac:dyDescent="0.2">
      <c r="A46" s="93" t="s">
        <v>230</v>
      </c>
      <c r="B46" s="158" t="s">
        <v>231</v>
      </c>
      <c r="C46" s="91"/>
      <c r="D46" s="91"/>
      <c r="E46" s="91"/>
      <c r="F46" s="91"/>
      <c r="G46" s="91"/>
      <c r="H46" s="9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heetViews>
  <sheetFormatPr defaultRowHeight="12.75" x14ac:dyDescent="0.2"/>
  <cols>
    <col min="1" max="1" width="12" customWidth="1"/>
    <col min="3" max="3" width="23.85546875" customWidth="1"/>
    <col min="4" max="4" width="34.140625" customWidth="1"/>
    <col min="5" max="5" width="41.28515625" customWidth="1"/>
    <col min="6" max="6" width="52.85546875" customWidth="1"/>
  </cols>
  <sheetData>
    <row r="1" spans="1:6" s="124" customFormat="1" ht="15" x14ac:dyDescent="0.2">
      <c r="A1" s="127" t="s">
        <v>117</v>
      </c>
      <c r="B1" s="128">
        <v>2.2000000000000002</v>
      </c>
    </row>
    <row r="2" spans="1:6" s="124" customFormat="1" x14ac:dyDescent="0.2">
      <c r="A2" s="129" t="s">
        <v>118</v>
      </c>
      <c r="B2" s="108" t="s">
        <v>119</v>
      </c>
      <c r="C2" s="146" t="s">
        <v>120</v>
      </c>
      <c r="D2" s="146" t="s">
        <v>121</v>
      </c>
      <c r="E2" s="109" t="s">
        <v>118</v>
      </c>
      <c r="F2" s="109" t="s">
        <v>122</v>
      </c>
    </row>
    <row r="3" spans="1:6" s="124" customFormat="1" ht="60" x14ac:dyDescent="0.2">
      <c r="A3" s="136"/>
      <c r="B3" s="131">
        <v>1</v>
      </c>
      <c r="C3" s="135" t="s">
        <v>258</v>
      </c>
      <c r="D3" s="133" t="s">
        <v>97</v>
      </c>
      <c r="E3" s="137" t="s">
        <v>234</v>
      </c>
      <c r="F3" s="137" t="s">
        <v>235</v>
      </c>
    </row>
    <row r="4" spans="1:6" s="124" customFormat="1" ht="90" x14ac:dyDescent="0.2">
      <c r="A4" s="168"/>
      <c r="B4" s="131">
        <v>2</v>
      </c>
      <c r="C4" s="137" t="s">
        <v>259</v>
      </c>
      <c r="D4" s="131" t="s">
        <v>257</v>
      </c>
      <c r="E4" s="137" t="s">
        <v>260</v>
      </c>
      <c r="F4" s="137" t="s">
        <v>256</v>
      </c>
    </row>
    <row r="5" spans="1:6" s="124" customFormat="1" ht="30" x14ac:dyDescent="0.2">
      <c r="A5" s="168"/>
      <c r="B5" s="131">
        <v>3</v>
      </c>
      <c r="C5" s="137" t="s">
        <v>250</v>
      </c>
      <c r="D5" s="169" t="s">
        <v>12</v>
      </c>
      <c r="E5" s="137" t="s">
        <v>251</v>
      </c>
      <c r="F5" s="137" t="s">
        <v>252</v>
      </c>
    </row>
    <row r="6" spans="1:6" s="124" customFormat="1" ht="45" x14ac:dyDescent="0.2">
      <c r="A6" s="168"/>
      <c r="B6" s="131">
        <v>4</v>
      </c>
      <c r="C6" s="137" t="s">
        <v>187</v>
      </c>
      <c r="D6" s="169" t="s">
        <v>253</v>
      </c>
      <c r="E6" s="137" t="s">
        <v>254</v>
      </c>
      <c r="F6" s="137" t="s">
        <v>255</v>
      </c>
    </row>
    <row r="7" spans="1:6" x14ac:dyDescent="0.2">
      <c r="A7" s="124"/>
      <c r="B7" s="124"/>
      <c r="C7" s="124"/>
      <c r="D7" s="124"/>
      <c r="E7" s="124"/>
      <c r="F7" s="124"/>
    </row>
    <row r="8" spans="1:6" s="31" customFormat="1" ht="15" x14ac:dyDescent="0.2">
      <c r="A8" s="127" t="s">
        <v>117</v>
      </c>
      <c r="B8" s="128">
        <v>2.1</v>
      </c>
      <c r="C8" s="21"/>
      <c r="D8" s="21"/>
      <c r="E8" s="21"/>
      <c r="F8" s="21"/>
    </row>
    <row r="9" spans="1:6" x14ac:dyDescent="0.2">
      <c r="A9" s="209" t="s">
        <v>118</v>
      </c>
      <c r="B9" s="210" t="s">
        <v>119</v>
      </c>
      <c r="C9" s="211" t="s">
        <v>120</v>
      </c>
      <c r="D9" s="211" t="s">
        <v>121</v>
      </c>
      <c r="E9" s="212" t="s">
        <v>118</v>
      </c>
      <c r="F9" s="212" t="s">
        <v>122</v>
      </c>
    </row>
    <row r="10" spans="1:6" ht="45" x14ac:dyDescent="0.2">
      <c r="A10" s="136"/>
      <c r="B10" s="131">
        <v>1</v>
      </c>
      <c r="C10" s="135" t="s">
        <v>221</v>
      </c>
      <c r="D10" s="133" t="s">
        <v>124</v>
      </c>
      <c r="E10" s="137" t="s">
        <v>222</v>
      </c>
      <c r="F10" s="137" t="s">
        <v>223</v>
      </c>
    </row>
    <row r="11" spans="1:6" ht="60" x14ac:dyDescent="0.2">
      <c r="A11" s="136"/>
      <c r="B11" s="131">
        <v>2</v>
      </c>
      <c r="C11" s="135" t="s">
        <v>224</v>
      </c>
      <c r="D11" s="133" t="s">
        <v>124</v>
      </c>
      <c r="E11" s="137" t="s">
        <v>225</v>
      </c>
      <c r="F11" s="137" t="s">
        <v>226</v>
      </c>
    </row>
    <row r="12" spans="1:6" ht="90" x14ac:dyDescent="0.2">
      <c r="A12" s="136"/>
      <c r="B12" s="131">
        <v>3</v>
      </c>
      <c r="C12" s="135" t="s">
        <v>227</v>
      </c>
      <c r="D12" s="133" t="s">
        <v>124</v>
      </c>
      <c r="E12" s="137" t="s">
        <v>228</v>
      </c>
      <c r="F12" s="137" t="s">
        <v>229</v>
      </c>
    </row>
    <row r="13" spans="1:6" ht="15" x14ac:dyDescent="0.2">
      <c r="A13" s="156"/>
      <c r="B13" s="157"/>
      <c r="C13" s="213"/>
      <c r="D13" s="214"/>
      <c r="E13" s="213"/>
      <c r="F13" s="213"/>
    </row>
    <row r="14" spans="1:6" ht="15" x14ac:dyDescent="0.2">
      <c r="A14" s="154" t="s">
        <v>117</v>
      </c>
      <c r="B14" s="155">
        <v>2</v>
      </c>
      <c r="C14" s="215"/>
      <c r="D14" s="21"/>
      <c r="E14" s="21"/>
      <c r="F14" s="21"/>
    </row>
    <row r="15" spans="1:6" x14ac:dyDescent="0.2">
      <c r="A15" s="129" t="s">
        <v>118</v>
      </c>
      <c r="B15" s="126" t="s">
        <v>119</v>
      </c>
      <c r="C15" s="125" t="s">
        <v>120</v>
      </c>
      <c r="D15" s="125" t="s">
        <v>121</v>
      </c>
      <c r="E15" s="125" t="s">
        <v>118</v>
      </c>
      <c r="F15" s="125" t="s">
        <v>122</v>
      </c>
    </row>
    <row r="16" spans="1:6" ht="45" x14ac:dyDescent="0.2">
      <c r="A16" s="130" t="s">
        <v>118</v>
      </c>
      <c r="B16" s="132">
        <v>1</v>
      </c>
      <c r="C16" s="134" t="s">
        <v>187</v>
      </c>
      <c r="D16" s="133" t="s">
        <v>124</v>
      </c>
      <c r="E16" s="134" t="s">
        <v>199</v>
      </c>
      <c r="F16" s="134" t="s">
        <v>200</v>
      </c>
    </row>
    <row r="17" spans="1:6" ht="30" x14ac:dyDescent="0.2">
      <c r="A17" s="136"/>
      <c r="B17" s="131">
        <v>2</v>
      </c>
      <c r="C17" s="135" t="s">
        <v>187</v>
      </c>
      <c r="D17" s="133" t="s">
        <v>124</v>
      </c>
      <c r="E17" s="137" t="s">
        <v>188</v>
      </c>
      <c r="F17" s="137" t="s">
        <v>189</v>
      </c>
    </row>
    <row r="19" spans="1:6" ht="15" x14ac:dyDescent="0.2">
      <c r="A19" s="43" t="s">
        <v>117</v>
      </c>
      <c r="B19" s="44">
        <v>1.9</v>
      </c>
    </row>
    <row r="20" spans="1:6" x14ac:dyDescent="0.2">
      <c r="A20" s="94" t="s">
        <v>118</v>
      </c>
      <c r="B20" s="108" t="s">
        <v>119</v>
      </c>
      <c r="C20" s="109" t="s">
        <v>120</v>
      </c>
      <c r="D20" s="109" t="s">
        <v>121</v>
      </c>
      <c r="E20" s="109" t="s">
        <v>118</v>
      </c>
      <c r="F20" s="109" t="s">
        <v>122</v>
      </c>
    </row>
    <row r="21" spans="1:6" ht="180" x14ac:dyDescent="0.2">
      <c r="A21" s="96" t="s">
        <v>118</v>
      </c>
      <c r="B21" s="111">
        <v>1</v>
      </c>
      <c r="C21" s="110" t="s">
        <v>183</v>
      </c>
      <c r="D21" s="110" t="s">
        <v>175</v>
      </c>
      <c r="E21" s="110" t="s">
        <v>182</v>
      </c>
      <c r="F21" s="110" t="s">
        <v>184</v>
      </c>
    </row>
    <row r="23" spans="1:6" ht="15" x14ac:dyDescent="0.2">
      <c r="A23" s="43" t="s">
        <v>117</v>
      </c>
      <c r="B23" s="44">
        <v>1.8</v>
      </c>
    </row>
    <row r="24" spans="1:6" x14ac:dyDescent="0.2">
      <c r="A24" s="94" t="s">
        <v>118</v>
      </c>
      <c r="B24" s="108" t="s">
        <v>119</v>
      </c>
      <c r="C24" s="109" t="s">
        <v>120</v>
      </c>
      <c r="D24" s="109" t="s">
        <v>121</v>
      </c>
      <c r="E24" s="109" t="s">
        <v>118</v>
      </c>
      <c r="F24" s="109" t="s">
        <v>122</v>
      </c>
    </row>
    <row r="25" spans="1:6" ht="60" x14ac:dyDescent="0.2">
      <c r="A25" s="96" t="s">
        <v>118</v>
      </c>
      <c r="B25" s="111">
        <v>1</v>
      </c>
      <c r="C25" s="110" t="s">
        <v>163</v>
      </c>
      <c r="D25" s="110" t="s">
        <v>164</v>
      </c>
      <c r="E25" s="110" t="s">
        <v>165</v>
      </c>
      <c r="F25" s="110" t="s">
        <v>166</v>
      </c>
    </row>
    <row r="26" spans="1:6" ht="60" x14ac:dyDescent="0.2">
      <c r="A26" s="96" t="s">
        <v>118</v>
      </c>
      <c r="B26" s="111">
        <v>2</v>
      </c>
      <c r="C26" s="110" t="s">
        <v>167</v>
      </c>
      <c r="D26" s="110" t="s">
        <v>164</v>
      </c>
      <c r="E26" s="110" t="s">
        <v>168</v>
      </c>
      <c r="F26" s="110" t="s">
        <v>169</v>
      </c>
    </row>
    <row r="27" spans="1:6" ht="60" x14ac:dyDescent="0.2">
      <c r="A27" s="96" t="s">
        <v>118</v>
      </c>
      <c r="B27" s="111">
        <v>3</v>
      </c>
      <c r="C27" s="110" t="s">
        <v>170</v>
      </c>
      <c r="D27" s="110" t="s">
        <v>171</v>
      </c>
      <c r="E27" s="110" t="s">
        <v>172</v>
      </c>
      <c r="F27" s="110" t="s">
        <v>173</v>
      </c>
    </row>
    <row r="28" spans="1:6" ht="105" x14ac:dyDescent="0.2">
      <c r="A28" s="96" t="s">
        <v>118</v>
      </c>
      <c r="B28" s="111">
        <v>4</v>
      </c>
      <c r="C28" s="110" t="s">
        <v>174</v>
      </c>
      <c r="D28" s="110" t="s">
        <v>175</v>
      </c>
      <c r="E28" s="110" t="s">
        <v>176</v>
      </c>
      <c r="F28" s="110" t="s">
        <v>177</v>
      </c>
    </row>
    <row r="29" spans="1:6" ht="75" x14ac:dyDescent="0.2">
      <c r="A29" s="97" t="s">
        <v>118</v>
      </c>
      <c r="B29" s="111">
        <v>5</v>
      </c>
      <c r="C29" s="110" t="s">
        <v>178</v>
      </c>
      <c r="D29" s="110" t="s">
        <v>179</v>
      </c>
      <c r="E29" s="110" t="s">
        <v>180</v>
      </c>
      <c r="F29" s="110" t="s">
        <v>181</v>
      </c>
    </row>
    <row r="31" spans="1:6" ht="15" x14ac:dyDescent="0.2">
      <c r="A31" s="43" t="s">
        <v>117</v>
      </c>
      <c r="B31" s="44">
        <v>1.3</v>
      </c>
    </row>
    <row r="32" spans="1:6" x14ac:dyDescent="0.2">
      <c r="A32" s="94" t="s">
        <v>118</v>
      </c>
      <c r="B32" s="45" t="s">
        <v>119</v>
      </c>
      <c r="C32" s="106" t="s">
        <v>120</v>
      </c>
      <c r="D32" s="106" t="s">
        <v>121</v>
      </c>
      <c r="E32" s="106" t="s">
        <v>118</v>
      </c>
      <c r="F32" s="106" t="s">
        <v>122</v>
      </c>
    </row>
    <row r="33" spans="1:6" ht="120" x14ac:dyDescent="0.2">
      <c r="A33" s="97" t="s">
        <v>118</v>
      </c>
      <c r="B33" s="47">
        <v>1</v>
      </c>
      <c r="C33" s="48" t="s">
        <v>91</v>
      </c>
      <c r="D33" s="48" t="s">
        <v>91</v>
      </c>
      <c r="E33" s="48" t="s">
        <v>160</v>
      </c>
      <c r="F33" s="48" t="s">
        <v>161</v>
      </c>
    </row>
    <row r="35" spans="1:6" ht="15" x14ac:dyDescent="0.2">
      <c r="A35" s="43" t="s">
        <v>117</v>
      </c>
      <c r="B35" s="44">
        <v>1.1000000000000001</v>
      </c>
    </row>
    <row r="36" spans="1:6" x14ac:dyDescent="0.2">
      <c r="A36" s="94" t="s">
        <v>118</v>
      </c>
      <c r="B36" s="45" t="s">
        <v>119</v>
      </c>
      <c r="C36" s="46" t="s">
        <v>120</v>
      </c>
      <c r="D36" s="46" t="s">
        <v>121</v>
      </c>
      <c r="E36" s="46" t="s">
        <v>118</v>
      </c>
      <c r="F36" s="46" t="s">
        <v>122</v>
      </c>
    </row>
    <row r="37" spans="1:6" ht="45" x14ac:dyDescent="0.2">
      <c r="A37" s="96" t="s">
        <v>118</v>
      </c>
      <c r="B37" s="47">
        <v>1</v>
      </c>
      <c r="C37" s="48" t="s">
        <v>123</v>
      </c>
      <c r="D37" s="48" t="s">
        <v>124</v>
      </c>
      <c r="E37" s="48" t="s">
        <v>125</v>
      </c>
      <c r="F37" s="48" t="s">
        <v>126</v>
      </c>
    </row>
    <row r="38" spans="1:6" ht="45" x14ac:dyDescent="0.2">
      <c r="A38" s="96" t="s">
        <v>118</v>
      </c>
      <c r="B38" s="47">
        <v>2</v>
      </c>
      <c r="C38" s="48" t="s">
        <v>127</v>
      </c>
      <c r="D38" s="48" t="s">
        <v>124</v>
      </c>
      <c r="E38" s="48" t="s">
        <v>128</v>
      </c>
      <c r="F38" s="48" t="s">
        <v>129</v>
      </c>
    </row>
    <row r="39" spans="1:6" ht="30" x14ac:dyDescent="0.2">
      <c r="A39" s="96" t="s">
        <v>118</v>
      </c>
      <c r="B39" s="47">
        <v>3</v>
      </c>
      <c r="C39" s="48" t="s">
        <v>133</v>
      </c>
      <c r="D39" s="48" t="s">
        <v>134</v>
      </c>
      <c r="E39" s="48" t="s">
        <v>135</v>
      </c>
      <c r="F39" s="48" t="s">
        <v>130</v>
      </c>
    </row>
    <row r="40" spans="1:6" ht="30" x14ac:dyDescent="0.2">
      <c r="A40" s="96" t="s">
        <v>118</v>
      </c>
      <c r="B40" s="47">
        <v>4</v>
      </c>
      <c r="C40" s="48" t="s">
        <v>136</v>
      </c>
      <c r="D40" s="48" t="s">
        <v>134</v>
      </c>
      <c r="E40" s="48" t="s">
        <v>137</v>
      </c>
      <c r="F40" s="48" t="s">
        <v>130</v>
      </c>
    </row>
    <row r="41" spans="1:6" ht="45" x14ac:dyDescent="0.2">
      <c r="A41" s="96" t="s">
        <v>118</v>
      </c>
      <c r="B41" s="47">
        <v>5</v>
      </c>
      <c r="C41" s="48" t="s">
        <v>138</v>
      </c>
      <c r="D41" s="48" t="s">
        <v>59</v>
      </c>
      <c r="E41" s="48" t="s">
        <v>139</v>
      </c>
      <c r="F41" s="48" t="s">
        <v>140</v>
      </c>
    </row>
    <row r="42" spans="1:6" ht="45" x14ac:dyDescent="0.2">
      <c r="A42" s="97" t="s">
        <v>118</v>
      </c>
      <c r="B42" s="47">
        <v>6</v>
      </c>
      <c r="C42" s="48" t="s">
        <v>142</v>
      </c>
      <c r="D42" s="48" t="s">
        <v>143</v>
      </c>
      <c r="E42" s="48" t="s">
        <v>144</v>
      </c>
      <c r="F42" s="48" t="s">
        <v>145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heetViews>
  <sheetFormatPr defaultRowHeight="12.75" x14ac:dyDescent="0.2"/>
  <cols>
    <col min="1" max="1" width="27.7109375" customWidth="1"/>
    <col min="2" max="2" width="31.7109375" customWidth="1"/>
    <col min="3" max="3" width="24.28515625" customWidth="1"/>
    <col min="4" max="4" width="16.85546875" customWidth="1"/>
    <col min="5" max="5" width="20.42578125" customWidth="1"/>
    <col min="6" max="6" width="20.85546875" customWidth="1"/>
    <col min="7" max="7" width="26.7109375" customWidth="1"/>
  </cols>
  <sheetData>
    <row r="1" spans="1:7" ht="15" customHeight="1" x14ac:dyDescent="0.2">
      <c r="A1" s="112" t="s">
        <v>190</v>
      </c>
      <c r="B1" s="116" t="s">
        <v>191</v>
      </c>
      <c r="C1" s="114" t="s">
        <v>192</v>
      </c>
      <c r="D1" s="114" t="s">
        <v>193</v>
      </c>
      <c r="E1" s="115" t="s">
        <v>194</v>
      </c>
      <c r="F1" s="113"/>
    </row>
    <row r="2" spans="1:7" ht="30" customHeight="1" x14ac:dyDescent="0.2">
      <c r="A2" s="122" t="s">
        <v>190</v>
      </c>
      <c r="B2" s="143" t="s">
        <v>203</v>
      </c>
      <c r="C2" s="142" t="s">
        <v>204</v>
      </c>
      <c r="D2" s="144" t="s">
        <v>205</v>
      </c>
      <c r="E2" s="142" t="s">
        <v>206</v>
      </c>
      <c r="F2" s="113"/>
    </row>
    <row r="3" spans="1:7" ht="18.75" customHeight="1" x14ac:dyDescent="0.2">
      <c r="A3" s="122" t="s">
        <v>190</v>
      </c>
      <c r="B3" s="143"/>
      <c r="C3" s="145"/>
      <c r="D3" s="145"/>
      <c r="E3" s="145"/>
      <c r="F3" s="113"/>
    </row>
    <row r="4" spans="1:7" ht="17.25" customHeight="1" x14ac:dyDescent="0.2">
      <c r="A4" s="140" t="s">
        <v>190</v>
      </c>
      <c r="B4" s="145"/>
      <c r="C4" s="145"/>
      <c r="D4" s="145"/>
      <c r="E4" s="145"/>
      <c r="F4" s="113"/>
    </row>
    <row r="5" spans="1:7" s="124" customFormat="1" ht="17.25" customHeight="1" x14ac:dyDescent="0.2">
      <c r="A5" s="138"/>
      <c r="B5" s="139"/>
      <c r="C5" s="139"/>
      <c r="D5" s="139"/>
      <c r="E5" s="139"/>
      <c r="F5" s="113"/>
    </row>
    <row r="6" spans="1:7" ht="32.25" customHeight="1" x14ac:dyDescent="0.2">
      <c r="A6" s="141" t="s">
        <v>195</v>
      </c>
      <c r="B6" s="117" t="s">
        <v>196</v>
      </c>
      <c r="C6" s="117" t="s">
        <v>207</v>
      </c>
      <c r="D6" s="117" t="s">
        <v>202</v>
      </c>
      <c r="E6" s="117" t="s">
        <v>197</v>
      </c>
      <c r="F6" s="117" t="s">
        <v>198</v>
      </c>
      <c r="G6" s="118" t="s">
        <v>194</v>
      </c>
    </row>
    <row r="7" spans="1:7" ht="20.25" customHeight="1" x14ac:dyDescent="0.2">
      <c r="A7" s="123" t="s">
        <v>195</v>
      </c>
      <c r="B7" s="121"/>
      <c r="C7" s="119"/>
      <c r="D7" s="119"/>
      <c r="E7" s="119"/>
      <c r="F7" s="120"/>
      <c r="G7" s="11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8"/>
  <sheetViews>
    <sheetView zoomScaleNormal="100" workbookViewId="0"/>
  </sheetViews>
  <sheetFormatPr defaultColWidth="20.7109375" defaultRowHeight="12.75" x14ac:dyDescent="0.2"/>
  <cols>
    <col min="1" max="1" width="20.7109375" style="124"/>
    <col min="2" max="2" width="40.7109375" style="124" customWidth="1"/>
    <col min="3" max="16384" width="20.7109375" style="124"/>
  </cols>
  <sheetData>
    <row r="1" spans="1:9" s="105" customFormat="1" ht="15" x14ac:dyDescent="0.2">
      <c r="A1" s="95" t="s">
        <v>25</v>
      </c>
      <c r="B1" s="151" t="s">
        <v>220</v>
      </c>
      <c r="C1" s="91"/>
      <c r="D1" s="92"/>
      <c r="E1" s="199"/>
    </row>
    <row r="2" spans="1:9" ht="15" x14ac:dyDescent="0.2">
      <c r="A2" s="170" t="s">
        <v>26</v>
      </c>
      <c r="B2" s="34" t="s">
        <v>232</v>
      </c>
      <c r="C2" s="10"/>
      <c r="D2" s="4"/>
    </row>
    <row r="3" spans="1:9" ht="15" x14ac:dyDescent="0.2">
      <c r="A3" s="8" t="s">
        <v>27</v>
      </c>
      <c r="B3" s="34" t="s">
        <v>232</v>
      </c>
      <c r="C3" s="7"/>
      <c r="D3" s="21"/>
    </row>
    <row r="4" spans="1:9" ht="25.5" x14ac:dyDescent="0.2">
      <c r="A4" s="99" t="s">
        <v>28</v>
      </c>
      <c r="B4" s="171" t="s">
        <v>29</v>
      </c>
      <c r="C4" s="171" t="s">
        <v>30</v>
      </c>
      <c r="D4" s="171" t="s">
        <v>31</v>
      </c>
      <c r="E4" s="172" t="s">
        <v>208</v>
      </c>
      <c r="F4" s="172" t="s">
        <v>159</v>
      </c>
    </row>
    <row r="5" spans="1:9" ht="25.5" x14ac:dyDescent="0.2">
      <c r="A5" s="97" t="s">
        <v>28</v>
      </c>
      <c r="B5" s="173" t="s">
        <v>32</v>
      </c>
      <c r="C5" s="173" t="s">
        <v>33</v>
      </c>
      <c r="D5" s="173">
        <v>1</v>
      </c>
      <c r="E5" s="174" t="s">
        <v>12</v>
      </c>
      <c r="F5" s="174" t="s">
        <v>12</v>
      </c>
    </row>
    <row r="6" spans="1:9" x14ac:dyDescent="0.2">
      <c r="A6" s="2"/>
      <c r="B6" s="5"/>
      <c r="C6" s="1"/>
      <c r="D6" s="1"/>
    </row>
    <row r="7" spans="1:9" ht="15" x14ac:dyDescent="0.2">
      <c r="A7" s="175" t="s">
        <v>34</v>
      </c>
      <c r="B7" s="176" t="s">
        <v>35</v>
      </c>
      <c r="C7" s="7"/>
      <c r="D7" s="16"/>
      <c r="E7" s="16"/>
      <c r="F7" s="16"/>
    </row>
    <row r="8" spans="1:9" ht="22.5" x14ac:dyDescent="0.2">
      <c r="A8" s="99" t="s">
        <v>36</v>
      </c>
      <c r="B8" s="171" t="s">
        <v>37</v>
      </c>
      <c r="C8" s="171" t="s">
        <v>38</v>
      </c>
      <c r="D8" s="171" t="s">
        <v>39</v>
      </c>
      <c r="E8" s="171" t="s">
        <v>40</v>
      </c>
      <c r="F8" s="171" t="s">
        <v>41</v>
      </c>
      <c r="G8" s="177"/>
    </row>
    <row r="9" spans="1:9" ht="15" x14ac:dyDescent="0.2">
      <c r="A9" s="97" t="s">
        <v>36</v>
      </c>
      <c r="B9" s="173" t="s">
        <v>42</v>
      </c>
      <c r="C9" s="173" t="s">
        <v>43</v>
      </c>
      <c r="D9" s="173" t="s">
        <v>42</v>
      </c>
      <c r="E9" s="173" t="s">
        <v>44</v>
      </c>
      <c r="F9" s="173" t="s">
        <v>12</v>
      </c>
      <c r="G9" s="178"/>
    </row>
    <row r="10" spans="1:9" ht="22.5" x14ac:dyDescent="0.2">
      <c r="A10" s="99" t="s">
        <v>45</v>
      </c>
      <c r="B10" s="171" t="s">
        <v>46</v>
      </c>
      <c r="C10" s="171" t="s">
        <v>47</v>
      </c>
      <c r="D10" s="179" t="s">
        <v>212</v>
      </c>
      <c r="E10" s="171" t="s">
        <v>48</v>
      </c>
      <c r="F10" s="171" t="s">
        <v>49</v>
      </c>
      <c r="G10" s="171" t="s">
        <v>50</v>
      </c>
      <c r="H10" s="171" t="s">
        <v>51</v>
      </c>
      <c r="I10" s="179" t="s">
        <v>246</v>
      </c>
    </row>
    <row r="11" spans="1:9" ht="15" x14ac:dyDescent="0.2">
      <c r="A11" s="96" t="s">
        <v>45</v>
      </c>
      <c r="B11" s="180" t="s">
        <v>12</v>
      </c>
      <c r="C11" s="181" t="s">
        <v>12</v>
      </c>
      <c r="D11" s="181" t="s">
        <v>12</v>
      </c>
      <c r="E11" s="181" t="s">
        <v>12</v>
      </c>
      <c r="F11" s="181" t="s">
        <v>12</v>
      </c>
      <c r="G11" s="181" t="s">
        <v>12</v>
      </c>
      <c r="H11" s="181" t="s">
        <v>12</v>
      </c>
      <c r="I11" s="181" t="s">
        <v>12</v>
      </c>
    </row>
    <row r="12" spans="1:9" ht="22.5" x14ac:dyDescent="0.2">
      <c r="A12" s="129" t="s">
        <v>162</v>
      </c>
      <c r="B12" s="182" t="s">
        <v>46</v>
      </c>
      <c r="C12" s="172" t="s">
        <v>47</v>
      </c>
      <c r="D12" s="172" t="s">
        <v>48</v>
      </c>
      <c r="E12" s="107"/>
      <c r="F12" s="107"/>
      <c r="G12" s="107"/>
      <c r="H12" s="81"/>
    </row>
    <row r="13" spans="1:9" ht="15" x14ac:dyDescent="0.2">
      <c r="A13" s="183" t="s">
        <v>162</v>
      </c>
      <c r="B13" s="184" t="s">
        <v>12</v>
      </c>
      <c r="C13" s="174" t="s">
        <v>12</v>
      </c>
      <c r="D13" s="174" t="s">
        <v>12</v>
      </c>
      <c r="E13" s="107"/>
      <c r="F13" s="107"/>
      <c r="G13" s="107"/>
      <c r="H13" s="81"/>
    </row>
    <row r="14" spans="1:9" ht="22.5" x14ac:dyDescent="0.2">
      <c r="A14" s="103" t="s">
        <v>52</v>
      </c>
      <c r="B14" s="185" t="s">
        <v>2</v>
      </c>
      <c r="C14" s="171" t="s">
        <v>53</v>
      </c>
      <c r="D14" s="171" t="s">
        <v>54</v>
      </c>
      <c r="E14" s="171" t="s">
        <v>5</v>
      </c>
      <c r="F14" s="171" t="s">
        <v>55</v>
      </c>
      <c r="G14" s="186" t="s">
        <v>211</v>
      </c>
    </row>
    <row r="15" spans="1:9" ht="15" x14ac:dyDescent="0.2">
      <c r="A15" s="187" t="s">
        <v>52</v>
      </c>
      <c r="B15" s="188" t="s">
        <v>102</v>
      </c>
      <c r="C15" s="181" t="s">
        <v>42</v>
      </c>
      <c r="D15" s="180" t="s">
        <v>56</v>
      </c>
      <c r="E15" s="180" t="s">
        <v>12</v>
      </c>
      <c r="F15" s="189">
        <v>0.5</v>
      </c>
      <c r="G15" s="190" t="s">
        <v>84</v>
      </c>
    </row>
    <row r="16" spans="1:9" ht="15" x14ac:dyDescent="0.2">
      <c r="A16" s="187" t="s">
        <v>52</v>
      </c>
      <c r="B16" s="102" t="s">
        <v>57</v>
      </c>
      <c r="C16" s="180" t="s">
        <v>56</v>
      </c>
      <c r="D16" s="180" t="s">
        <v>12</v>
      </c>
      <c r="E16" s="180" t="s">
        <v>12</v>
      </c>
      <c r="F16" s="189">
        <v>1</v>
      </c>
      <c r="G16" s="190" t="s">
        <v>74</v>
      </c>
    </row>
    <row r="17" spans="1:16" ht="15" x14ac:dyDescent="0.2">
      <c r="A17" s="187" t="s">
        <v>52</v>
      </c>
      <c r="B17" s="188" t="s">
        <v>11</v>
      </c>
      <c r="C17" s="180" t="s">
        <v>56</v>
      </c>
      <c r="D17" s="180" t="s">
        <v>12</v>
      </c>
      <c r="E17" s="161" t="s">
        <v>12</v>
      </c>
      <c r="F17" s="189">
        <v>1</v>
      </c>
      <c r="G17" s="190" t="s">
        <v>84</v>
      </c>
    </row>
    <row r="18" spans="1:16" ht="15" x14ac:dyDescent="0.2">
      <c r="A18" s="187" t="s">
        <v>52</v>
      </c>
      <c r="B18" s="188" t="s">
        <v>14</v>
      </c>
      <c r="C18" s="180" t="s">
        <v>59</v>
      </c>
      <c r="D18" s="181" t="s">
        <v>132</v>
      </c>
      <c r="E18" s="180" t="s">
        <v>12</v>
      </c>
      <c r="F18" s="189">
        <v>0.5</v>
      </c>
      <c r="G18" s="190" t="s">
        <v>84</v>
      </c>
    </row>
    <row r="19" spans="1:16" ht="15" x14ac:dyDescent="0.2">
      <c r="A19" s="191" t="s">
        <v>52</v>
      </c>
      <c r="B19" s="188" t="s">
        <v>17</v>
      </c>
      <c r="C19" s="180" t="s">
        <v>59</v>
      </c>
      <c r="D19" s="180" t="s">
        <v>60</v>
      </c>
      <c r="E19" s="180" t="s">
        <v>12</v>
      </c>
      <c r="F19" s="189">
        <v>0.5</v>
      </c>
      <c r="G19" s="190" t="s">
        <v>84</v>
      </c>
    </row>
    <row r="20" spans="1:16" ht="22.5" x14ac:dyDescent="0.2">
      <c r="A20" s="104" t="s">
        <v>61</v>
      </c>
      <c r="B20" s="32" t="s">
        <v>2</v>
      </c>
      <c r="C20" s="24" t="s">
        <v>53</v>
      </c>
      <c r="D20" s="24" t="s">
        <v>54</v>
      </c>
      <c r="E20" s="10"/>
      <c r="F20" s="1"/>
      <c r="G20" s="192"/>
    </row>
    <row r="21" spans="1:16" ht="15" x14ac:dyDescent="0.2">
      <c r="A21" s="193" t="s">
        <v>61</v>
      </c>
      <c r="B21" s="188" t="s">
        <v>102</v>
      </c>
      <c r="C21" s="181" t="s">
        <v>42</v>
      </c>
      <c r="D21" s="181" t="s">
        <v>12</v>
      </c>
      <c r="E21" s="17"/>
    </row>
    <row r="22" spans="1:16" ht="15" x14ac:dyDescent="0.2">
      <c r="A22" s="193" t="s">
        <v>61</v>
      </c>
      <c r="B22" s="102" t="s">
        <v>62</v>
      </c>
      <c r="C22" s="181" t="s">
        <v>42</v>
      </c>
      <c r="D22" s="181" t="s">
        <v>12</v>
      </c>
      <c r="E22" s="17"/>
    </row>
    <row r="23" spans="1:16" ht="15" x14ac:dyDescent="0.2">
      <c r="A23" s="193" t="s">
        <v>61</v>
      </c>
      <c r="B23" s="102" t="s">
        <v>57</v>
      </c>
      <c r="C23" s="174" t="s">
        <v>42</v>
      </c>
      <c r="D23" s="174" t="s">
        <v>12</v>
      </c>
      <c r="E23" s="38"/>
    </row>
    <row r="24" spans="1:16" ht="15" x14ac:dyDescent="0.2">
      <c r="A24" s="193" t="s">
        <v>61</v>
      </c>
      <c r="B24" s="188" t="s">
        <v>11</v>
      </c>
      <c r="C24" s="181" t="s">
        <v>42</v>
      </c>
      <c r="D24" s="181" t="s">
        <v>12</v>
      </c>
      <c r="E24" s="17"/>
    </row>
    <row r="25" spans="1:16" ht="15" x14ac:dyDescent="0.2">
      <c r="A25" s="193" t="s">
        <v>61</v>
      </c>
      <c r="B25" s="188" t="s">
        <v>13</v>
      </c>
      <c r="C25" s="181" t="s">
        <v>42</v>
      </c>
      <c r="D25" s="181" t="s">
        <v>12</v>
      </c>
      <c r="E25" s="17"/>
    </row>
    <row r="26" spans="1:16" ht="15" x14ac:dyDescent="0.2">
      <c r="A26" s="193" t="s">
        <v>61</v>
      </c>
      <c r="B26" s="188" t="s">
        <v>14</v>
      </c>
      <c r="C26" s="181" t="s">
        <v>42</v>
      </c>
      <c r="D26" s="181" t="s">
        <v>12</v>
      </c>
      <c r="E26" s="17"/>
    </row>
    <row r="27" spans="1:16" ht="15" x14ac:dyDescent="0.2">
      <c r="A27" s="193" t="s">
        <v>61</v>
      </c>
      <c r="B27" s="188" t="s">
        <v>15</v>
      </c>
      <c r="C27" s="174" t="s">
        <v>42</v>
      </c>
      <c r="D27" s="174" t="s">
        <v>12</v>
      </c>
      <c r="E27" s="38"/>
    </row>
    <row r="28" spans="1:16" ht="15" x14ac:dyDescent="0.2">
      <c r="A28" s="193" t="s">
        <v>61</v>
      </c>
      <c r="B28" s="188" t="s">
        <v>17</v>
      </c>
      <c r="C28" s="174" t="s">
        <v>42</v>
      </c>
      <c r="D28" s="174" t="s">
        <v>12</v>
      </c>
      <c r="E28" s="38"/>
    </row>
    <row r="29" spans="1:16" ht="15" x14ac:dyDescent="0.2">
      <c r="A29" s="193" t="s">
        <v>61</v>
      </c>
      <c r="B29" s="188" t="s">
        <v>18</v>
      </c>
      <c r="C29" s="174" t="s">
        <v>42</v>
      </c>
      <c r="D29" s="174" t="s">
        <v>12</v>
      </c>
      <c r="E29" s="38"/>
    </row>
    <row r="30" spans="1:16" ht="15" x14ac:dyDescent="0.2">
      <c r="A30" s="193"/>
      <c r="B30" s="188" t="s">
        <v>19</v>
      </c>
      <c r="C30" s="174" t="s">
        <v>42</v>
      </c>
      <c r="D30" s="174" t="s">
        <v>12</v>
      </c>
      <c r="E30" s="38"/>
    </row>
    <row r="31" spans="1:16" ht="15" x14ac:dyDescent="0.2">
      <c r="A31" s="194" t="s">
        <v>61</v>
      </c>
      <c r="B31" s="195" t="s">
        <v>16</v>
      </c>
      <c r="C31" s="181" t="s">
        <v>42</v>
      </c>
      <c r="D31" s="181" t="s">
        <v>12</v>
      </c>
      <c r="E31" s="17"/>
    </row>
    <row r="32" spans="1:16" x14ac:dyDescent="0.2">
      <c r="A32" s="99" t="s">
        <v>236</v>
      </c>
      <c r="B32" s="159" t="s">
        <v>237</v>
      </c>
      <c r="C32" s="159" t="s">
        <v>238</v>
      </c>
      <c r="D32" s="159" t="s">
        <v>239</v>
      </c>
      <c r="E32" s="159" t="s">
        <v>240</v>
      </c>
      <c r="F32" s="159" t="s">
        <v>241</v>
      </c>
      <c r="G32" s="159" t="s">
        <v>242</v>
      </c>
      <c r="H32" s="159" t="s">
        <v>65</v>
      </c>
      <c r="I32" s="159" t="s">
        <v>66</v>
      </c>
      <c r="J32" s="159" t="s">
        <v>209</v>
      </c>
      <c r="K32" s="159" t="s">
        <v>210</v>
      </c>
      <c r="L32" s="159" t="s">
        <v>45</v>
      </c>
      <c r="M32" s="159" t="s">
        <v>243</v>
      </c>
      <c r="N32" s="159" t="s">
        <v>244</v>
      </c>
      <c r="O32" s="159" t="s">
        <v>245</v>
      </c>
      <c r="P32" s="159" t="s">
        <v>233</v>
      </c>
    </row>
    <row r="33" spans="1:16" ht="15" x14ac:dyDescent="0.2">
      <c r="A33" s="97" t="s">
        <v>236</v>
      </c>
      <c r="B33" s="160" t="s">
        <v>12</v>
      </c>
      <c r="C33" s="160" t="s">
        <v>12</v>
      </c>
      <c r="D33" s="160" t="s">
        <v>12</v>
      </c>
      <c r="E33" s="160" t="s">
        <v>12</v>
      </c>
      <c r="F33" s="160" t="s">
        <v>12</v>
      </c>
      <c r="G33" s="160" t="s">
        <v>12</v>
      </c>
      <c r="H33" s="160" t="s">
        <v>12</v>
      </c>
      <c r="I33" s="160" t="s">
        <v>12</v>
      </c>
      <c r="J33" s="160" t="s">
        <v>12</v>
      </c>
      <c r="K33" s="160" t="s">
        <v>12</v>
      </c>
      <c r="L33" s="160" t="s">
        <v>12</v>
      </c>
      <c r="M33" s="160" t="s">
        <v>12</v>
      </c>
      <c r="N33" s="160" t="s">
        <v>12</v>
      </c>
      <c r="O33" s="160" t="s">
        <v>12</v>
      </c>
      <c r="P33" s="160" t="s">
        <v>12</v>
      </c>
    </row>
    <row r="34" spans="1:16" x14ac:dyDescent="0.2">
      <c r="A34" s="99" t="s">
        <v>63</v>
      </c>
      <c r="B34" s="24" t="s">
        <v>64</v>
      </c>
      <c r="C34" s="17"/>
    </row>
    <row r="35" spans="1:16" ht="15" x14ac:dyDescent="0.2">
      <c r="A35" s="97" t="s">
        <v>63</v>
      </c>
      <c r="B35" s="12" t="s">
        <v>33</v>
      </c>
      <c r="C35" s="7"/>
      <c r="D35" s="28"/>
      <c r="E35" s="28"/>
      <c r="F35" s="28"/>
    </row>
    <row r="36" spans="1:16" ht="25.5" x14ac:dyDescent="0.2">
      <c r="A36" s="99" t="s">
        <v>67</v>
      </c>
      <c r="B36" s="24" t="s">
        <v>65</v>
      </c>
      <c r="C36" s="24" t="s">
        <v>66</v>
      </c>
      <c r="D36" s="163"/>
      <c r="E36" s="29"/>
      <c r="F36" s="29"/>
    </row>
    <row r="37" spans="1:16" ht="25.5" x14ac:dyDescent="0.2">
      <c r="A37" s="97" t="s">
        <v>67</v>
      </c>
      <c r="B37" s="12" t="s">
        <v>12</v>
      </c>
      <c r="C37" s="164" t="s">
        <v>12</v>
      </c>
      <c r="D37" s="162"/>
      <c r="E37" s="28"/>
    </row>
    <row r="38" spans="1:16" x14ac:dyDescent="0.2">
      <c r="A38" s="99" t="s">
        <v>68</v>
      </c>
      <c r="B38" s="32" t="s">
        <v>69</v>
      </c>
      <c r="C38" s="10"/>
      <c r="D38" s="29"/>
      <c r="E38" s="29"/>
    </row>
    <row r="39" spans="1:16" ht="15" x14ac:dyDescent="0.2">
      <c r="A39" s="97" t="s">
        <v>68</v>
      </c>
      <c r="B39" s="33" t="s">
        <v>12</v>
      </c>
      <c r="C39" s="17"/>
    </row>
    <row r="40" spans="1:16" x14ac:dyDescent="0.2">
      <c r="A40" s="11"/>
      <c r="B40" s="15"/>
    </row>
    <row r="41" spans="1:16" ht="15" x14ac:dyDescent="0.2">
      <c r="A41" s="175" t="s">
        <v>34</v>
      </c>
      <c r="B41" s="19" t="s">
        <v>70</v>
      </c>
      <c r="C41" s="196"/>
      <c r="D41" s="21"/>
      <c r="E41" s="21"/>
      <c r="F41" s="197"/>
    </row>
    <row r="42" spans="1:16" ht="22.5" x14ac:dyDescent="0.2">
      <c r="A42" s="99" t="s">
        <v>36</v>
      </c>
      <c r="B42" s="24" t="s">
        <v>37</v>
      </c>
      <c r="C42" s="24" t="s">
        <v>38</v>
      </c>
      <c r="D42" s="24" t="s">
        <v>39</v>
      </c>
      <c r="E42" s="24" t="s">
        <v>40</v>
      </c>
      <c r="F42" s="24" t="s">
        <v>41</v>
      </c>
      <c r="G42" s="26"/>
    </row>
    <row r="43" spans="1:16" ht="30" x14ac:dyDescent="0.2">
      <c r="A43" s="97" t="s">
        <v>36</v>
      </c>
      <c r="B43" s="9" t="s">
        <v>71</v>
      </c>
      <c r="C43" s="9" t="s">
        <v>44</v>
      </c>
      <c r="D43" s="9" t="s">
        <v>72</v>
      </c>
      <c r="E43" s="9" t="s">
        <v>73</v>
      </c>
      <c r="F43" s="9" t="s">
        <v>12</v>
      </c>
      <c r="G43" s="25"/>
    </row>
    <row r="44" spans="1:16" ht="22.5" x14ac:dyDescent="0.2">
      <c r="A44" s="99" t="s">
        <v>45</v>
      </c>
      <c r="B44" s="18" t="s">
        <v>46</v>
      </c>
      <c r="C44" s="18" t="s">
        <v>47</v>
      </c>
      <c r="D44" s="148" t="s">
        <v>212</v>
      </c>
      <c r="E44" s="18" t="s">
        <v>48</v>
      </c>
      <c r="F44" s="18" t="s">
        <v>49</v>
      </c>
      <c r="G44" s="18" t="s">
        <v>50</v>
      </c>
      <c r="H44" s="18" t="s">
        <v>51</v>
      </c>
      <c r="I44" s="148" t="s">
        <v>246</v>
      </c>
    </row>
    <row r="45" spans="1:16" ht="30" x14ac:dyDescent="0.2">
      <c r="A45" s="97" t="s">
        <v>45</v>
      </c>
      <c r="B45" s="9" t="s">
        <v>74</v>
      </c>
      <c r="C45" s="9" t="s">
        <v>12</v>
      </c>
      <c r="D45" s="149" t="s">
        <v>12</v>
      </c>
      <c r="E45" s="9" t="s">
        <v>71</v>
      </c>
      <c r="F45" s="9" t="s">
        <v>44</v>
      </c>
      <c r="G45" s="9" t="s">
        <v>44</v>
      </c>
      <c r="H45" s="9" t="s">
        <v>75</v>
      </c>
      <c r="I45" s="149" t="s">
        <v>12</v>
      </c>
    </row>
    <row r="46" spans="1:16" ht="22.5" x14ac:dyDescent="0.2">
      <c r="A46" s="129" t="s">
        <v>162</v>
      </c>
      <c r="B46" s="182" t="s">
        <v>46</v>
      </c>
      <c r="C46" s="172" t="s">
        <v>47</v>
      </c>
      <c r="D46" s="172" t="s">
        <v>48</v>
      </c>
      <c r="E46" s="107"/>
      <c r="F46" s="107"/>
      <c r="G46" s="107"/>
      <c r="H46" s="81"/>
    </row>
    <row r="47" spans="1:16" ht="15" x14ac:dyDescent="0.2">
      <c r="A47" s="183" t="s">
        <v>162</v>
      </c>
      <c r="B47" s="184" t="s">
        <v>12</v>
      </c>
      <c r="C47" s="174" t="s">
        <v>12</v>
      </c>
      <c r="D47" s="174" t="s">
        <v>12</v>
      </c>
      <c r="E47" s="107"/>
      <c r="F47" s="107"/>
      <c r="G47" s="107"/>
      <c r="H47" s="81"/>
    </row>
    <row r="48" spans="1:16" ht="22.5" x14ac:dyDescent="0.2">
      <c r="A48" s="103" t="s">
        <v>52</v>
      </c>
      <c r="B48" s="24" t="s">
        <v>2</v>
      </c>
      <c r="C48" s="24" t="s">
        <v>53</v>
      </c>
      <c r="D48" s="24" t="s">
        <v>54</v>
      </c>
      <c r="E48" s="24" t="s">
        <v>5</v>
      </c>
      <c r="F48" s="24" t="s">
        <v>55</v>
      </c>
      <c r="G48" s="186" t="s">
        <v>211</v>
      </c>
    </row>
    <row r="49" spans="1:7" ht="15" x14ac:dyDescent="0.2">
      <c r="A49" s="187" t="s">
        <v>52</v>
      </c>
      <c r="B49" s="176" t="s">
        <v>102</v>
      </c>
      <c r="C49" s="181" t="s">
        <v>42</v>
      </c>
      <c r="D49" s="180" t="s">
        <v>56</v>
      </c>
      <c r="E49" s="180" t="s">
        <v>12</v>
      </c>
      <c r="F49" s="189">
        <v>0.5</v>
      </c>
      <c r="G49" s="190" t="s">
        <v>84</v>
      </c>
    </row>
    <row r="50" spans="1:7" ht="15" x14ac:dyDescent="0.2">
      <c r="A50" s="187" t="s">
        <v>52</v>
      </c>
      <c r="B50" s="49" t="s">
        <v>57</v>
      </c>
      <c r="C50" s="180" t="s">
        <v>56</v>
      </c>
      <c r="D50" s="180" t="s">
        <v>58</v>
      </c>
      <c r="E50" s="180" t="s">
        <v>12</v>
      </c>
      <c r="F50" s="189">
        <v>1</v>
      </c>
      <c r="G50" s="190" t="s">
        <v>74</v>
      </c>
    </row>
    <row r="51" spans="1:7" ht="15" x14ac:dyDescent="0.2">
      <c r="A51" s="187" t="s">
        <v>52</v>
      </c>
      <c r="B51" s="176" t="s">
        <v>11</v>
      </c>
      <c r="C51" s="180" t="s">
        <v>56</v>
      </c>
      <c r="D51" s="180" t="s">
        <v>12</v>
      </c>
      <c r="E51" s="161" t="s">
        <v>12</v>
      </c>
      <c r="F51" s="189">
        <v>1</v>
      </c>
      <c r="G51" s="190" t="s">
        <v>84</v>
      </c>
    </row>
    <row r="52" spans="1:7" ht="15" x14ac:dyDescent="0.2">
      <c r="A52" s="187" t="s">
        <v>52</v>
      </c>
      <c r="B52" s="176" t="s">
        <v>14</v>
      </c>
      <c r="C52" s="180" t="s">
        <v>59</v>
      </c>
      <c r="D52" s="181" t="s">
        <v>132</v>
      </c>
      <c r="E52" s="180" t="s">
        <v>12</v>
      </c>
      <c r="F52" s="189">
        <v>0.5</v>
      </c>
      <c r="G52" s="190" t="s">
        <v>84</v>
      </c>
    </row>
    <row r="53" spans="1:7" ht="15" x14ac:dyDescent="0.2">
      <c r="A53" s="191" t="s">
        <v>52</v>
      </c>
      <c r="B53" s="198" t="s">
        <v>17</v>
      </c>
      <c r="C53" s="180" t="s">
        <v>59</v>
      </c>
      <c r="D53" s="180" t="s">
        <v>60</v>
      </c>
      <c r="E53" s="180" t="s">
        <v>12</v>
      </c>
      <c r="F53" s="189">
        <v>0.5</v>
      </c>
      <c r="G53" s="190" t="s">
        <v>84</v>
      </c>
    </row>
    <row r="54" spans="1:7" ht="22.5" x14ac:dyDescent="0.2">
      <c r="A54" s="104" t="s">
        <v>61</v>
      </c>
      <c r="B54" s="24" t="s">
        <v>2</v>
      </c>
      <c r="C54" s="24" t="s">
        <v>53</v>
      </c>
      <c r="D54" s="24" t="s">
        <v>54</v>
      </c>
      <c r="E54" s="10"/>
      <c r="F54" s="1"/>
    </row>
    <row r="55" spans="1:7" ht="15" x14ac:dyDescent="0.2">
      <c r="A55" s="193" t="s">
        <v>61</v>
      </c>
      <c r="B55" s="176" t="s">
        <v>102</v>
      </c>
      <c r="C55" s="181" t="s">
        <v>42</v>
      </c>
      <c r="D55" s="181" t="s">
        <v>12</v>
      </c>
      <c r="E55" s="17"/>
    </row>
    <row r="56" spans="1:7" ht="15" x14ac:dyDescent="0.2">
      <c r="A56" s="193" t="s">
        <v>61</v>
      </c>
      <c r="B56" s="20" t="s">
        <v>62</v>
      </c>
      <c r="C56" s="181" t="s">
        <v>42</v>
      </c>
      <c r="D56" s="181" t="s">
        <v>12</v>
      </c>
      <c r="E56" s="17"/>
    </row>
    <row r="57" spans="1:7" ht="15" x14ac:dyDescent="0.2">
      <c r="A57" s="193" t="s">
        <v>61</v>
      </c>
      <c r="B57" s="49" t="s">
        <v>57</v>
      </c>
      <c r="C57" s="174" t="s">
        <v>42</v>
      </c>
      <c r="D57" s="174" t="s">
        <v>12</v>
      </c>
      <c r="E57" s="38"/>
    </row>
    <row r="58" spans="1:7" ht="15" x14ac:dyDescent="0.2">
      <c r="A58" s="193" t="s">
        <v>61</v>
      </c>
      <c r="B58" s="176" t="s">
        <v>11</v>
      </c>
      <c r="C58" s="181" t="s">
        <v>42</v>
      </c>
      <c r="D58" s="181" t="s">
        <v>12</v>
      </c>
      <c r="E58" s="17"/>
    </row>
    <row r="59" spans="1:7" ht="15" x14ac:dyDescent="0.2">
      <c r="A59" s="193" t="s">
        <v>61</v>
      </c>
      <c r="B59" s="176" t="s">
        <v>13</v>
      </c>
      <c r="C59" s="181" t="s">
        <v>42</v>
      </c>
      <c r="D59" s="181" t="s">
        <v>12</v>
      </c>
      <c r="E59" s="17"/>
    </row>
    <row r="60" spans="1:7" ht="15" x14ac:dyDescent="0.2">
      <c r="A60" s="193" t="s">
        <v>61</v>
      </c>
      <c r="B60" s="176" t="s">
        <v>14</v>
      </c>
      <c r="C60" s="181" t="s">
        <v>42</v>
      </c>
      <c r="D60" s="181" t="s">
        <v>12</v>
      </c>
      <c r="E60" s="17"/>
    </row>
    <row r="61" spans="1:7" ht="15" x14ac:dyDescent="0.2">
      <c r="A61" s="193" t="s">
        <v>61</v>
      </c>
      <c r="B61" s="198" t="s">
        <v>15</v>
      </c>
      <c r="C61" s="174" t="s">
        <v>42</v>
      </c>
      <c r="D61" s="174" t="s">
        <v>12</v>
      </c>
      <c r="E61" s="38"/>
    </row>
    <row r="62" spans="1:7" ht="15" x14ac:dyDescent="0.2">
      <c r="A62" s="193" t="s">
        <v>61</v>
      </c>
      <c r="B62" s="198" t="s">
        <v>17</v>
      </c>
      <c r="C62" s="174" t="s">
        <v>42</v>
      </c>
      <c r="D62" s="174" t="s">
        <v>12</v>
      </c>
      <c r="E62" s="38"/>
    </row>
    <row r="63" spans="1:7" ht="15" x14ac:dyDescent="0.2">
      <c r="A63" s="193" t="s">
        <v>61</v>
      </c>
      <c r="B63" s="198" t="s">
        <v>18</v>
      </c>
      <c r="C63" s="174" t="s">
        <v>42</v>
      </c>
      <c r="D63" s="174" t="s">
        <v>12</v>
      </c>
      <c r="E63" s="38"/>
    </row>
    <row r="64" spans="1:7" ht="15" x14ac:dyDescent="0.2">
      <c r="A64" s="193"/>
      <c r="B64" s="176" t="s">
        <v>19</v>
      </c>
      <c r="C64" s="174" t="s">
        <v>42</v>
      </c>
      <c r="D64" s="174" t="s">
        <v>12</v>
      </c>
      <c r="E64" s="38"/>
    </row>
    <row r="65" spans="1:16" ht="15" x14ac:dyDescent="0.2">
      <c r="A65" s="194" t="s">
        <v>61</v>
      </c>
      <c r="B65" s="195" t="s">
        <v>16</v>
      </c>
      <c r="C65" s="181" t="s">
        <v>42</v>
      </c>
      <c r="D65" s="181" t="s">
        <v>12</v>
      </c>
      <c r="E65" s="17"/>
    </row>
    <row r="66" spans="1:16" x14ac:dyDescent="0.2">
      <c r="A66" s="99" t="s">
        <v>236</v>
      </c>
      <c r="B66" s="159" t="s">
        <v>237</v>
      </c>
      <c r="C66" s="159" t="s">
        <v>238</v>
      </c>
      <c r="D66" s="159" t="s">
        <v>239</v>
      </c>
      <c r="E66" s="159" t="s">
        <v>240</v>
      </c>
      <c r="F66" s="159" t="s">
        <v>241</v>
      </c>
      <c r="G66" s="159" t="s">
        <v>242</v>
      </c>
      <c r="H66" s="159" t="s">
        <v>65</v>
      </c>
      <c r="I66" s="159" t="s">
        <v>66</v>
      </c>
      <c r="J66" s="159" t="s">
        <v>209</v>
      </c>
      <c r="K66" s="159" t="s">
        <v>210</v>
      </c>
      <c r="L66" s="159" t="s">
        <v>45</v>
      </c>
      <c r="M66" s="159" t="s">
        <v>243</v>
      </c>
      <c r="N66" s="159" t="s">
        <v>244</v>
      </c>
      <c r="O66" s="159" t="s">
        <v>245</v>
      </c>
      <c r="P66" s="159" t="s">
        <v>233</v>
      </c>
    </row>
    <row r="67" spans="1:16" ht="15" x14ac:dyDescent="0.2">
      <c r="A67" s="97" t="s">
        <v>236</v>
      </c>
      <c r="B67" s="160" t="s">
        <v>12</v>
      </c>
      <c r="C67" s="160" t="s">
        <v>12</v>
      </c>
      <c r="D67" s="160" t="s">
        <v>12</v>
      </c>
      <c r="E67" s="160" t="s">
        <v>12</v>
      </c>
      <c r="F67" s="160" t="s">
        <v>12</v>
      </c>
      <c r="G67" s="160" t="s">
        <v>12</v>
      </c>
      <c r="H67" s="160" t="s">
        <v>12</v>
      </c>
      <c r="I67" s="160" t="s">
        <v>12</v>
      </c>
      <c r="J67" s="160" t="s">
        <v>12</v>
      </c>
      <c r="K67" s="160" t="s">
        <v>12</v>
      </c>
      <c r="L67" s="160" t="s">
        <v>12</v>
      </c>
      <c r="M67" s="160" t="s">
        <v>12</v>
      </c>
      <c r="N67" s="160" t="s">
        <v>12</v>
      </c>
      <c r="O67" s="160" t="s">
        <v>12</v>
      </c>
      <c r="P67" s="160" t="s">
        <v>12</v>
      </c>
    </row>
    <row r="68" spans="1:16" x14ac:dyDescent="0.2">
      <c r="A68" s="99" t="s">
        <v>63</v>
      </c>
      <c r="B68" s="24" t="s">
        <v>64</v>
      </c>
      <c r="C68" s="17"/>
    </row>
    <row r="69" spans="1:16" ht="15" x14ac:dyDescent="0.2">
      <c r="A69" s="97" t="s">
        <v>63</v>
      </c>
      <c r="B69" s="12" t="s">
        <v>33</v>
      </c>
      <c r="C69" s="7"/>
      <c r="D69" s="28"/>
      <c r="E69" s="28"/>
      <c r="F69" s="28"/>
    </row>
    <row r="70" spans="1:16" ht="25.5" x14ac:dyDescent="0.2">
      <c r="A70" s="99" t="s">
        <v>67</v>
      </c>
      <c r="B70" s="24" t="s">
        <v>65</v>
      </c>
      <c r="C70" s="24" t="s">
        <v>66</v>
      </c>
      <c r="D70" s="163"/>
      <c r="E70" s="29"/>
      <c r="F70" s="29"/>
    </row>
    <row r="71" spans="1:16" ht="25.5" x14ac:dyDescent="0.2">
      <c r="A71" s="97" t="s">
        <v>67</v>
      </c>
      <c r="B71" s="12" t="s">
        <v>12</v>
      </c>
      <c r="C71" s="164" t="s">
        <v>12</v>
      </c>
      <c r="D71" s="162"/>
      <c r="E71" s="28"/>
    </row>
    <row r="72" spans="1:16" x14ac:dyDescent="0.2">
      <c r="A72" s="99" t="s">
        <v>68</v>
      </c>
      <c r="B72" s="32" t="s">
        <v>69</v>
      </c>
      <c r="C72" s="10"/>
      <c r="D72" s="29"/>
      <c r="E72" s="29"/>
    </row>
    <row r="73" spans="1:16" ht="15" x14ac:dyDescent="0.2">
      <c r="A73" s="97" t="s">
        <v>68</v>
      </c>
      <c r="B73" s="33" t="s">
        <v>12</v>
      </c>
      <c r="C73" s="17"/>
    </row>
    <row r="74" spans="1:16" x14ac:dyDescent="0.2">
      <c r="A74" s="16"/>
      <c r="B74" s="3"/>
    </row>
    <row r="75" spans="1:16" ht="15" x14ac:dyDescent="0.2">
      <c r="A75" s="175" t="s">
        <v>34</v>
      </c>
      <c r="B75" s="19" t="s">
        <v>76</v>
      </c>
      <c r="C75" s="23"/>
      <c r="D75" s="21"/>
      <c r="E75" s="21"/>
      <c r="F75" s="21"/>
    </row>
    <row r="76" spans="1:16" ht="22.5" x14ac:dyDescent="0.2">
      <c r="A76" s="99" t="s">
        <v>36</v>
      </c>
      <c r="B76" s="24" t="s">
        <v>37</v>
      </c>
      <c r="C76" s="24" t="s">
        <v>38</v>
      </c>
      <c r="D76" s="24" t="s">
        <v>39</v>
      </c>
      <c r="E76" s="24" t="s">
        <v>40</v>
      </c>
      <c r="F76" s="24" t="s">
        <v>41</v>
      </c>
      <c r="G76" s="22"/>
    </row>
    <row r="77" spans="1:16" ht="30" x14ac:dyDescent="0.2">
      <c r="A77" s="96" t="s">
        <v>36</v>
      </c>
      <c r="B77" s="12" t="s">
        <v>77</v>
      </c>
      <c r="C77" s="12" t="s">
        <v>78</v>
      </c>
      <c r="D77" s="12" t="s">
        <v>79</v>
      </c>
      <c r="E77" s="12" t="s">
        <v>80</v>
      </c>
      <c r="F77" s="12" t="s">
        <v>12</v>
      </c>
      <c r="G77" s="23"/>
    </row>
    <row r="78" spans="1:16" ht="22.5" x14ac:dyDescent="0.2">
      <c r="A78" s="73" t="s">
        <v>45</v>
      </c>
      <c r="B78" s="32" t="s">
        <v>46</v>
      </c>
      <c r="C78" s="24" t="s">
        <v>47</v>
      </c>
      <c r="D78" s="147" t="s">
        <v>212</v>
      </c>
      <c r="E78" s="24" t="s">
        <v>48</v>
      </c>
      <c r="F78" s="24" t="s">
        <v>49</v>
      </c>
      <c r="G78" s="24" t="s">
        <v>50</v>
      </c>
      <c r="H78" s="24" t="s">
        <v>51</v>
      </c>
      <c r="I78" s="147" t="s">
        <v>246</v>
      </c>
    </row>
    <row r="79" spans="1:16" ht="30" x14ac:dyDescent="0.2">
      <c r="A79" s="74" t="s">
        <v>45</v>
      </c>
      <c r="B79" s="33" t="s">
        <v>74</v>
      </c>
      <c r="C79" s="12" t="s">
        <v>12</v>
      </c>
      <c r="D79" s="42" t="s">
        <v>12</v>
      </c>
      <c r="E79" s="12" t="s">
        <v>81</v>
      </c>
      <c r="F79" s="12" t="s">
        <v>82</v>
      </c>
      <c r="G79" s="12" t="s">
        <v>82</v>
      </c>
      <c r="H79" s="12" t="s">
        <v>83</v>
      </c>
      <c r="I79" s="42" t="s">
        <v>12</v>
      </c>
    </row>
    <row r="80" spans="1:16" ht="15" x14ac:dyDescent="0.2">
      <c r="A80" s="75" t="s">
        <v>45</v>
      </c>
      <c r="B80" s="33" t="s">
        <v>84</v>
      </c>
      <c r="C80" s="12">
        <v>1</v>
      </c>
      <c r="D80" s="42" t="s">
        <v>12</v>
      </c>
      <c r="E80" s="12" t="s">
        <v>85</v>
      </c>
      <c r="F80" s="42" t="s">
        <v>90</v>
      </c>
      <c r="G80" s="12" t="s">
        <v>12</v>
      </c>
      <c r="H80" s="12" t="s">
        <v>12</v>
      </c>
      <c r="I80" s="12" t="s">
        <v>12</v>
      </c>
    </row>
    <row r="81" spans="1:8" ht="22.5" x14ac:dyDescent="0.2">
      <c r="A81" s="129" t="s">
        <v>162</v>
      </c>
      <c r="B81" s="182" t="s">
        <v>46</v>
      </c>
      <c r="C81" s="172" t="s">
        <v>47</v>
      </c>
      <c r="D81" s="172" t="s">
        <v>48</v>
      </c>
      <c r="E81" s="107"/>
      <c r="F81" s="107"/>
      <c r="G81" s="107"/>
      <c r="H81" s="81"/>
    </row>
    <row r="82" spans="1:8" ht="15" x14ac:dyDescent="0.2">
      <c r="A82" s="183" t="s">
        <v>162</v>
      </c>
      <c r="B82" s="184" t="s">
        <v>12</v>
      </c>
      <c r="C82" s="174" t="s">
        <v>12</v>
      </c>
      <c r="D82" s="174" t="s">
        <v>12</v>
      </c>
      <c r="E82" s="107"/>
      <c r="F82" s="107"/>
      <c r="G82" s="107"/>
      <c r="H82" s="81"/>
    </row>
    <row r="83" spans="1:8" ht="22.5" x14ac:dyDescent="0.2">
      <c r="A83" s="103" t="s">
        <v>52</v>
      </c>
      <c r="B83" s="24" t="s">
        <v>2</v>
      </c>
      <c r="C83" s="24" t="s">
        <v>53</v>
      </c>
      <c r="D83" s="24" t="s">
        <v>54</v>
      </c>
      <c r="E83" s="24" t="s">
        <v>5</v>
      </c>
      <c r="F83" s="24" t="s">
        <v>55</v>
      </c>
      <c r="G83" s="186" t="s">
        <v>211</v>
      </c>
    </row>
    <row r="84" spans="1:8" ht="15" x14ac:dyDescent="0.2">
      <c r="A84" s="187" t="s">
        <v>52</v>
      </c>
      <c r="B84" s="176" t="s">
        <v>102</v>
      </c>
      <c r="C84" s="181" t="s">
        <v>42</v>
      </c>
      <c r="D84" s="180" t="s">
        <v>56</v>
      </c>
      <c r="E84" s="180" t="s">
        <v>12</v>
      </c>
      <c r="F84" s="189">
        <v>0.5</v>
      </c>
      <c r="G84" s="190" t="s">
        <v>84</v>
      </c>
    </row>
    <row r="85" spans="1:8" ht="15" x14ac:dyDescent="0.2">
      <c r="A85" s="187" t="s">
        <v>52</v>
      </c>
      <c r="B85" s="49" t="s">
        <v>57</v>
      </c>
      <c r="C85" s="180" t="s">
        <v>56</v>
      </c>
      <c r="D85" s="180" t="s">
        <v>12</v>
      </c>
      <c r="E85" s="180" t="s">
        <v>12</v>
      </c>
      <c r="F85" s="189">
        <v>1</v>
      </c>
      <c r="G85" s="190" t="s">
        <v>74</v>
      </c>
    </row>
    <row r="86" spans="1:8" ht="15" x14ac:dyDescent="0.2">
      <c r="A86" s="187" t="s">
        <v>52</v>
      </c>
      <c r="B86" s="176" t="s">
        <v>11</v>
      </c>
      <c r="C86" s="180" t="s">
        <v>56</v>
      </c>
      <c r="D86" s="180" t="s">
        <v>12</v>
      </c>
      <c r="E86" s="161" t="s">
        <v>12</v>
      </c>
      <c r="F86" s="189">
        <v>1</v>
      </c>
      <c r="G86" s="190" t="s">
        <v>84</v>
      </c>
    </row>
    <row r="87" spans="1:8" ht="15" x14ac:dyDescent="0.2">
      <c r="A87" s="187" t="s">
        <v>52</v>
      </c>
      <c r="B87" s="176" t="s">
        <v>14</v>
      </c>
      <c r="C87" s="180" t="s">
        <v>59</v>
      </c>
      <c r="D87" s="181" t="s">
        <v>132</v>
      </c>
      <c r="E87" s="180" t="s">
        <v>12</v>
      </c>
      <c r="F87" s="189">
        <v>0.5</v>
      </c>
      <c r="G87" s="190" t="s">
        <v>84</v>
      </c>
    </row>
    <row r="88" spans="1:8" ht="15" x14ac:dyDescent="0.2">
      <c r="A88" s="191" t="s">
        <v>52</v>
      </c>
      <c r="B88" s="198" t="s">
        <v>17</v>
      </c>
      <c r="C88" s="180" t="s">
        <v>59</v>
      </c>
      <c r="D88" s="180" t="s">
        <v>60</v>
      </c>
      <c r="E88" s="180" t="s">
        <v>12</v>
      </c>
      <c r="F88" s="189">
        <v>0.5</v>
      </c>
      <c r="G88" s="190" t="s">
        <v>84</v>
      </c>
    </row>
    <row r="89" spans="1:8" ht="22.5" x14ac:dyDescent="0.2">
      <c r="A89" s="104" t="s">
        <v>61</v>
      </c>
      <c r="B89" s="24" t="s">
        <v>2</v>
      </c>
      <c r="C89" s="24" t="s">
        <v>53</v>
      </c>
      <c r="D89" s="24" t="s">
        <v>54</v>
      </c>
      <c r="E89" s="10"/>
      <c r="F89" s="1"/>
    </row>
    <row r="90" spans="1:8" ht="15" x14ac:dyDescent="0.2">
      <c r="A90" s="193" t="s">
        <v>61</v>
      </c>
      <c r="B90" s="176" t="s">
        <v>102</v>
      </c>
      <c r="C90" s="181" t="s">
        <v>42</v>
      </c>
      <c r="D90" s="181" t="s">
        <v>12</v>
      </c>
      <c r="E90" s="17"/>
    </row>
    <row r="91" spans="1:8" ht="15" x14ac:dyDescent="0.2">
      <c r="A91" s="193" t="s">
        <v>61</v>
      </c>
      <c r="B91" s="20" t="s">
        <v>62</v>
      </c>
      <c r="C91" s="181" t="s">
        <v>42</v>
      </c>
      <c r="D91" s="181" t="s">
        <v>12</v>
      </c>
      <c r="E91" s="17"/>
    </row>
    <row r="92" spans="1:8" ht="15" x14ac:dyDescent="0.2">
      <c r="A92" s="193" t="s">
        <v>61</v>
      </c>
      <c r="B92" s="49" t="s">
        <v>57</v>
      </c>
      <c r="C92" s="174" t="s">
        <v>42</v>
      </c>
      <c r="D92" s="174" t="s">
        <v>12</v>
      </c>
      <c r="E92" s="38"/>
    </row>
    <row r="93" spans="1:8" ht="15" x14ac:dyDescent="0.2">
      <c r="A93" s="193" t="s">
        <v>61</v>
      </c>
      <c r="B93" s="176" t="s">
        <v>11</v>
      </c>
      <c r="C93" s="181" t="s">
        <v>42</v>
      </c>
      <c r="D93" s="181" t="s">
        <v>12</v>
      </c>
      <c r="E93" s="17"/>
    </row>
    <row r="94" spans="1:8" ht="15" x14ac:dyDescent="0.2">
      <c r="A94" s="193" t="s">
        <v>61</v>
      </c>
      <c r="B94" s="176" t="s">
        <v>13</v>
      </c>
      <c r="C94" s="181" t="s">
        <v>42</v>
      </c>
      <c r="D94" s="181" t="s">
        <v>12</v>
      </c>
      <c r="E94" s="17"/>
    </row>
    <row r="95" spans="1:8" ht="15" x14ac:dyDescent="0.2">
      <c r="A95" s="193" t="s">
        <v>61</v>
      </c>
      <c r="B95" s="176" t="s">
        <v>14</v>
      </c>
      <c r="C95" s="181" t="s">
        <v>42</v>
      </c>
      <c r="D95" s="181" t="s">
        <v>12</v>
      </c>
      <c r="E95" s="17"/>
    </row>
    <row r="96" spans="1:8" ht="15" x14ac:dyDescent="0.2">
      <c r="A96" s="193" t="s">
        <v>61</v>
      </c>
      <c r="B96" s="198" t="s">
        <v>15</v>
      </c>
      <c r="C96" s="174" t="s">
        <v>42</v>
      </c>
      <c r="D96" s="174" t="s">
        <v>12</v>
      </c>
      <c r="E96" s="38"/>
    </row>
    <row r="97" spans="1:16" ht="15" x14ac:dyDescent="0.2">
      <c r="A97" s="193" t="s">
        <v>61</v>
      </c>
      <c r="B97" s="198" t="s">
        <v>17</v>
      </c>
      <c r="C97" s="174" t="s">
        <v>42</v>
      </c>
      <c r="D97" s="174" t="s">
        <v>12</v>
      </c>
      <c r="E97" s="38"/>
    </row>
    <row r="98" spans="1:16" ht="15" x14ac:dyDescent="0.2">
      <c r="A98" s="193" t="s">
        <v>61</v>
      </c>
      <c r="B98" s="198" t="s">
        <v>18</v>
      </c>
      <c r="C98" s="174" t="s">
        <v>42</v>
      </c>
      <c r="D98" s="174" t="s">
        <v>12</v>
      </c>
      <c r="E98" s="38"/>
    </row>
    <row r="99" spans="1:16" ht="15" x14ac:dyDescent="0.2">
      <c r="A99" s="193"/>
      <c r="B99" s="176" t="s">
        <v>19</v>
      </c>
      <c r="C99" s="174" t="s">
        <v>42</v>
      </c>
      <c r="D99" s="174" t="s">
        <v>12</v>
      </c>
      <c r="E99" s="38"/>
    </row>
    <row r="100" spans="1:16" ht="15" x14ac:dyDescent="0.2">
      <c r="A100" s="194" t="s">
        <v>61</v>
      </c>
      <c r="B100" s="195" t="s">
        <v>16</v>
      </c>
      <c r="C100" s="181" t="s">
        <v>42</v>
      </c>
      <c r="D100" s="181" t="s">
        <v>12</v>
      </c>
      <c r="E100" s="17"/>
    </row>
    <row r="101" spans="1:16" x14ac:dyDescent="0.2">
      <c r="A101" s="99" t="s">
        <v>236</v>
      </c>
      <c r="B101" s="159" t="s">
        <v>237</v>
      </c>
      <c r="C101" s="159" t="s">
        <v>238</v>
      </c>
      <c r="D101" s="159" t="s">
        <v>239</v>
      </c>
      <c r="E101" s="159" t="s">
        <v>240</v>
      </c>
      <c r="F101" s="159" t="s">
        <v>241</v>
      </c>
      <c r="G101" s="159" t="s">
        <v>242</v>
      </c>
      <c r="H101" s="159" t="s">
        <v>65</v>
      </c>
      <c r="I101" s="159" t="s">
        <v>66</v>
      </c>
      <c r="J101" s="159" t="s">
        <v>209</v>
      </c>
      <c r="K101" s="159" t="s">
        <v>210</v>
      </c>
      <c r="L101" s="159" t="s">
        <v>45</v>
      </c>
      <c r="M101" s="159" t="s">
        <v>243</v>
      </c>
      <c r="N101" s="159" t="s">
        <v>244</v>
      </c>
      <c r="O101" s="159" t="s">
        <v>245</v>
      </c>
      <c r="P101" s="159" t="s">
        <v>233</v>
      </c>
    </row>
    <row r="102" spans="1:16" ht="15" x14ac:dyDescent="0.2">
      <c r="A102" s="97" t="s">
        <v>236</v>
      </c>
      <c r="B102" s="160" t="s">
        <v>12</v>
      </c>
      <c r="C102" s="160" t="s">
        <v>12</v>
      </c>
      <c r="D102" s="160" t="s">
        <v>12</v>
      </c>
      <c r="E102" s="160" t="s">
        <v>12</v>
      </c>
      <c r="F102" s="160" t="s">
        <v>12</v>
      </c>
      <c r="G102" s="160" t="s">
        <v>12</v>
      </c>
      <c r="H102" s="160" t="s">
        <v>12</v>
      </c>
      <c r="I102" s="160" t="s">
        <v>12</v>
      </c>
      <c r="J102" s="160" t="s">
        <v>12</v>
      </c>
      <c r="K102" s="160" t="s">
        <v>12</v>
      </c>
      <c r="L102" s="160" t="s">
        <v>12</v>
      </c>
      <c r="M102" s="160" t="s">
        <v>12</v>
      </c>
      <c r="N102" s="160" t="s">
        <v>12</v>
      </c>
      <c r="O102" s="160" t="s">
        <v>12</v>
      </c>
      <c r="P102" s="160" t="s">
        <v>12</v>
      </c>
    </row>
    <row r="103" spans="1:16" x14ac:dyDescent="0.2">
      <c r="A103" s="99" t="s">
        <v>63</v>
      </c>
      <c r="B103" s="24" t="s">
        <v>64</v>
      </c>
      <c r="C103" s="17"/>
    </row>
    <row r="104" spans="1:16" ht="15" x14ac:dyDescent="0.2">
      <c r="A104" s="97" t="s">
        <v>63</v>
      </c>
      <c r="B104" s="12" t="s">
        <v>33</v>
      </c>
      <c r="C104" s="7"/>
      <c r="D104" s="28"/>
      <c r="E104" s="28"/>
      <c r="F104" s="28"/>
    </row>
    <row r="105" spans="1:16" ht="25.5" x14ac:dyDescent="0.2">
      <c r="A105" s="99" t="s">
        <v>67</v>
      </c>
      <c r="B105" s="24" t="s">
        <v>65</v>
      </c>
      <c r="C105" s="24" t="s">
        <v>66</v>
      </c>
      <c r="D105" s="163"/>
      <c r="E105" s="29"/>
      <c r="F105" s="29"/>
    </row>
    <row r="106" spans="1:16" ht="25.5" x14ac:dyDescent="0.2">
      <c r="A106" s="97" t="s">
        <v>67</v>
      </c>
      <c r="B106" s="12" t="s">
        <v>12</v>
      </c>
      <c r="C106" s="164" t="s">
        <v>12</v>
      </c>
      <c r="D106" s="162"/>
      <c r="E106" s="28"/>
    </row>
    <row r="107" spans="1:16" x14ac:dyDescent="0.2">
      <c r="A107" s="99" t="s">
        <v>68</v>
      </c>
      <c r="B107" s="32" t="s">
        <v>69</v>
      </c>
      <c r="C107" s="10"/>
      <c r="D107" s="29"/>
      <c r="E107" s="29"/>
    </row>
    <row r="108" spans="1:16" ht="15" x14ac:dyDescent="0.2">
      <c r="A108" s="97" t="s">
        <v>68</v>
      </c>
      <c r="B108" s="33" t="s">
        <v>12</v>
      </c>
      <c r="C108" s="17"/>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6"/>
  <sheetViews>
    <sheetView workbookViewId="0"/>
  </sheetViews>
  <sheetFormatPr defaultColWidth="9.140625" defaultRowHeight="12.75" customHeight="1" x14ac:dyDescent="0.2"/>
  <sheetData>
    <row r="1" spans="1:256" ht="12.75" customHeight="1" x14ac:dyDescent="0.2">
      <c r="A1" s="27" t="s">
        <v>100</v>
      </c>
      <c r="B1" s="27" t="e">
        <f>AND('Antigen Series Overview'!#REF!,"AAAAAH7GvwE=")</f>
        <v>#REF!</v>
      </c>
      <c r="C1" s="27" t="e">
        <f>AND('Antigen Series Overview'!#REF!,"AAAAAH7GvwI=")</f>
        <v>#REF!</v>
      </c>
      <c r="D1" s="27" t="e">
        <f>AND('Antigen Series Overview'!#REF!,"AAAAAH7GvwM=")</f>
        <v>#REF!</v>
      </c>
      <c r="E1" s="27" t="e">
        <f>AND('Antigen Series Overview'!#REF!,"AAAAAH7GvwQ=")</f>
        <v>#REF!</v>
      </c>
      <c r="F1" s="27" t="e">
        <f>AND('Antigen Series Overview'!#REF!,"AAAAAH7GvwU=")</f>
        <v>#REF!</v>
      </c>
      <c r="G1" s="27" t="e">
        <f>AND('Antigen Series Overview'!#REF!,"AAAAAH7GvwY=")</f>
        <v>#REF!</v>
      </c>
      <c r="H1" s="27" t="e">
        <f>AND('Antigen Series Overview'!#REF!,"AAAAAH7Gvwc=")</f>
        <v>#REF!</v>
      </c>
      <c r="I1" s="27" t="e">
        <f>AND('Antigen Series Overview'!#REF!,"AAAAAH7Gvwg=")</f>
        <v>#REF!</v>
      </c>
      <c r="J1" s="27" t="e">
        <f>AND('Antigen Series Overview'!#REF!,"AAAAAH7Gvwk=")</f>
        <v>#REF!</v>
      </c>
      <c r="K1" s="27" t="e">
        <f>AND('Antigen Series Overview'!#REF!,"AAAAAH7Gvwo=")</f>
        <v>#REF!</v>
      </c>
      <c r="L1" s="27">
        <v>0</v>
      </c>
      <c r="M1" s="27" t="e">
        <f>AND('Antigen Series Overview'!#REF!,"AAAAAH7Gvww=")</f>
        <v>#REF!</v>
      </c>
      <c r="N1" s="27" t="e">
        <f>AND('Antigen Series Overview'!#REF!,"AAAAAH7Gvw0=")</f>
        <v>#REF!</v>
      </c>
      <c r="O1" s="27" t="e">
        <f>AND('Antigen Series Overview'!#REF!,"AAAAAH7Gvw4=")</f>
        <v>#REF!</v>
      </c>
      <c r="P1" s="27" t="e">
        <f>AND('Antigen Series Overview'!#REF!,"AAAAAH7Gvw8=")</f>
        <v>#REF!</v>
      </c>
      <c r="Q1" s="27" t="e">
        <f>AND('Antigen Series Overview'!#REF!,"AAAAAH7GvxA=")</f>
        <v>#REF!</v>
      </c>
      <c r="R1" s="27" t="e">
        <f>AND('Antigen Series Overview'!#REF!,"AAAAAH7GvxE=")</f>
        <v>#REF!</v>
      </c>
      <c r="S1" s="27" t="e">
        <f>AND('Antigen Series Overview'!#REF!,"AAAAAH7GvxI=")</f>
        <v>#REF!</v>
      </c>
      <c r="T1" s="27" t="e">
        <f>AND('Antigen Series Overview'!#REF!,"AAAAAH7GvxM=")</f>
        <v>#REF!</v>
      </c>
      <c r="U1" s="27" t="e">
        <f>AND('Antigen Series Overview'!#REF!,"AAAAAH7GvxQ=")</f>
        <v>#REF!</v>
      </c>
      <c r="V1" s="27" t="e">
        <f>AND('Antigen Series Overview'!#REF!,"AAAAAH7GvxU=")</f>
        <v>#REF!</v>
      </c>
      <c r="W1" s="27">
        <v>0</v>
      </c>
      <c r="X1" s="27" t="e">
        <f>AND('Antigen Series Overview'!#REF!,"AAAAAH7Gvxc=")</f>
        <v>#REF!</v>
      </c>
      <c r="Y1" s="27" t="e">
        <f>AND('Antigen Series Overview'!#REF!,"AAAAAH7Gvxg=")</f>
        <v>#REF!</v>
      </c>
      <c r="Z1" s="27" t="e">
        <f>AND('Antigen Series Overview'!#REF!,"AAAAAH7Gvxk=")</f>
        <v>#REF!</v>
      </c>
      <c r="AA1" s="27" t="e">
        <f>AND('Antigen Series Overview'!#REF!,"AAAAAH7Gvxo=")</f>
        <v>#REF!</v>
      </c>
      <c r="AB1" s="27" t="e">
        <f>AND('Antigen Series Overview'!#REF!,"AAAAAH7Gvxs=")</f>
        <v>#REF!</v>
      </c>
      <c r="AC1" s="27" t="e">
        <f>AND('Antigen Series Overview'!#REF!,"AAAAAH7Gvxw=")</f>
        <v>#REF!</v>
      </c>
      <c r="AD1" s="27" t="e">
        <f>AND('Antigen Series Overview'!#REF!,"AAAAAH7Gvx0=")</f>
        <v>#REF!</v>
      </c>
      <c r="AE1" s="27" t="e">
        <f>AND('Antigen Series Overview'!#REF!,"AAAAAH7Gvx4=")</f>
        <v>#REF!</v>
      </c>
      <c r="AF1" s="27" t="e">
        <f>AND('Antigen Series Overview'!#REF!,"AAAAAH7Gvx8=")</f>
        <v>#REF!</v>
      </c>
      <c r="AG1" s="27" t="e">
        <f>AND('Antigen Series Overview'!#REF!,"AAAAAH7GvyA=")</f>
        <v>#REF!</v>
      </c>
      <c r="AH1" s="27">
        <v>0</v>
      </c>
      <c r="AI1" s="27" t="e">
        <f>AND('Antigen Series Overview'!#REF!,"AAAAAH7GvyI=")</f>
        <v>#REF!</v>
      </c>
      <c r="AJ1" s="27" t="e">
        <f>AND('Antigen Series Overview'!#REF!,"AAAAAH7GvyM=")</f>
        <v>#REF!</v>
      </c>
      <c r="AK1" s="27" t="e">
        <f>AND('Antigen Series Overview'!#REF!,"AAAAAH7GvyQ=")</f>
        <v>#REF!</v>
      </c>
      <c r="AL1" s="27" t="e">
        <f>AND('Antigen Series Overview'!#REF!,"AAAAAH7GvyU=")</f>
        <v>#REF!</v>
      </c>
      <c r="AM1" s="27" t="e">
        <f>AND('Antigen Series Overview'!#REF!,"AAAAAH7GvyY=")</f>
        <v>#REF!</v>
      </c>
      <c r="AN1" s="27" t="e">
        <f>AND('Antigen Series Overview'!#REF!,"AAAAAH7Gvyc=")</f>
        <v>#REF!</v>
      </c>
      <c r="AO1" s="27" t="e">
        <f>AND('Antigen Series Overview'!#REF!,"AAAAAH7Gvyg=")</f>
        <v>#REF!</v>
      </c>
      <c r="AP1" s="27" t="e">
        <f>AND('Antigen Series Overview'!#REF!,"AAAAAH7Gvyk=")</f>
        <v>#REF!</v>
      </c>
      <c r="AQ1" s="27" t="e">
        <f>AND('Antigen Series Overview'!#REF!,"AAAAAH7Gvyo=")</f>
        <v>#REF!</v>
      </c>
      <c r="AR1" s="27" t="e">
        <f>AND('Antigen Series Overview'!#REF!,"AAAAAH7Gvys=")</f>
        <v>#REF!</v>
      </c>
      <c r="AS1" s="27">
        <v>0</v>
      </c>
      <c r="AT1" s="27" t="e">
        <f>AND('Antigen Series Overview'!#REF!,"AAAAAH7Gvy0=")</f>
        <v>#REF!</v>
      </c>
      <c r="AU1" s="27" t="e">
        <f>AND('Antigen Series Overview'!#REF!,"AAAAAH7Gvy4=")</f>
        <v>#REF!</v>
      </c>
      <c r="AV1" s="27" t="e">
        <f>AND('Antigen Series Overview'!#REF!,"AAAAAH7Gvy8=")</f>
        <v>#REF!</v>
      </c>
      <c r="AW1" s="27" t="e">
        <f>AND('Antigen Series Overview'!#REF!,"AAAAAH7GvzA=")</f>
        <v>#REF!</v>
      </c>
      <c r="AX1" s="27" t="e">
        <f>AND('Antigen Series Overview'!#REF!,"AAAAAH7GvzE=")</f>
        <v>#REF!</v>
      </c>
      <c r="AY1" s="27" t="e">
        <f>AND('Antigen Series Overview'!#REF!,"AAAAAH7GvzI=")</f>
        <v>#REF!</v>
      </c>
      <c r="AZ1" s="27" t="e">
        <f>AND('Antigen Series Overview'!#REF!,"AAAAAH7GvzM=")</f>
        <v>#REF!</v>
      </c>
      <c r="BA1" s="27" t="e">
        <f>AND('Antigen Series Overview'!#REF!,"AAAAAH7GvzQ=")</f>
        <v>#REF!</v>
      </c>
      <c r="BB1" s="27" t="e">
        <f>AND('Antigen Series Overview'!#REF!,"AAAAAH7GvzU=")</f>
        <v>#REF!</v>
      </c>
      <c r="BC1" s="27" t="e">
        <f>AND('Antigen Series Overview'!#REF!,"AAAAAH7GvzY=")</f>
        <v>#REF!</v>
      </c>
      <c r="BD1" s="27">
        <v>0</v>
      </c>
      <c r="BE1" s="27" t="e">
        <f>AND('Antigen Series Overview'!#REF!,"AAAAAH7Gvzg=")</f>
        <v>#REF!</v>
      </c>
      <c r="BF1" s="27" t="e">
        <f>AND('Antigen Series Overview'!#REF!,"AAAAAH7Gvzk=")</f>
        <v>#REF!</v>
      </c>
      <c r="BG1" s="27" t="e">
        <f>AND('Antigen Series Overview'!#REF!,"AAAAAH7Gvzo=")</f>
        <v>#REF!</v>
      </c>
      <c r="BH1" s="27" t="e">
        <f>AND('Antigen Series Overview'!#REF!,"AAAAAH7Gvzs=")</f>
        <v>#REF!</v>
      </c>
      <c r="BI1" s="27" t="e">
        <f>AND('Antigen Series Overview'!#REF!,"AAAAAH7Gvzw=")</f>
        <v>#REF!</v>
      </c>
      <c r="BJ1" s="27" t="e">
        <f>AND('Antigen Series Overview'!#REF!,"AAAAAH7Gvz0=")</f>
        <v>#REF!</v>
      </c>
      <c r="BK1" s="27" t="e">
        <f>AND('Antigen Series Overview'!#REF!,"AAAAAH7Gvz4=")</f>
        <v>#REF!</v>
      </c>
      <c r="BL1" s="27" t="e">
        <f>AND('Antigen Series Overview'!#REF!,"AAAAAH7Gvz8=")</f>
        <v>#REF!</v>
      </c>
      <c r="BM1" s="27" t="e">
        <f>AND('Antigen Series Overview'!#REF!,"AAAAAH7Gv0A=")</f>
        <v>#REF!</v>
      </c>
      <c r="BN1" s="27" t="e">
        <f>AND('Antigen Series Overview'!#REF!,"AAAAAH7Gv0E=")</f>
        <v>#REF!</v>
      </c>
      <c r="BO1" s="27">
        <v>0</v>
      </c>
      <c r="BP1" s="27" t="e">
        <f>AND('Antigen Series Overview'!#REF!,"AAAAAH7Gv0M=")</f>
        <v>#REF!</v>
      </c>
      <c r="BQ1" s="27" t="e">
        <f>AND('Antigen Series Overview'!#REF!,"AAAAAH7Gv0Q=")</f>
        <v>#REF!</v>
      </c>
      <c r="BR1" s="27" t="e">
        <f>AND('Antigen Series Overview'!#REF!,"AAAAAH7Gv0U=")</f>
        <v>#REF!</v>
      </c>
      <c r="BS1" s="27" t="e">
        <f>AND('Antigen Series Overview'!#REF!,"AAAAAH7Gv0Y=")</f>
        <v>#REF!</v>
      </c>
      <c r="BT1" s="27" t="e">
        <f>AND('Antigen Series Overview'!#REF!,"AAAAAH7Gv0c=")</f>
        <v>#REF!</v>
      </c>
      <c r="BU1" s="27" t="e">
        <f>AND('Antigen Series Overview'!#REF!,"AAAAAH7Gv0g=")</f>
        <v>#REF!</v>
      </c>
      <c r="BV1" s="27" t="e">
        <f>AND('Antigen Series Overview'!#REF!,"AAAAAH7Gv0k=")</f>
        <v>#REF!</v>
      </c>
      <c r="BW1" s="27" t="e">
        <f>AND('Antigen Series Overview'!#REF!,"AAAAAH7Gv0o=")</f>
        <v>#REF!</v>
      </c>
      <c r="BX1" s="27" t="e">
        <f>AND('Antigen Series Overview'!#REF!,"AAAAAH7Gv0s=")</f>
        <v>#REF!</v>
      </c>
      <c r="BY1" s="27" t="e">
        <f>AND('Antigen Series Overview'!#REF!,"AAAAAH7Gv0w=")</f>
        <v>#REF!</v>
      </c>
      <c r="BZ1" s="27">
        <v>0</v>
      </c>
      <c r="CA1" s="27" t="e">
        <f>AND('Antigen Series Overview'!#REF!,"AAAAAH7Gv04=")</f>
        <v>#REF!</v>
      </c>
      <c r="CB1" s="27" t="e">
        <f>AND('Antigen Series Overview'!#REF!,"AAAAAH7Gv08=")</f>
        <v>#REF!</v>
      </c>
      <c r="CC1" s="27" t="e">
        <f>AND('Antigen Series Overview'!#REF!,"AAAAAH7Gv1A=")</f>
        <v>#REF!</v>
      </c>
      <c r="CD1" s="27" t="e">
        <f>AND('Antigen Series Overview'!#REF!,"AAAAAH7Gv1E=")</f>
        <v>#REF!</v>
      </c>
      <c r="CE1" s="27" t="e">
        <f>AND('Antigen Series Overview'!#REF!,"AAAAAH7Gv1I=")</f>
        <v>#REF!</v>
      </c>
      <c r="CF1" s="27" t="e">
        <f>AND('Antigen Series Overview'!#REF!,"AAAAAH7Gv1M=")</f>
        <v>#REF!</v>
      </c>
      <c r="CG1" s="27" t="e">
        <f>AND('Antigen Series Overview'!#REF!,"AAAAAH7Gv1Q=")</f>
        <v>#REF!</v>
      </c>
      <c r="CH1" s="27" t="e">
        <f>AND('Antigen Series Overview'!#REF!,"AAAAAH7Gv1U=")</f>
        <v>#REF!</v>
      </c>
      <c r="CI1" s="27" t="e">
        <f>AND('Antigen Series Overview'!#REF!,"AAAAAH7Gv1Y=")</f>
        <v>#REF!</v>
      </c>
      <c r="CJ1" s="27" t="e">
        <f>AND('Antigen Series Overview'!#REF!,"AAAAAH7Gv1c=")</f>
        <v>#REF!</v>
      </c>
      <c r="CK1" s="27">
        <v>0</v>
      </c>
      <c r="CL1" s="27" t="e">
        <f>AND('Antigen Series Overview'!#REF!,"AAAAAH7Gv1k=")</f>
        <v>#REF!</v>
      </c>
      <c r="CM1" s="27" t="e">
        <f>AND('Antigen Series Overview'!#REF!,"AAAAAH7Gv1o=")</f>
        <v>#REF!</v>
      </c>
      <c r="CN1" s="27" t="e">
        <f>AND('Antigen Series Overview'!#REF!,"AAAAAH7Gv1s=")</f>
        <v>#REF!</v>
      </c>
      <c r="CO1" s="27" t="e">
        <f>AND('Antigen Series Overview'!#REF!,"AAAAAH7Gv1w=")</f>
        <v>#REF!</v>
      </c>
      <c r="CP1" s="27" t="e">
        <f>AND('Antigen Series Overview'!#REF!,"AAAAAH7Gv10=")</f>
        <v>#REF!</v>
      </c>
      <c r="CQ1" s="27" t="e">
        <f>AND('Antigen Series Overview'!#REF!,"AAAAAH7Gv14=")</f>
        <v>#REF!</v>
      </c>
      <c r="CR1" s="27" t="e">
        <f>AND('Antigen Series Overview'!#REF!,"AAAAAH7Gv18=")</f>
        <v>#REF!</v>
      </c>
      <c r="CS1" s="27" t="e">
        <f>AND('Antigen Series Overview'!#REF!,"AAAAAH7Gv2A=")</f>
        <v>#REF!</v>
      </c>
      <c r="CT1" s="27" t="e">
        <f>AND('Antigen Series Overview'!#REF!,"AAAAAH7Gv2E=")</f>
        <v>#REF!</v>
      </c>
      <c r="CU1" s="27" t="e">
        <f>AND('Antigen Series Overview'!#REF!,"AAAAAH7Gv2I=")</f>
        <v>#REF!</v>
      </c>
      <c r="CV1" s="27">
        <v>0</v>
      </c>
      <c r="CW1" s="27" t="e">
        <f>AND('Antigen Series Overview'!A19,"AAAAAH7Gv2Q=")</f>
        <v>#VALUE!</v>
      </c>
      <c r="CX1" s="27" t="e">
        <f>AND('Antigen Series Overview'!B19,"AAAAAH7Gv2U=")</f>
        <v>#VALUE!</v>
      </c>
      <c r="CY1" s="27" t="e">
        <f>AND('Antigen Series Overview'!C19,"AAAAAH7Gv2Y=")</f>
        <v>#VALUE!</v>
      </c>
      <c r="CZ1" s="27" t="e">
        <f>AND('Antigen Series Overview'!D19,"AAAAAH7Gv2c=")</f>
        <v>#VALUE!</v>
      </c>
      <c r="DA1" s="27" t="e">
        <f>AND('Antigen Series Overview'!E19,"AAAAAH7Gv2g=")</f>
        <v>#VALUE!</v>
      </c>
      <c r="DB1" s="27" t="e">
        <f>AND('Antigen Series Overview'!F19,"AAAAAH7Gv2k=")</f>
        <v>#VALUE!</v>
      </c>
      <c r="DC1" s="27" t="e">
        <f>AND('Antigen Series Overview'!G19,"AAAAAH7Gv2o=")</f>
        <v>#VALUE!</v>
      </c>
      <c r="DD1" s="27" t="e">
        <f>AND('Antigen Series Overview'!H19,"AAAAAH7Gv2s=")</f>
        <v>#VALUE!</v>
      </c>
      <c r="DE1" s="27" t="e">
        <f>AND('Antigen Series Overview'!I19,"AAAAAH7Gv2w=")</f>
        <v>#VALUE!</v>
      </c>
      <c r="DF1" s="27" t="e">
        <f>AND('Antigen Series Overview'!J19,"AAAAAH7Gv20=")</f>
        <v>#VALUE!</v>
      </c>
      <c r="DG1" s="27">
        <v>0</v>
      </c>
      <c r="DH1" s="27" t="e">
        <f>AND('Antigen Series Overview'!A20,"AAAAAH7Gv28=")</f>
        <v>#VALUE!</v>
      </c>
      <c r="DI1" s="27" t="e">
        <f>AND('Antigen Series Overview'!B20,"AAAAAH7Gv3A=")</f>
        <v>#VALUE!</v>
      </c>
      <c r="DJ1" s="27" t="e">
        <f>AND('Antigen Series Overview'!C20,"AAAAAH7Gv3E=")</f>
        <v>#VALUE!</v>
      </c>
      <c r="DK1" s="27" t="e">
        <f>AND('Antigen Series Overview'!D20,"AAAAAH7Gv3I=")</f>
        <v>#VALUE!</v>
      </c>
      <c r="DL1" s="27" t="e">
        <f>AND('Antigen Series Overview'!E20,"AAAAAH7Gv3M=")</f>
        <v>#VALUE!</v>
      </c>
      <c r="DM1" s="27" t="e">
        <f>AND('Antigen Series Overview'!F20,"AAAAAH7Gv3Q=")</f>
        <v>#VALUE!</v>
      </c>
      <c r="DN1" s="27" t="e">
        <f>AND('Antigen Series Overview'!G20,"AAAAAH7Gv3U=")</f>
        <v>#VALUE!</v>
      </c>
      <c r="DO1" s="27" t="e">
        <f>AND('Antigen Series Overview'!H20,"AAAAAH7Gv3Y=")</f>
        <v>#VALUE!</v>
      </c>
      <c r="DP1" s="27" t="e">
        <f>AND('Antigen Series Overview'!I20,"AAAAAH7Gv3c=")</f>
        <v>#VALUE!</v>
      </c>
      <c r="DQ1" s="27" t="e">
        <f>AND('Antigen Series Overview'!J20,"AAAAAH7Gv3g=")</f>
        <v>#VALUE!</v>
      </c>
      <c r="DR1" s="27">
        <v>0</v>
      </c>
      <c r="DS1" s="27" t="e">
        <f>AND('Antigen Series Overview'!A21,"AAAAAH7Gv3o=")</f>
        <v>#VALUE!</v>
      </c>
      <c r="DT1" s="27" t="e">
        <f>AND('Antigen Series Overview'!B21,"AAAAAH7Gv3s=")</f>
        <v>#VALUE!</v>
      </c>
      <c r="DU1" s="27" t="e">
        <f>AND('Antigen Series Overview'!C21,"AAAAAH7Gv3w=")</f>
        <v>#VALUE!</v>
      </c>
      <c r="DV1" s="27" t="e">
        <f>AND('Antigen Series Overview'!D21,"AAAAAH7Gv30=")</f>
        <v>#VALUE!</v>
      </c>
      <c r="DW1" s="27" t="e">
        <f>AND('Antigen Series Overview'!E21,"AAAAAH7Gv34=")</f>
        <v>#VALUE!</v>
      </c>
      <c r="DX1" s="27" t="e">
        <f>AND('Antigen Series Overview'!F21,"AAAAAH7Gv38=")</f>
        <v>#VALUE!</v>
      </c>
      <c r="DY1" s="27" t="e">
        <f>AND('Antigen Series Overview'!G21,"AAAAAH7Gv4A=")</f>
        <v>#VALUE!</v>
      </c>
      <c r="DZ1" s="27" t="e">
        <f>AND('Antigen Series Overview'!H21,"AAAAAH7Gv4E=")</f>
        <v>#VALUE!</v>
      </c>
      <c r="EA1" s="27" t="e">
        <f>AND('Antigen Series Overview'!I21,"AAAAAH7Gv4I=")</f>
        <v>#VALUE!</v>
      </c>
      <c r="EB1" s="27" t="e">
        <f>AND('Antigen Series Overview'!J21,"AAAAAH7Gv4M=")</f>
        <v>#VALUE!</v>
      </c>
      <c r="EC1" s="27">
        <v>0</v>
      </c>
      <c r="ED1" s="27" t="e">
        <f>AND('Antigen Series Overview'!A22,"AAAAAH7Gv4U=")</f>
        <v>#VALUE!</v>
      </c>
      <c r="EE1" s="27" t="e">
        <f>AND('Antigen Series Overview'!B22,"AAAAAH7Gv4Y=")</f>
        <v>#VALUE!</v>
      </c>
      <c r="EF1" s="27" t="e">
        <f>AND('Antigen Series Overview'!C22,"AAAAAH7Gv4c=")</f>
        <v>#VALUE!</v>
      </c>
      <c r="EG1" s="27" t="e">
        <f>AND('Antigen Series Overview'!D22,"AAAAAH7Gv4g=")</f>
        <v>#VALUE!</v>
      </c>
      <c r="EH1" s="27" t="e">
        <f>AND('Antigen Series Overview'!E22,"AAAAAH7Gv4k=")</f>
        <v>#VALUE!</v>
      </c>
      <c r="EI1" s="27" t="e">
        <f>AND('Antigen Series Overview'!F22,"AAAAAH7Gv4o=")</f>
        <v>#VALUE!</v>
      </c>
      <c r="EJ1" s="27" t="e">
        <f>AND('Antigen Series Overview'!G22,"AAAAAH7Gv4s=")</f>
        <v>#VALUE!</v>
      </c>
      <c r="EK1" s="27" t="e">
        <f>AND('Antigen Series Overview'!H22,"AAAAAH7Gv4w=")</f>
        <v>#VALUE!</v>
      </c>
      <c r="EL1" s="27" t="e">
        <f>AND('Antigen Series Overview'!I22,"AAAAAH7Gv40=")</f>
        <v>#VALUE!</v>
      </c>
      <c r="EM1" s="27" t="e">
        <f>AND('Antigen Series Overview'!J22,"AAAAAH7Gv44=")</f>
        <v>#VALUE!</v>
      </c>
      <c r="EN1" s="27">
        <v>0</v>
      </c>
      <c r="EO1" s="27" t="e">
        <f>AND('Antigen Series Overview'!A24,"AAAAAH7Gv5A=")</f>
        <v>#VALUE!</v>
      </c>
      <c r="EP1" s="27" t="e">
        <f>AND('Antigen Series Overview'!B24,"AAAAAH7Gv5E=")</f>
        <v>#VALUE!</v>
      </c>
      <c r="EQ1" s="27" t="e">
        <f>AND('Antigen Series Overview'!C24,"AAAAAH7Gv5I=")</f>
        <v>#VALUE!</v>
      </c>
      <c r="ER1" s="27" t="e">
        <f>AND('Antigen Series Overview'!D24,"AAAAAH7Gv5M=")</f>
        <v>#VALUE!</v>
      </c>
      <c r="ES1" s="27" t="e">
        <f>AND('Antigen Series Overview'!E24,"AAAAAH7Gv5Q=")</f>
        <v>#VALUE!</v>
      </c>
      <c r="ET1" s="27" t="e">
        <f>AND('Antigen Series Overview'!F24,"AAAAAH7Gv5U=")</f>
        <v>#VALUE!</v>
      </c>
      <c r="EU1" s="27" t="e">
        <f>AND('Antigen Series Overview'!G24,"AAAAAH7Gv5Y=")</f>
        <v>#VALUE!</v>
      </c>
      <c r="EV1" s="27" t="e">
        <f>AND('Antigen Series Overview'!H24,"AAAAAH7Gv5c=")</f>
        <v>#VALUE!</v>
      </c>
      <c r="EW1" s="27" t="e">
        <f>AND('Antigen Series Overview'!I24,"AAAAAH7Gv5g=")</f>
        <v>#VALUE!</v>
      </c>
      <c r="EX1" s="27" t="e">
        <f>AND('Antigen Series Overview'!J24,"AAAAAH7Gv5k=")</f>
        <v>#VALUE!</v>
      </c>
      <c r="EY1" s="27">
        <v>0</v>
      </c>
      <c r="EZ1" s="27" t="e">
        <f>AND('Antigen Series Overview'!A25,"AAAAAH7Gv5s=")</f>
        <v>#VALUE!</v>
      </c>
      <c r="FA1" s="27" t="e">
        <f>AND('Antigen Series Overview'!B25,"AAAAAH7Gv5w=")</f>
        <v>#VALUE!</v>
      </c>
      <c r="FB1" s="27" t="e">
        <f>AND('Antigen Series Overview'!C25,"AAAAAH7Gv50=")</f>
        <v>#VALUE!</v>
      </c>
      <c r="FC1" s="27" t="e">
        <f>AND('Antigen Series Overview'!D25,"AAAAAH7Gv54=")</f>
        <v>#VALUE!</v>
      </c>
      <c r="FD1" s="27" t="e">
        <f>AND('Antigen Series Overview'!E25,"AAAAAH7Gv58=")</f>
        <v>#VALUE!</v>
      </c>
      <c r="FE1" s="27" t="e">
        <f>AND('Antigen Series Overview'!F25,"AAAAAH7Gv6A=")</f>
        <v>#VALUE!</v>
      </c>
      <c r="FF1" s="27" t="e">
        <f>AND('Antigen Series Overview'!G25,"AAAAAH7Gv6E=")</f>
        <v>#VALUE!</v>
      </c>
      <c r="FG1" s="27" t="e">
        <f>AND('Antigen Series Overview'!H25,"AAAAAH7Gv6I=")</f>
        <v>#VALUE!</v>
      </c>
      <c r="FH1" s="27" t="e">
        <f>AND('Antigen Series Overview'!I25,"AAAAAH7Gv6M=")</f>
        <v>#VALUE!</v>
      </c>
      <c r="FI1" s="27" t="e">
        <f>AND('Antigen Series Overview'!J25,"AAAAAH7Gv6Q=")</f>
        <v>#VALUE!</v>
      </c>
      <c r="FJ1" s="27">
        <v>0</v>
      </c>
      <c r="FK1" s="27" t="e">
        <f>AND('Antigen Series Overview'!A27,"AAAAAH7Gv6Y=")</f>
        <v>#VALUE!</v>
      </c>
      <c r="FL1" s="27" t="e">
        <f>AND('Antigen Series Overview'!B27,"AAAAAH7Gv6c=")</f>
        <v>#VALUE!</v>
      </c>
      <c r="FM1" s="27" t="e">
        <f>AND('Antigen Series Overview'!C27,"AAAAAH7Gv6g=")</f>
        <v>#VALUE!</v>
      </c>
      <c r="FN1" s="27" t="e">
        <f>AND('Antigen Series Overview'!D27,"AAAAAH7Gv6k=")</f>
        <v>#VALUE!</v>
      </c>
      <c r="FO1" s="27" t="e">
        <f>AND('Antigen Series Overview'!E27,"AAAAAH7Gv6o=")</f>
        <v>#VALUE!</v>
      </c>
      <c r="FP1" s="27" t="e">
        <f>AND('Antigen Series Overview'!F27,"AAAAAH7Gv6s=")</f>
        <v>#VALUE!</v>
      </c>
      <c r="FQ1" s="27" t="e">
        <f>AND('Antigen Series Overview'!G27,"AAAAAH7Gv6w=")</f>
        <v>#VALUE!</v>
      </c>
      <c r="FR1" s="27" t="e">
        <f>AND('Antigen Series Overview'!H27,"AAAAAH7Gv60=")</f>
        <v>#VALUE!</v>
      </c>
      <c r="FS1" s="27" t="e">
        <f>AND('Antigen Series Overview'!I27,"AAAAAH7Gv64=")</f>
        <v>#VALUE!</v>
      </c>
      <c r="FT1" s="27" t="e">
        <f>AND('Antigen Series Overview'!J27,"AAAAAH7Gv68=")</f>
        <v>#VALUE!</v>
      </c>
      <c r="FU1" s="27">
        <v>0</v>
      </c>
      <c r="FV1" s="27" t="e">
        <f>AND('Antigen Series Overview'!A28,"AAAAAH7Gv7E=")</f>
        <v>#VALUE!</v>
      </c>
      <c r="FW1" s="27" t="e">
        <f>AND('Antigen Series Overview'!B28,"AAAAAH7Gv7I=")</f>
        <v>#VALUE!</v>
      </c>
      <c r="FX1" s="27" t="e">
        <f>AND('Antigen Series Overview'!C28,"AAAAAH7Gv7M=")</f>
        <v>#VALUE!</v>
      </c>
      <c r="FY1" s="27" t="e">
        <f>AND('Antigen Series Overview'!D28,"AAAAAH7Gv7Q=")</f>
        <v>#VALUE!</v>
      </c>
      <c r="FZ1" s="27" t="e">
        <f>AND('Antigen Series Overview'!E28,"AAAAAH7Gv7U=")</f>
        <v>#VALUE!</v>
      </c>
      <c r="GA1" s="27" t="e">
        <f>AND('Antigen Series Overview'!F28,"AAAAAH7Gv7Y=")</f>
        <v>#VALUE!</v>
      </c>
      <c r="GB1" s="27" t="e">
        <f>AND('Antigen Series Overview'!G28,"AAAAAH7Gv7c=")</f>
        <v>#VALUE!</v>
      </c>
      <c r="GC1" s="27" t="e">
        <f>AND('Antigen Series Overview'!H28,"AAAAAH7Gv7g=")</f>
        <v>#VALUE!</v>
      </c>
      <c r="GD1" s="27" t="e">
        <f>AND('Antigen Series Overview'!I28,"AAAAAH7Gv7k=")</f>
        <v>#VALUE!</v>
      </c>
      <c r="GE1" s="27" t="e">
        <f>AND('Antigen Series Overview'!J28,"AAAAAH7Gv7o=")</f>
        <v>#VALUE!</v>
      </c>
      <c r="GF1" s="27">
        <v>0</v>
      </c>
      <c r="GG1" s="27" t="e">
        <f>AND('Antigen Series Overview'!A29,"AAAAAH7Gv7w=")</f>
        <v>#VALUE!</v>
      </c>
      <c r="GH1" s="27" t="e">
        <f>AND('Antigen Series Overview'!B29,"AAAAAH7Gv70=")</f>
        <v>#VALUE!</v>
      </c>
      <c r="GI1" s="27" t="e">
        <f>AND('Antigen Series Overview'!C29,"AAAAAH7Gv74=")</f>
        <v>#VALUE!</v>
      </c>
      <c r="GJ1" s="27" t="e">
        <f>AND('Antigen Series Overview'!D29,"AAAAAH7Gv78=")</f>
        <v>#VALUE!</v>
      </c>
      <c r="GK1" s="27" t="e">
        <f>AND('Antigen Series Overview'!E29,"AAAAAH7Gv8A=")</f>
        <v>#VALUE!</v>
      </c>
      <c r="GL1" s="27" t="e">
        <f>AND('Antigen Series Overview'!F29,"AAAAAH7Gv8E=")</f>
        <v>#VALUE!</v>
      </c>
      <c r="GM1" s="27" t="e">
        <f>AND('Antigen Series Overview'!G29,"AAAAAH7Gv8I=")</f>
        <v>#VALUE!</v>
      </c>
      <c r="GN1" s="27" t="e">
        <f>AND('Antigen Series Overview'!H29,"AAAAAH7Gv8M=")</f>
        <v>#VALUE!</v>
      </c>
      <c r="GO1" s="27" t="e">
        <f>AND('Antigen Series Overview'!I29,"AAAAAH7Gv8Q=")</f>
        <v>#VALUE!</v>
      </c>
      <c r="GP1" s="27" t="e">
        <f>AND('Antigen Series Overview'!J29,"AAAAAH7Gv8U=")</f>
        <v>#VALUE!</v>
      </c>
      <c r="GQ1" s="27">
        <v>0</v>
      </c>
      <c r="GR1" s="27" t="e">
        <f>AND('Antigen Series Overview'!A30,"AAAAAH7Gv8c=")</f>
        <v>#VALUE!</v>
      </c>
      <c r="GS1" s="27" t="e">
        <f>AND('Antigen Series Overview'!B30,"AAAAAH7Gv8g=")</f>
        <v>#VALUE!</v>
      </c>
      <c r="GT1" s="27" t="e">
        <f>AND('Antigen Series Overview'!C30,"AAAAAH7Gv8k=")</f>
        <v>#VALUE!</v>
      </c>
      <c r="GU1" s="27" t="e">
        <f>AND('Antigen Series Overview'!D30,"AAAAAH7Gv8o=")</f>
        <v>#VALUE!</v>
      </c>
      <c r="GV1" s="27" t="e">
        <f>AND('Antigen Series Overview'!E30,"AAAAAH7Gv8s=")</f>
        <v>#VALUE!</v>
      </c>
      <c r="GW1" s="27" t="e">
        <f>AND('Antigen Series Overview'!F30,"AAAAAH7Gv8w=")</f>
        <v>#VALUE!</v>
      </c>
      <c r="GX1" s="27" t="e">
        <f>AND('Antigen Series Overview'!G30,"AAAAAH7Gv80=")</f>
        <v>#VALUE!</v>
      </c>
      <c r="GY1" s="27" t="e">
        <f>AND('Antigen Series Overview'!H30,"AAAAAH7Gv84=")</f>
        <v>#VALUE!</v>
      </c>
      <c r="GZ1" s="27" t="e">
        <f>AND('Antigen Series Overview'!I30,"AAAAAH7Gv88=")</f>
        <v>#VALUE!</v>
      </c>
      <c r="HA1" s="27" t="e">
        <f>AND('Antigen Series Overview'!J30,"AAAAAH7Gv9A=")</f>
        <v>#VALUE!</v>
      </c>
      <c r="HB1" s="27">
        <v>0</v>
      </c>
      <c r="HC1" s="27" t="e">
        <f>AND('Antigen Series Overview'!A31,"AAAAAH7Gv9I=")</f>
        <v>#VALUE!</v>
      </c>
      <c r="HD1" s="27" t="e">
        <f>AND('Antigen Series Overview'!B31,"AAAAAH7Gv9M=")</f>
        <v>#VALUE!</v>
      </c>
      <c r="HE1" s="27" t="e">
        <f>AND('Antigen Series Overview'!C31,"AAAAAH7Gv9Q=")</f>
        <v>#VALUE!</v>
      </c>
      <c r="HF1" s="27" t="e">
        <f>AND('Antigen Series Overview'!D31,"AAAAAH7Gv9U=")</f>
        <v>#VALUE!</v>
      </c>
      <c r="HG1" s="27" t="e">
        <f>AND('Antigen Series Overview'!E31,"AAAAAH7Gv9Y=")</f>
        <v>#VALUE!</v>
      </c>
      <c r="HH1" s="27" t="e">
        <f>AND('Antigen Series Overview'!F31,"AAAAAH7Gv9c=")</f>
        <v>#VALUE!</v>
      </c>
      <c r="HI1" s="27" t="e">
        <f>AND('Antigen Series Overview'!G31,"AAAAAH7Gv9g=")</f>
        <v>#VALUE!</v>
      </c>
      <c r="HJ1" s="27" t="e">
        <f>AND('Antigen Series Overview'!H31,"AAAAAH7Gv9k=")</f>
        <v>#VALUE!</v>
      </c>
      <c r="HK1" s="27" t="e">
        <f>AND('Antigen Series Overview'!I31,"AAAAAH7Gv9o=")</f>
        <v>#VALUE!</v>
      </c>
      <c r="HL1" s="27" t="e">
        <f>AND('Antigen Series Overview'!J31,"AAAAAH7Gv9s=")</f>
        <v>#VALUE!</v>
      </c>
      <c r="HM1" s="27">
        <v>0</v>
      </c>
      <c r="HN1" s="27" t="e">
        <f>AND('Antigen Series Overview'!A32,"AAAAAH7Gv90=")</f>
        <v>#VALUE!</v>
      </c>
      <c r="HO1" s="27" t="e">
        <f>AND('Antigen Series Overview'!B32,"AAAAAH7Gv94=")</f>
        <v>#VALUE!</v>
      </c>
      <c r="HP1" s="27" t="e">
        <f>AND('Antigen Series Overview'!C32,"AAAAAH7Gv98=")</f>
        <v>#VALUE!</v>
      </c>
      <c r="HQ1" s="27" t="e">
        <f>AND('Antigen Series Overview'!D32,"AAAAAH7Gv+A=")</f>
        <v>#VALUE!</v>
      </c>
      <c r="HR1" s="27" t="e">
        <f>AND('Antigen Series Overview'!E32,"AAAAAH7Gv+E=")</f>
        <v>#VALUE!</v>
      </c>
      <c r="HS1" s="27" t="e">
        <f>AND('Antigen Series Overview'!F32,"AAAAAH7Gv+I=")</f>
        <v>#VALUE!</v>
      </c>
      <c r="HT1" s="27" t="e">
        <f>AND('Antigen Series Overview'!G32,"AAAAAH7Gv+M=")</f>
        <v>#VALUE!</v>
      </c>
      <c r="HU1" s="27" t="e">
        <f>AND('Antigen Series Overview'!H32,"AAAAAH7Gv+Q=")</f>
        <v>#VALUE!</v>
      </c>
      <c r="HV1" s="27" t="e">
        <f>AND('Antigen Series Overview'!I32,"AAAAAH7Gv+U=")</f>
        <v>#VALUE!</v>
      </c>
      <c r="HW1" s="27" t="e">
        <f>AND('Antigen Series Overview'!J32,"AAAAAH7Gv+Y=")</f>
        <v>#VALUE!</v>
      </c>
      <c r="HX1" s="27">
        <v>0</v>
      </c>
      <c r="HY1" s="27" t="e">
        <f>AND('Antigen Series Overview'!A33,"AAAAAH7Gv+g=")</f>
        <v>#VALUE!</v>
      </c>
      <c r="HZ1" s="27" t="e">
        <f>AND('Antigen Series Overview'!B33,"AAAAAH7Gv+k=")</f>
        <v>#VALUE!</v>
      </c>
      <c r="IA1" s="27" t="e">
        <f>AND('Antigen Series Overview'!C33,"AAAAAH7Gv+o=")</f>
        <v>#VALUE!</v>
      </c>
      <c r="IB1" s="27" t="e">
        <f>AND('Antigen Series Overview'!D33,"AAAAAH7Gv+s=")</f>
        <v>#VALUE!</v>
      </c>
      <c r="IC1" s="27" t="e">
        <f>AND('Antigen Series Overview'!E33,"AAAAAH7Gv+w=")</f>
        <v>#VALUE!</v>
      </c>
      <c r="ID1" s="27" t="e">
        <f>AND('Antigen Series Overview'!F33,"AAAAAH7Gv+0=")</f>
        <v>#VALUE!</v>
      </c>
      <c r="IE1" s="27" t="e">
        <f>AND('Antigen Series Overview'!G33,"AAAAAH7Gv+4=")</f>
        <v>#VALUE!</v>
      </c>
      <c r="IF1" s="27" t="e">
        <f>AND('Antigen Series Overview'!H33,"AAAAAH7Gv+8=")</f>
        <v>#VALUE!</v>
      </c>
      <c r="IG1" s="27" t="e">
        <f>AND('Antigen Series Overview'!I33,"AAAAAH7Gv/A=")</f>
        <v>#VALUE!</v>
      </c>
      <c r="IH1" s="27" t="e">
        <f>AND('Antigen Series Overview'!J33,"AAAAAH7Gv/E=")</f>
        <v>#VALUE!</v>
      </c>
      <c r="II1" s="27">
        <v>0</v>
      </c>
      <c r="IJ1" s="27" t="e">
        <f>AND('Antigen Series Overview'!A34,"AAAAAH7Gv/M=")</f>
        <v>#VALUE!</v>
      </c>
      <c r="IK1" s="27" t="e">
        <f>AND('Antigen Series Overview'!B34,"AAAAAH7Gv/Q=")</f>
        <v>#VALUE!</v>
      </c>
      <c r="IL1" s="27" t="e">
        <f>AND('Antigen Series Overview'!C34,"AAAAAH7Gv/U=")</f>
        <v>#VALUE!</v>
      </c>
      <c r="IM1" s="27" t="e">
        <f>AND('Antigen Series Overview'!D34,"AAAAAH7Gv/Y=")</f>
        <v>#VALUE!</v>
      </c>
      <c r="IN1" s="27" t="e">
        <f>AND('Antigen Series Overview'!E34,"AAAAAH7Gv/c=")</f>
        <v>#VALUE!</v>
      </c>
      <c r="IO1" s="27" t="e">
        <f>AND('Antigen Series Overview'!F34,"AAAAAH7Gv/g=")</f>
        <v>#VALUE!</v>
      </c>
      <c r="IP1" s="27" t="e">
        <f>AND('Antigen Series Overview'!G34,"AAAAAH7Gv/k=")</f>
        <v>#VALUE!</v>
      </c>
      <c r="IQ1" s="27" t="e">
        <f>AND('Antigen Series Overview'!H34,"AAAAAH7Gv/o=")</f>
        <v>#VALUE!</v>
      </c>
      <c r="IR1" s="27" t="e">
        <f>AND('Antigen Series Overview'!I34,"AAAAAH7Gv/s=")</f>
        <v>#VALUE!</v>
      </c>
      <c r="IS1" s="27" t="e">
        <f>AND('Antigen Series Overview'!J34,"AAAAAH7Gv/w=")</f>
        <v>#VALUE!</v>
      </c>
      <c r="IT1" s="27" t="e">
        <f>IF('Antigen Series Overview'!#REF!,"AAAAAH7Gv/0=",0)</f>
        <v>#REF!</v>
      </c>
      <c r="IU1" s="27" t="e">
        <f>AND('Antigen Series Overview'!#REF!,"AAAAAH7Gv/4=")</f>
        <v>#REF!</v>
      </c>
      <c r="IV1" s="27" t="e">
        <f>AND('Antigen Series Overview'!#REF!,"AAAAAH7Gv/8=")</f>
        <v>#REF!</v>
      </c>
    </row>
    <row r="2" spans="1:256" ht="12.75" customHeight="1" x14ac:dyDescent="0.2">
      <c r="A2" s="27" t="e">
        <f>AND('Antigen Series Overview'!#REF!,"AAAAAGfv/wA=")</f>
        <v>#REF!</v>
      </c>
      <c r="B2" s="27" t="e">
        <f>AND('Antigen Series Overview'!#REF!,"AAAAAGfv/wE=")</f>
        <v>#REF!</v>
      </c>
      <c r="C2" s="27" t="e">
        <f>AND('Antigen Series Overview'!#REF!,"AAAAAGfv/wI=")</f>
        <v>#REF!</v>
      </c>
      <c r="D2" s="27" t="e">
        <f>AND('Antigen Series Overview'!#REF!,"AAAAAGfv/wM=")</f>
        <v>#REF!</v>
      </c>
      <c r="E2" s="27" t="e">
        <f>AND('Antigen Series Overview'!#REF!,"AAAAAGfv/wQ=")</f>
        <v>#REF!</v>
      </c>
      <c r="F2" s="27" t="e">
        <f>AND('Antigen Series Overview'!#REF!,"AAAAAGfv/wU=")</f>
        <v>#REF!</v>
      </c>
      <c r="G2" s="27" t="e">
        <f>AND('Antigen Series Overview'!#REF!,"AAAAAGfv/wY=")</f>
        <v>#REF!</v>
      </c>
      <c r="H2" s="27" t="e">
        <f>AND('Antigen Series Overview'!#REF!,"AAAAAGfv/wc=")</f>
        <v>#REF!</v>
      </c>
      <c r="I2" s="27" t="e">
        <f>IF('Antigen Series Overview'!#REF!,"AAAAAGfv/wg=",0)</f>
        <v>#REF!</v>
      </c>
      <c r="J2" s="27" t="e">
        <f>AND('Antigen Series Overview'!#REF!,"AAAAAGfv/wk=")</f>
        <v>#REF!</v>
      </c>
      <c r="K2" s="27" t="e">
        <f>AND('Antigen Series Overview'!#REF!,"AAAAAGfv/wo=")</f>
        <v>#REF!</v>
      </c>
      <c r="L2" s="27" t="e">
        <f>AND('Antigen Series Overview'!#REF!,"AAAAAGfv/ws=")</f>
        <v>#REF!</v>
      </c>
      <c r="M2" s="27" t="e">
        <f>AND('Antigen Series Overview'!#REF!,"AAAAAGfv/ww=")</f>
        <v>#REF!</v>
      </c>
      <c r="N2" s="27" t="e">
        <f>AND('Antigen Series Overview'!#REF!,"AAAAAGfv/w0=")</f>
        <v>#REF!</v>
      </c>
      <c r="O2" s="27" t="e">
        <f>AND('Antigen Series Overview'!#REF!,"AAAAAGfv/w4=")</f>
        <v>#REF!</v>
      </c>
      <c r="P2" s="27" t="e">
        <f>AND('Antigen Series Overview'!#REF!,"AAAAAGfv/w8=")</f>
        <v>#REF!</v>
      </c>
      <c r="Q2" s="27" t="e">
        <f>AND('Antigen Series Overview'!#REF!,"AAAAAGfv/xA=")</f>
        <v>#REF!</v>
      </c>
      <c r="R2" s="27" t="e">
        <f>AND('Antigen Series Overview'!#REF!,"AAAAAGfv/xE=")</f>
        <v>#REF!</v>
      </c>
      <c r="S2" s="27" t="e">
        <f>AND('Antigen Series Overview'!#REF!,"AAAAAGfv/xI=")</f>
        <v>#REF!</v>
      </c>
      <c r="T2" s="27" t="e">
        <f>IF('Antigen Series Overview'!#REF!,"AAAAAGfv/xM=",0)</f>
        <v>#REF!</v>
      </c>
      <c r="U2" s="27" t="e">
        <f>AND('Antigen Series Overview'!#REF!,"AAAAAGfv/xQ=")</f>
        <v>#REF!</v>
      </c>
      <c r="V2" s="27" t="e">
        <f>AND('Antigen Series Overview'!#REF!,"AAAAAGfv/xU=")</f>
        <v>#REF!</v>
      </c>
      <c r="W2" s="27" t="e">
        <f>AND('Antigen Series Overview'!#REF!,"AAAAAGfv/xY=")</f>
        <v>#REF!</v>
      </c>
      <c r="X2" s="27" t="e">
        <f>AND('Antigen Series Overview'!#REF!,"AAAAAGfv/xc=")</f>
        <v>#REF!</v>
      </c>
      <c r="Y2" s="27" t="e">
        <f>AND('Antigen Series Overview'!#REF!,"AAAAAGfv/xg=")</f>
        <v>#REF!</v>
      </c>
      <c r="Z2" s="27" t="e">
        <f>AND('Antigen Series Overview'!#REF!,"AAAAAGfv/xk=")</f>
        <v>#REF!</v>
      </c>
      <c r="AA2" s="27" t="e">
        <f>AND('Antigen Series Overview'!#REF!,"AAAAAGfv/xo=")</f>
        <v>#REF!</v>
      </c>
      <c r="AB2" s="27" t="e">
        <f>AND('Antigen Series Overview'!#REF!,"AAAAAGfv/xs=")</f>
        <v>#REF!</v>
      </c>
      <c r="AC2" s="27" t="e">
        <f>AND('Antigen Series Overview'!#REF!,"AAAAAGfv/xw=")</f>
        <v>#REF!</v>
      </c>
      <c r="AD2" s="27" t="e">
        <f>AND('Antigen Series Overview'!#REF!,"AAAAAGfv/x0=")</f>
        <v>#REF!</v>
      </c>
      <c r="AE2" s="27" t="e">
        <f>IF('Antigen Series Overview'!#REF!,"AAAAAGfv/x4=",0)</f>
        <v>#REF!</v>
      </c>
      <c r="AF2" s="27" t="e">
        <f>AND('Antigen Series Overview'!#REF!,"AAAAAGfv/x8=")</f>
        <v>#REF!</v>
      </c>
      <c r="AG2" s="27" t="e">
        <f>AND('Antigen Series Overview'!#REF!,"AAAAAGfv/yA=")</f>
        <v>#REF!</v>
      </c>
      <c r="AH2" s="27" t="e">
        <f>AND('Antigen Series Overview'!#REF!,"AAAAAGfv/yE=")</f>
        <v>#REF!</v>
      </c>
      <c r="AI2" s="27" t="e">
        <f>AND('Antigen Series Overview'!#REF!,"AAAAAGfv/yI=")</f>
        <v>#REF!</v>
      </c>
      <c r="AJ2" s="27" t="e">
        <f>AND('Antigen Series Overview'!#REF!,"AAAAAGfv/yM=")</f>
        <v>#REF!</v>
      </c>
      <c r="AK2" s="27" t="e">
        <f>AND('Antigen Series Overview'!#REF!,"AAAAAGfv/yQ=")</f>
        <v>#REF!</v>
      </c>
      <c r="AL2" s="27" t="e">
        <f>AND('Antigen Series Overview'!#REF!,"AAAAAGfv/yU=")</f>
        <v>#REF!</v>
      </c>
      <c r="AM2" s="27" t="e">
        <f>AND('Antigen Series Overview'!#REF!,"AAAAAGfv/yY=")</f>
        <v>#REF!</v>
      </c>
      <c r="AN2" s="27" t="e">
        <f>AND('Antigen Series Overview'!#REF!,"AAAAAGfv/yc=")</f>
        <v>#REF!</v>
      </c>
      <c r="AO2" s="27" t="e">
        <f>AND('Antigen Series Overview'!#REF!,"AAAAAGfv/yg=")</f>
        <v>#REF!</v>
      </c>
      <c r="AP2" s="27">
        <v>0</v>
      </c>
      <c r="AQ2" s="27" t="e">
        <f>AND('Antigen Series Overview'!A35,"AAAAAGfv/yo=")</f>
        <v>#VALUE!</v>
      </c>
      <c r="AR2" s="27" t="e">
        <f>AND('Antigen Series Overview'!B35,"AAAAAGfv/ys=")</f>
        <v>#VALUE!</v>
      </c>
      <c r="AS2" s="27" t="e">
        <f>AND('Antigen Series Overview'!C35,"AAAAAGfv/yw=")</f>
        <v>#VALUE!</v>
      </c>
      <c r="AT2" s="27" t="e">
        <f>AND('Antigen Series Overview'!D35,"AAAAAGfv/y0=")</f>
        <v>#VALUE!</v>
      </c>
      <c r="AU2" s="27" t="e">
        <f>AND('Antigen Series Overview'!E35,"AAAAAGfv/y4=")</f>
        <v>#VALUE!</v>
      </c>
      <c r="AV2" s="27" t="e">
        <f>AND('Antigen Series Overview'!F35,"AAAAAGfv/y8=")</f>
        <v>#VALUE!</v>
      </c>
      <c r="AW2" s="27" t="e">
        <f>AND('Antigen Series Overview'!G35,"AAAAAGfv/zA=")</f>
        <v>#VALUE!</v>
      </c>
      <c r="AX2" s="27" t="e">
        <f>AND('Antigen Series Overview'!H35,"AAAAAGfv/zE=")</f>
        <v>#VALUE!</v>
      </c>
      <c r="AY2" s="27" t="e">
        <f>AND('Antigen Series Overview'!I35,"AAAAAGfv/zI=")</f>
        <v>#VALUE!</v>
      </c>
      <c r="AZ2" s="27" t="e">
        <f>AND('Antigen Series Overview'!J35,"AAAAAGfv/zM=")</f>
        <v>#VALUE!</v>
      </c>
      <c r="BA2" s="27">
        <v>0</v>
      </c>
      <c r="BB2" s="27" t="e">
        <f>AND('Antigen Series Overview'!A36,"AAAAAGfv/zU=")</f>
        <v>#VALUE!</v>
      </c>
      <c r="BC2" s="27" t="e">
        <f>AND('Antigen Series Overview'!B36,"AAAAAGfv/zY=")</f>
        <v>#VALUE!</v>
      </c>
      <c r="BD2" s="27" t="e">
        <f>AND('Antigen Series Overview'!C36,"AAAAAGfv/zc=")</f>
        <v>#VALUE!</v>
      </c>
      <c r="BE2" s="27" t="e">
        <f>AND('Antigen Series Overview'!D36,"AAAAAGfv/zg=")</f>
        <v>#VALUE!</v>
      </c>
      <c r="BF2" s="27" t="e">
        <f>AND('Antigen Series Overview'!E36,"AAAAAGfv/zk=")</f>
        <v>#VALUE!</v>
      </c>
      <c r="BG2" s="27" t="e">
        <f>AND('Antigen Series Overview'!F36,"AAAAAGfv/zo=")</f>
        <v>#VALUE!</v>
      </c>
      <c r="BH2" s="27" t="e">
        <f>AND('Antigen Series Overview'!G36,"AAAAAGfv/zs=")</f>
        <v>#VALUE!</v>
      </c>
      <c r="BI2" s="27" t="e">
        <f>AND('Antigen Series Overview'!H36,"AAAAAGfv/zw=")</f>
        <v>#VALUE!</v>
      </c>
      <c r="BJ2" s="27" t="e">
        <f>AND('Antigen Series Overview'!I36,"AAAAAGfv/z0=")</f>
        <v>#VALUE!</v>
      </c>
      <c r="BK2" s="27" t="e">
        <f>AND('Antigen Series Overview'!J36,"AAAAAGfv/z4=")</f>
        <v>#VALUE!</v>
      </c>
      <c r="BL2" s="27">
        <v>0</v>
      </c>
      <c r="BM2" s="27" t="e">
        <f>AND('Antigen Series Overview'!A37,"AAAAAGfv/0A=")</f>
        <v>#VALUE!</v>
      </c>
      <c r="BN2" s="27" t="e">
        <f>AND('Antigen Series Overview'!B37,"AAAAAGfv/0E=")</f>
        <v>#VALUE!</v>
      </c>
      <c r="BO2" s="27" t="e">
        <f>AND('Antigen Series Overview'!C37,"AAAAAGfv/0I=")</f>
        <v>#VALUE!</v>
      </c>
      <c r="BP2" s="27" t="e">
        <f>AND('Antigen Series Overview'!D37,"AAAAAGfv/0M=")</f>
        <v>#VALUE!</v>
      </c>
      <c r="BQ2" s="27" t="e">
        <f>AND('Antigen Series Overview'!E37,"AAAAAGfv/0Q=")</f>
        <v>#VALUE!</v>
      </c>
      <c r="BR2" s="27" t="e">
        <f>AND('Antigen Series Overview'!F37,"AAAAAGfv/0U=")</f>
        <v>#VALUE!</v>
      </c>
      <c r="BS2" s="27" t="e">
        <f>AND('Antigen Series Overview'!G37,"AAAAAGfv/0Y=")</f>
        <v>#VALUE!</v>
      </c>
      <c r="BT2" s="27" t="e">
        <f>AND('Antigen Series Overview'!H37,"AAAAAGfv/0c=")</f>
        <v>#VALUE!</v>
      </c>
      <c r="BU2" s="27" t="e">
        <f>AND('Antigen Series Overview'!I37,"AAAAAGfv/0g=")</f>
        <v>#VALUE!</v>
      </c>
      <c r="BV2" s="27" t="e">
        <f>AND('Antigen Series Overview'!J37,"AAAAAGfv/0k=")</f>
        <v>#VALUE!</v>
      </c>
      <c r="BW2" s="27">
        <v>0</v>
      </c>
      <c r="BX2" s="27" t="e">
        <f>AND('Antigen Series Overview'!#REF!,"AAAAAGfv/0s=")</f>
        <v>#REF!</v>
      </c>
      <c r="BY2" s="27" t="e">
        <f>AND('Antigen Series Overview'!#REF!,"AAAAAGfv/0w=")</f>
        <v>#REF!</v>
      </c>
      <c r="BZ2" s="27" t="e">
        <f>AND('Antigen Series Overview'!#REF!,"AAAAAGfv/00=")</f>
        <v>#REF!</v>
      </c>
      <c r="CA2" s="27" t="e">
        <f>AND('Antigen Series Overview'!#REF!,"AAAAAGfv/04=")</f>
        <v>#REF!</v>
      </c>
      <c r="CB2" s="27" t="e">
        <f>AND('Antigen Series Overview'!#REF!,"AAAAAGfv/08=")</f>
        <v>#REF!</v>
      </c>
      <c r="CC2" s="27" t="e">
        <f>AND('Antigen Series Overview'!#REF!,"AAAAAGfv/1A=")</f>
        <v>#REF!</v>
      </c>
      <c r="CD2" s="27" t="e">
        <f>AND('Antigen Series Overview'!#REF!,"AAAAAGfv/1E=")</f>
        <v>#REF!</v>
      </c>
      <c r="CE2" s="27" t="e">
        <f>AND('Antigen Series Overview'!#REF!,"AAAAAGfv/1I=")</f>
        <v>#REF!</v>
      </c>
      <c r="CF2" s="27" t="e">
        <f>AND('Antigen Series Overview'!#REF!,"AAAAAGfv/1M=")</f>
        <v>#REF!</v>
      </c>
      <c r="CG2" s="27" t="e">
        <f>AND('Antigen Series Overview'!#REF!,"AAAAAGfv/1Q=")</f>
        <v>#REF!</v>
      </c>
      <c r="CH2" s="27">
        <v>0</v>
      </c>
      <c r="CI2" s="27" t="e">
        <f>AND('Antigen Series Overview'!#REF!,"AAAAAGfv/1Y=")</f>
        <v>#REF!</v>
      </c>
      <c r="CJ2" s="27" t="e">
        <f>AND('Antigen Series Overview'!#REF!,"AAAAAGfv/1c=")</f>
        <v>#REF!</v>
      </c>
      <c r="CK2" s="27" t="e">
        <f>AND('Antigen Series Overview'!#REF!,"AAAAAGfv/1g=")</f>
        <v>#REF!</v>
      </c>
      <c r="CL2" s="27" t="e">
        <f>AND('Antigen Series Overview'!#REF!,"AAAAAGfv/1k=")</f>
        <v>#REF!</v>
      </c>
      <c r="CM2" s="27" t="e">
        <f>AND('Antigen Series Overview'!#REF!,"AAAAAGfv/1o=")</f>
        <v>#REF!</v>
      </c>
      <c r="CN2" s="27" t="e">
        <f>AND('Antigen Series Overview'!#REF!,"AAAAAGfv/1s=")</f>
        <v>#REF!</v>
      </c>
      <c r="CO2" s="27" t="e">
        <f>AND('Antigen Series Overview'!#REF!,"AAAAAGfv/1w=")</f>
        <v>#REF!</v>
      </c>
      <c r="CP2" s="27" t="e">
        <f>AND('Antigen Series Overview'!#REF!,"AAAAAGfv/10=")</f>
        <v>#REF!</v>
      </c>
      <c r="CQ2" s="27" t="e">
        <f>AND('Antigen Series Overview'!#REF!,"AAAAAGfv/14=")</f>
        <v>#REF!</v>
      </c>
      <c r="CR2" s="27" t="e">
        <f>AND('Antigen Series Overview'!#REF!,"AAAAAGfv/18=")</f>
        <v>#REF!</v>
      </c>
      <c r="CS2" s="27">
        <v>0</v>
      </c>
      <c r="CT2" s="27" t="e">
        <f>AND('Antigen Series Overview'!#REF!,"AAAAAGfv/2E=")</f>
        <v>#REF!</v>
      </c>
      <c r="CU2" s="27" t="e">
        <f>AND('Antigen Series Overview'!#REF!,"AAAAAGfv/2I=")</f>
        <v>#REF!</v>
      </c>
      <c r="CV2" s="27" t="e">
        <f>AND('Antigen Series Overview'!#REF!,"AAAAAGfv/2M=")</f>
        <v>#REF!</v>
      </c>
      <c r="CW2" s="27" t="e">
        <f>AND('Antigen Series Overview'!#REF!,"AAAAAGfv/2Q=")</f>
        <v>#REF!</v>
      </c>
      <c r="CX2" s="27" t="e">
        <f>AND('Antigen Series Overview'!#REF!,"AAAAAGfv/2U=")</f>
        <v>#REF!</v>
      </c>
      <c r="CY2" s="27" t="e">
        <f>AND('Antigen Series Overview'!#REF!,"AAAAAGfv/2Y=")</f>
        <v>#REF!</v>
      </c>
      <c r="CZ2" s="27" t="e">
        <f>AND('Antigen Series Overview'!#REF!,"AAAAAGfv/2c=")</f>
        <v>#REF!</v>
      </c>
      <c r="DA2" s="27" t="e">
        <f>AND('Antigen Series Overview'!#REF!,"AAAAAGfv/2g=")</f>
        <v>#REF!</v>
      </c>
      <c r="DB2" s="27" t="e">
        <f>AND('Antigen Series Overview'!#REF!,"AAAAAGfv/2k=")</f>
        <v>#REF!</v>
      </c>
      <c r="DC2" s="27" t="e">
        <f>AND('Antigen Series Overview'!#REF!,"AAAAAGfv/2o=")</f>
        <v>#REF!</v>
      </c>
      <c r="DD2" s="27">
        <v>0</v>
      </c>
      <c r="DE2" s="27" t="e">
        <f>AND('Antigen Series Overview'!#REF!,"AAAAAGfv/2w=")</f>
        <v>#REF!</v>
      </c>
      <c r="DF2" s="27" t="e">
        <f>AND('Antigen Series Overview'!#REF!,"AAAAAGfv/20=")</f>
        <v>#REF!</v>
      </c>
      <c r="DG2" s="27" t="e">
        <f>AND('Antigen Series Overview'!#REF!,"AAAAAGfv/24=")</f>
        <v>#REF!</v>
      </c>
      <c r="DH2" s="27" t="e">
        <f>AND('Antigen Series Overview'!#REF!,"AAAAAGfv/28=")</f>
        <v>#REF!</v>
      </c>
      <c r="DI2" s="27" t="e">
        <f>AND('Antigen Series Overview'!#REF!,"AAAAAGfv/3A=")</f>
        <v>#REF!</v>
      </c>
      <c r="DJ2" s="27" t="e">
        <f>AND('Antigen Series Overview'!#REF!,"AAAAAGfv/3E=")</f>
        <v>#REF!</v>
      </c>
      <c r="DK2" s="27" t="e">
        <f>AND('Antigen Series Overview'!#REF!,"AAAAAGfv/3I=")</f>
        <v>#REF!</v>
      </c>
      <c r="DL2" s="27" t="e">
        <f>AND('Antigen Series Overview'!#REF!,"AAAAAGfv/3M=")</f>
        <v>#REF!</v>
      </c>
      <c r="DM2" s="27" t="e">
        <f>AND('Antigen Series Overview'!#REF!,"AAAAAGfv/3Q=")</f>
        <v>#REF!</v>
      </c>
      <c r="DN2" s="27" t="e">
        <f>AND('Antigen Series Overview'!#REF!,"AAAAAGfv/3U=")</f>
        <v>#REF!</v>
      </c>
      <c r="DO2" s="27">
        <v>0</v>
      </c>
      <c r="DP2" s="27" t="e">
        <f>AND('Antigen Series Overview'!A38,"AAAAAGfv/3c=")</f>
        <v>#VALUE!</v>
      </c>
      <c r="DQ2" s="27" t="e">
        <f>AND('Antigen Series Overview'!B38,"AAAAAGfv/3g=")</f>
        <v>#VALUE!</v>
      </c>
      <c r="DR2" s="27" t="e">
        <f>AND('Antigen Series Overview'!C38,"AAAAAGfv/3k=")</f>
        <v>#VALUE!</v>
      </c>
      <c r="DS2" s="27" t="e">
        <f>AND('Antigen Series Overview'!D38,"AAAAAGfv/3o=")</f>
        <v>#VALUE!</v>
      </c>
      <c r="DT2" s="27" t="e">
        <f>AND('Antigen Series Overview'!E38,"AAAAAGfv/3s=")</f>
        <v>#VALUE!</v>
      </c>
      <c r="DU2" s="27" t="e">
        <f>AND('Antigen Series Overview'!F38,"AAAAAGfv/3w=")</f>
        <v>#VALUE!</v>
      </c>
      <c r="DV2" s="27" t="e">
        <f>AND('Antigen Series Overview'!G38,"AAAAAGfv/30=")</f>
        <v>#VALUE!</v>
      </c>
      <c r="DW2" s="27" t="e">
        <f>AND('Antigen Series Overview'!H38,"AAAAAGfv/34=")</f>
        <v>#VALUE!</v>
      </c>
      <c r="DX2" s="27" t="e">
        <f>AND('Antigen Series Overview'!I38,"AAAAAGfv/38=")</f>
        <v>#VALUE!</v>
      </c>
      <c r="DY2" s="27" t="e">
        <f>AND('Antigen Series Overview'!J38,"AAAAAGfv/4A=")</f>
        <v>#VALUE!</v>
      </c>
      <c r="DZ2" s="27">
        <v>0</v>
      </c>
      <c r="EA2" s="27" t="e">
        <f>AND('Antigen Series Overview'!#REF!,"AAAAAGfv/4I=")</f>
        <v>#REF!</v>
      </c>
      <c r="EB2" s="27" t="e">
        <f>AND('Antigen Series Overview'!#REF!,"AAAAAGfv/4M=")</f>
        <v>#REF!</v>
      </c>
      <c r="EC2" s="27" t="e">
        <f>AND('Antigen Series Overview'!#REF!,"AAAAAGfv/4Q=")</f>
        <v>#REF!</v>
      </c>
      <c r="ED2" s="27" t="e">
        <f>AND('Antigen Series Overview'!#REF!,"AAAAAGfv/4U=")</f>
        <v>#REF!</v>
      </c>
      <c r="EE2" s="27" t="e">
        <f>AND('Antigen Series Overview'!#REF!,"AAAAAGfv/4Y=")</f>
        <v>#REF!</v>
      </c>
      <c r="EF2" s="27" t="e">
        <f>AND('Antigen Series Overview'!#REF!,"AAAAAGfv/4c=")</f>
        <v>#REF!</v>
      </c>
      <c r="EG2" s="27" t="e">
        <f>AND('Antigen Series Overview'!#REF!,"AAAAAGfv/4g=")</f>
        <v>#REF!</v>
      </c>
      <c r="EH2" s="27" t="e">
        <f>AND('Antigen Series Overview'!#REF!,"AAAAAGfv/4k=")</f>
        <v>#REF!</v>
      </c>
      <c r="EI2" s="27" t="e">
        <f>AND('Antigen Series Overview'!#REF!,"AAAAAGfv/4o=")</f>
        <v>#REF!</v>
      </c>
      <c r="EJ2" s="27" t="e">
        <f>AND('Antigen Series Overview'!#REF!,"AAAAAGfv/4s=")</f>
        <v>#REF!</v>
      </c>
      <c r="EK2" s="27">
        <v>0</v>
      </c>
      <c r="EL2" s="27" t="e">
        <f>AND('Antigen Series Overview'!A39,"AAAAAGfv/40=")</f>
        <v>#VALUE!</v>
      </c>
      <c r="EM2" s="27" t="e">
        <f>AND('Antigen Series Overview'!B39,"AAAAAGfv/44=")</f>
        <v>#VALUE!</v>
      </c>
      <c r="EN2" s="27" t="e">
        <f>AND('Antigen Series Overview'!C39,"AAAAAGfv/48=")</f>
        <v>#VALUE!</v>
      </c>
      <c r="EO2" s="27" t="e">
        <f>AND('Antigen Series Overview'!D39,"AAAAAGfv/5A=")</f>
        <v>#VALUE!</v>
      </c>
      <c r="EP2" s="27" t="e">
        <f>AND('Antigen Series Overview'!E39,"AAAAAGfv/5E=")</f>
        <v>#VALUE!</v>
      </c>
      <c r="EQ2" s="27" t="e">
        <f>AND('Antigen Series Overview'!F39,"AAAAAGfv/5I=")</f>
        <v>#VALUE!</v>
      </c>
      <c r="ER2" s="27" t="e">
        <f>AND('Antigen Series Overview'!G39,"AAAAAGfv/5M=")</f>
        <v>#VALUE!</v>
      </c>
      <c r="ES2" s="27" t="e">
        <f>AND('Antigen Series Overview'!H39,"AAAAAGfv/5Q=")</f>
        <v>#VALUE!</v>
      </c>
      <c r="ET2" s="27" t="e">
        <f>AND('Antigen Series Overview'!I39,"AAAAAGfv/5U=")</f>
        <v>#VALUE!</v>
      </c>
      <c r="EU2" s="27" t="e">
        <f>AND('Antigen Series Overview'!J39,"AAAAAGfv/5Y=")</f>
        <v>#VALUE!</v>
      </c>
      <c r="EV2" s="27">
        <v>0</v>
      </c>
      <c r="EW2" s="27" t="e">
        <f>AND('Antigen Series Overview'!A40,"AAAAAGfv/5g=")</f>
        <v>#VALUE!</v>
      </c>
      <c r="EX2" s="27" t="e">
        <f>AND('Antigen Series Overview'!B40,"AAAAAGfv/5k=")</f>
        <v>#VALUE!</v>
      </c>
      <c r="EY2" s="27" t="e">
        <f>AND('Antigen Series Overview'!C40,"AAAAAGfv/5o=")</f>
        <v>#VALUE!</v>
      </c>
      <c r="EZ2" s="27" t="e">
        <f>AND('Antigen Series Overview'!D40,"AAAAAGfv/5s=")</f>
        <v>#VALUE!</v>
      </c>
      <c r="FA2" s="27" t="e">
        <f>AND('Antigen Series Overview'!E40,"AAAAAGfv/5w=")</f>
        <v>#VALUE!</v>
      </c>
      <c r="FB2" s="27" t="e">
        <f>AND('Antigen Series Overview'!F40,"AAAAAGfv/50=")</f>
        <v>#VALUE!</v>
      </c>
      <c r="FC2" s="27" t="e">
        <f>AND('Antigen Series Overview'!G40,"AAAAAGfv/54=")</f>
        <v>#VALUE!</v>
      </c>
      <c r="FD2" s="27" t="e">
        <f>AND('Antigen Series Overview'!H40,"AAAAAGfv/58=")</f>
        <v>#VALUE!</v>
      </c>
      <c r="FE2" s="27" t="e">
        <f>AND('Antigen Series Overview'!I40,"AAAAAGfv/6A=")</f>
        <v>#VALUE!</v>
      </c>
      <c r="FF2" s="27" t="e">
        <f>AND('Antigen Series Overview'!J40,"AAAAAGfv/6E=")</f>
        <v>#VALUE!</v>
      </c>
      <c r="FG2" s="27">
        <v>0</v>
      </c>
      <c r="FH2" s="27" t="e">
        <f>AND('Antigen Series Overview'!#REF!,"AAAAAGfv/6M=")</f>
        <v>#REF!</v>
      </c>
      <c r="FI2" s="27" t="e">
        <f>AND('Antigen Series Overview'!#REF!,"AAAAAGfv/6Q=")</f>
        <v>#REF!</v>
      </c>
      <c r="FJ2" s="27" t="e">
        <f>AND('Antigen Series Overview'!#REF!,"AAAAAGfv/6U=")</f>
        <v>#REF!</v>
      </c>
      <c r="FK2" s="27" t="e">
        <f>AND('Antigen Series Overview'!#REF!,"AAAAAGfv/6Y=")</f>
        <v>#REF!</v>
      </c>
      <c r="FL2" s="27" t="e">
        <f>AND('Antigen Series Overview'!#REF!,"AAAAAGfv/6c=")</f>
        <v>#REF!</v>
      </c>
      <c r="FM2" s="27" t="e">
        <f>AND('Antigen Series Overview'!#REF!,"AAAAAGfv/6g=")</f>
        <v>#REF!</v>
      </c>
      <c r="FN2" s="27" t="e">
        <f>AND('Antigen Series Overview'!#REF!,"AAAAAGfv/6k=")</f>
        <v>#REF!</v>
      </c>
      <c r="FO2" s="27" t="e">
        <f>AND('Antigen Series Overview'!#REF!,"AAAAAGfv/6o=")</f>
        <v>#REF!</v>
      </c>
      <c r="FP2" s="27" t="e">
        <f>AND('Antigen Series Overview'!#REF!,"AAAAAGfv/6s=")</f>
        <v>#REF!</v>
      </c>
      <c r="FQ2" s="27" t="e">
        <f>AND('Antigen Series Overview'!#REF!,"AAAAAGfv/6w=")</f>
        <v>#REF!</v>
      </c>
      <c r="FR2" s="27">
        <v>0</v>
      </c>
      <c r="FS2" s="27" t="e">
        <f>AND('Antigen Series Overview'!#REF!,"AAAAAGfv/64=")</f>
        <v>#REF!</v>
      </c>
      <c r="FT2" s="27" t="e">
        <f>AND('Antigen Series Overview'!#REF!,"AAAAAGfv/68=")</f>
        <v>#REF!</v>
      </c>
      <c r="FU2" s="27" t="e">
        <f>AND('Antigen Series Overview'!#REF!,"AAAAAGfv/7A=")</f>
        <v>#REF!</v>
      </c>
      <c r="FV2" s="27" t="e">
        <f>AND('Antigen Series Overview'!#REF!,"AAAAAGfv/7E=")</f>
        <v>#REF!</v>
      </c>
      <c r="FW2" s="27" t="e">
        <f>AND('Antigen Series Overview'!#REF!,"AAAAAGfv/7I=")</f>
        <v>#REF!</v>
      </c>
      <c r="FX2" s="27" t="e">
        <f>AND('Antigen Series Overview'!#REF!,"AAAAAGfv/7M=")</f>
        <v>#REF!</v>
      </c>
      <c r="FY2" s="27" t="e">
        <f>AND('Antigen Series Overview'!#REF!,"AAAAAGfv/7Q=")</f>
        <v>#REF!</v>
      </c>
      <c r="FZ2" s="27" t="e">
        <f>AND('Antigen Series Overview'!#REF!,"AAAAAGfv/7U=")</f>
        <v>#REF!</v>
      </c>
      <c r="GA2" s="27" t="e">
        <f>AND('Antigen Series Overview'!#REF!,"AAAAAGfv/7Y=")</f>
        <v>#REF!</v>
      </c>
      <c r="GB2" s="27" t="e">
        <f>AND('Antigen Series Overview'!#REF!,"AAAAAGfv/7c=")</f>
        <v>#REF!</v>
      </c>
      <c r="GC2" s="27">
        <v>0</v>
      </c>
      <c r="GD2" s="27" t="e">
        <f>AND('Antigen Series Overview'!#REF!,"AAAAAGfv/7k=")</f>
        <v>#REF!</v>
      </c>
      <c r="GE2" s="27" t="e">
        <f>AND('Antigen Series Overview'!#REF!,"AAAAAGfv/7o=")</f>
        <v>#REF!</v>
      </c>
      <c r="GF2" s="27" t="e">
        <f>AND('Antigen Series Overview'!#REF!,"AAAAAGfv/7s=")</f>
        <v>#REF!</v>
      </c>
      <c r="GG2" s="27" t="e">
        <f>AND('Antigen Series Overview'!#REF!,"AAAAAGfv/7w=")</f>
        <v>#REF!</v>
      </c>
      <c r="GH2" s="27" t="e">
        <f>AND('Antigen Series Overview'!#REF!,"AAAAAGfv/70=")</f>
        <v>#REF!</v>
      </c>
      <c r="GI2" s="27" t="e">
        <f>AND('Antigen Series Overview'!#REF!,"AAAAAGfv/74=")</f>
        <v>#REF!</v>
      </c>
      <c r="GJ2" s="27" t="e">
        <f>AND('Antigen Series Overview'!#REF!,"AAAAAGfv/78=")</f>
        <v>#REF!</v>
      </c>
      <c r="GK2" s="27" t="e">
        <f>AND('Antigen Series Overview'!#REF!,"AAAAAGfv/8A=")</f>
        <v>#REF!</v>
      </c>
      <c r="GL2" s="27" t="e">
        <f>AND('Antigen Series Overview'!#REF!,"AAAAAGfv/8E=")</f>
        <v>#REF!</v>
      </c>
      <c r="GM2" s="27" t="e">
        <f>AND('Antigen Series Overview'!#REF!,"AAAAAGfv/8I=")</f>
        <v>#REF!</v>
      </c>
      <c r="GN2" s="27">
        <v>0</v>
      </c>
      <c r="GO2" s="27" t="e">
        <f>AND('Antigen Series Overview'!#REF!,"AAAAAGfv/8Q=")</f>
        <v>#REF!</v>
      </c>
      <c r="GP2" s="27" t="e">
        <f>AND('Antigen Series Overview'!#REF!,"AAAAAGfv/8U=")</f>
        <v>#REF!</v>
      </c>
      <c r="GQ2" s="27" t="e">
        <f>AND('Antigen Series Overview'!#REF!,"AAAAAGfv/8Y=")</f>
        <v>#REF!</v>
      </c>
      <c r="GR2" s="27" t="e">
        <f>AND('Antigen Series Overview'!#REF!,"AAAAAGfv/8c=")</f>
        <v>#REF!</v>
      </c>
      <c r="GS2" s="27" t="e">
        <f>AND('Antigen Series Overview'!#REF!,"AAAAAGfv/8g=")</f>
        <v>#REF!</v>
      </c>
      <c r="GT2" s="27" t="e">
        <f>AND('Antigen Series Overview'!#REF!,"AAAAAGfv/8k=")</f>
        <v>#REF!</v>
      </c>
      <c r="GU2" s="27" t="e">
        <f>AND('Antigen Series Overview'!#REF!,"AAAAAGfv/8o=")</f>
        <v>#REF!</v>
      </c>
      <c r="GV2" s="27" t="e">
        <f>AND('Antigen Series Overview'!#REF!,"AAAAAGfv/8s=")</f>
        <v>#REF!</v>
      </c>
      <c r="GW2" s="27" t="e">
        <f>AND('Antigen Series Overview'!#REF!,"AAAAAGfv/8w=")</f>
        <v>#REF!</v>
      </c>
      <c r="GX2" s="27" t="e">
        <f>AND('Antigen Series Overview'!#REF!,"AAAAAGfv/80=")</f>
        <v>#REF!</v>
      </c>
      <c r="GY2" s="27">
        <v>0</v>
      </c>
      <c r="GZ2" s="27" t="s">
        <v>100</v>
      </c>
      <c r="HA2" s="27">
        <v>0</v>
      </c>
      <c r="HB2" s="27">
        <v>0</v>
      </c>
      <c r="HC2" s="27">
        <v>0</v>
      </c>
      <c r="HD2" s="27">
        <v>0</v>
      </c>
      <c r="HE2" s="27">
        <v>0</v>
      </c>
      <c r="HF2" s="27">
        <v>0</v>
      </c>
      <c r="HG2" s="27">
        <v>0</v>
      </c>
      <c r="HH2" s="27">
        <v>0</v>
      </c>
      <c r="HI2" s="27">
        <v>0</v>
      </c>
      <c r="HJ2" s="27" t="e">
        <f>AND('HepB 3-Dose Primary Series'!A1,"AAAAAGfv/9k=")</f>
        <v>#VALUE!</v>
      </c>
      <c r="HK2" s="27" t="e">
        <f>AND('HepB 3-Dose Primary Series'!B1,"AAAAAGfv/9o=")</f>
        <v>#VALUE!</v>
      </c>
      <c r="HL2" s="27" t="e">
        <f>AND('HepB 3-Dose Primary Series'!C1,"AAAAAGfv/9s=")</f>
        <v>#VALUE!</v>
      </c>
      <c r="HM2" s="27" t="e">
        <f>AND('HepB 3-Dose Primary Series'!D1,"AAAAAGfv/9w=")</f>
        <v>#VALUE!</v>
      </c>
      <c r="HN2" s="27" t="e">
        <f>AND('HepB 3-Dose Primary Series'!E1,"AAAAAGfv/90=")</f>
        <v>#VALUE!</v>
      </c>
      <c r="HO2" s="27" t="e">
        <f>AND('HepB 3-Dose Primary Series'!F1,"AAAAAGfv/94=")</f>
        <v>#VALUE!</v>
      </c>
      <c r="HP2" s="27" t="e">
        <f>AND('HepB 3-Dose Primary Series'!G1,"AAAAAGfv/98=")</f>
        <v>#VALUE!</v>
      </c>
      <c r="HQ2" s="27" t="e">
        <f>AND('HepB 3-Dose Primary Series'!H1,"AAAAAGfv/+A=")</f>
        <v>#VALUE!</v>
      </c>
      <c r="HR2" s="27" t="e">
        <f>AND('HepB 3-Dose Primary Series'!#REF!,"AAAAAGfv/+E=")</f>
        <v>#REF!</v>
      </c>
      <c r="HS2" s="27">
        <v>0</v>
      </c>
      <c r="HT2" s="27" t="e">
        <f>AND('HepB 3-Dose Primary Series'!A2,"AAAAAGfv/+M=")</f>
        <v>#VALUE!</v>
      </c>
      <c r="HU2" s="27" t="e">
        <f>AND('HepB 3-Dose Primary Series'!B2,"AAAAAGfv/+Q=")</f>
        <v>#VALUE!</v>
      </c>
      <c r="HV2" s="27" t="e">
        <f>AND('HepB 3-Dose Primary Series'!C2,"AAAAAGfv/+U=")</f>
        <v>#VALUE!</v>
      </c>
      <c r="HW2" s="27" t="e">
        <f>AND('HepB 3-Dose Primary Series'!D2,"AAAAAGfv/+Y=")</f>
        <v>#VALUE!</v>
      </c>
      <c r="HX2" s="27" t="e">
        <f>AND('HepB 3-Dose Primary Series'!E2,"AAAAAGfv/+c=")</f>
        <v>#VALUE!</v>
      </c>
      <c r="HY2" s="27" t="e">
        <f>AND('HepB 3-Dose Primary Series'!F2,"AAAAAGfv/+g=")</f>
        <v>#VALUE!</v>
      </c>
      <c r="HZ2" s="27" t="e">
        <f>AND('HepB 3-Dose Primary Series'!G2,"AAAAAGfv/+k=")</f>
        <v>#VALUE!</v>
      </c>
      <c r="IA2" s="27" t="e">
        <f>AND('HepB 3-Dose Primary Series'!H2,"AAAAAGfv/+o=")</f>
        <v>#VALUE!</v>
      </c>
      <c r="IB2" s="27" t="e">
        <f>AND('HepB 3-Dose Primary Series'!#REF!,"AAAAAGfv/+s=")</f>
        <v>#REF!</v>
      </c>
      <c r="IC2" s="27">
        <v>0</v>
      </c>
      <c r="ID2" s="27" t="e">
        <f>AND('HepB 3-Dose Primary Series'!A3,"AAAAAGfv/+0=")</f>
        <v>#VALUE!</v>
      </c>
      <c r="IE2" s="27" t="e">
        <f>AND('HepB 3-Dose Primary Series'!B3,"AAAAAGfv/+4=")</f>
        <v>#VALUE!</v>
      </c>
      <c r="IF2" s="27" t="e">
        <f>AND('HepB 3-Dose Primary Series'!C3,"AAAAAGfv/+8=")</f>
        <v>#VALUE!</v>
      </c>
      <c r="IG2" s="27" t="e">
        <f>AND('HepB 3-Dose Primary Series'!D3,"AAAAAGfv//A=")</f>
        <v>#VALUE!</v>
      </c>
      <c r="IH2" s="27" t="e">
        <f>AND('HepB 3-Dose Primary Series'!E3,"AAAAAGfv//E=")</f>
        <v>#VALUE!</v>
      </c>
      <c r="II2" s="27" t="e">
        <f>AND('HepB 3-Dose Primary Series'!F3,"AAAAAGfv//I=")</f>
        <v>#VALUE!</v>
      </c>
      <c r="IJ2" s="27" t="e">
        <f>AND('HepB 3-Dose Primary Series'!G3,"AAAAAGfv//M=")</f>
        <v>#VALUE!</v>
      </c>
      <c r="IK2" s="27" t="e">
        <f>AND('HepB 3-Dose Primary Series'!H3,"AAAAAGfv//Q=")</f>
        <v>#VALUE!</v>
      </c>
      <c r="IL2" s="27" t="e">
        <f>AND('HepB 3-Dose Primary Series'!#REF!,"AAAAAGfv//U=")</f>
        <v>#REF!</v>
      </c>
      <c r="IM2" s="27">
        <v>0</v>
      </c>
      <c r="IN2" s="27" t="e">
        <f>AND('HepB 3-Dose Primary Series'!A4,"AAAAAGfv//c=")</f>
        <v>#VALUE!</v>
      </c>
      <c r="IO2" s="27" t="e">
        <f>AND('HepB 3-Dose Primary Series'!B4,"AAAAAGfv//g=")</f>
        <v>#VALUE!</v>
      </c>
      <c r="IP2" s="27" t="e">
        <f>AND('HepB 3-Dose Primary Series'!C4,"AAAAAGfv//k=")</f>
        <v>#VALUE!</v>
      </c>
      <c r="IQ2" s="27" t="e">
        <f>AND('HepB 3-Dose Primary Series'!D4,"AAAAAGfv//o=")</f>
        <v>#VALUE!</v>
      </c>
      <c r="IR2" s="27" t="e">
        <f>AND('HepB 3-Dose Primary Series'!E4,"AAAAAGfv//s=")</f>
        <v>#VALUE!</v>
      </c>
      <c r="IS2" s="27" t="e">
        <f>AND('HepB 3-Dose Primary Series'!F5,"AAAAAGfv//w=")</f>
        <v>#VALUE!</v>
      </c>
      <c r="IT2" s="27" t="e">
        <f>AND('HepB 3-Dose Primary Series'!G4,"AAAAAGfv//0=")</f>
        <v>#VALUE!</v>
      </c>
      <c r="IU2" s="27" t="e">
        <f>AND('HepB 3-Dose Primary Series'!H4,"AAAAAGfv//4=")</f>
        <v>#VALUE!</v>
      </c>
      <c r="IV2" s="27" t="e">
        <f>AND('HepB 3-Dose Primary Series'!#REF!,"AAAAAGfv//8=")</f>
        <v>#REF!</v>
      </c>
    </row>
    <row r="3" spans="1:256" ht="12.75" customHeight="1" x14ac:dyDescent="0.2">
      <c r="A3" s="27" t="s">
        <v>100</v>
      </c>
      <c r="B3" s="27" t="e">
        <f>AND('HepB 3-Dose Primary Series'!A7,"AAAAADdnRAE=")</f>
        <v>#VALUE!</v>
      </c>
      <c r="C3" s="27" t="e">
        <f>AND('HepB 3-Dose Primary Series'!B7,"AAAAADdnRAI=")</f>
        <v>#VALUE!</v>
      </c>
      <c r="D3" s="27" t="e">
        <f>AND('HepB 3-Dose Primary Series'!C7,"AAAAADdnRAM=")</f>
        <v>#VALUE!</v>
      </c>
      <c r="E3" s="27" t="e">
        <f>AND('HepB 3-Dose Primary Series'!D7,"AAAAADdnRAQ=")</f>
        <v>#VALUE!</v>
      </c>
      <c r="F3" s="27" t="e">
        <f>AND('HepB 3-Dose Primary Series'!E7,"AAAAADdnRAU=")</f>
        <v>#VALUE!</v>
      </c>
      <c r="G3" s="27" t="e">
        <f>AND('HepB 3-Dose Primary Series'!F7,"AAAAADdnRAY=")</f>
        <v>#VALUE!</v>
      </c>
      <c r="H3" s="27" t="e">
        <f>AND('HepB 3-Dose Primary Series'!G7,"AAAAADdnRAc=")</f>
        <v>#VALUE!</v>
      </c>
      <c r="I3" s="27" t="e">
        <f>AND('HepB 3-Dose Primary Series'!H7,"AAAAADdnRAg=")</f>
        <v>#VALUE!</v>
      </c>
      <c r="J3" s="27" t="e">
        <f>AND('HepB 3-Dose Primary Series'!#REF!,"AAAAADdnRAk=")</f>
        <v>#REF!</v>
      </c>
      <c r="K3" s="27">
        <v>0</v>
      </c>
      <c r="L3" s="27" t="e">
        <f>AND('HepB 3-Dose Primary Series'!A8,"AAAAADdnRAs=")</f>
        <v>#VALUE!</v>
      </c>
      <c r="M3" s="27" t="e">
        <f>AND('HepB 3-Dose Primary Series'!B8,"AAAAADdnRAw=")</f>
        <v>#VALUE!</v>
      </c>
      <c r="N3" s="27" t="e">
        <f>AND('HepB 3-Dose Primary Series'!C8,"AAAAADdnRA0=")</f>
        <v>#VALUE!</v>
      </c>
      <c r="O3" s="27" t="e">
        <f>AND('HepB 3-Dose Primary Series'!D8,"AAAAADdnRA4=")</f>
        <v>#VALUE!</v>
      </c>
      <c r="P3" s="27" t="e">
        <f>AND('HepB 3-Dose Primary Series'!E8,"AAAAADdnRA8=")</f>
        <v>#VALUE!</v>
      </c>
      <c r="Q3" s="27" t="e">
        <f>AND('HepB 3-Dose Primary Series'!F8,"AAAAADdnRBA=")</f>
        <v>#VALUE!</v>
      </c>
      <c r="R3" s="27" t="e">
        <f>AND('HepB 3-Dose Primary Series'!G8,"AAAAADdnRBE=")</f>
        <v>#VALUE!</v>
      </c>
      <c r="S3" s="27" t="e">
        <f>AND('HepB 3-Dose Primary Series'!H8,"AAAAADdnRBI=")</f>
        <v>#VALUE!</v>
      </c>
      <c r="T3" s="27" t="e">
        <f>AND('HepB 3-Dose Primary Series'!#REF!,"AAAAADdnRBM=")</f>
        <v>#REF!</v>
      </c>
      <c r="U3" s="27">
        <v>0</v>
      </c>
      <c r="V3" s="27" t="e">
        <f>AND('HepB 3-Dose Primary Series'!A9,"AAAAADdnRBU=")</f>
        <v>#VALUE!</v>
      </c>
      <c r="W3" s="27" t="e">
        <f>AND('HepB 3-Dose Primary Series'!B9,"AAAAADdnRBY=")</f>
        <v>#VALUE!</v>
      </c>
      <c r="X3" s="27" t="e">
        <f>AND('HepB 3-Dose Primary Series'!C9,"AAAAADdnRBc=")</f>
        <v>#VALUE!</v>
      </c>
      <c r="Y3" s="27" t="e">
        <f>AND('HepB 3-Dose Primary Series'!D9,"AAAAADdnRBg=")</f>
        <v>#VALUE!</v>
      </c>
      <c r="Z3" s="27" t="e">
        <f>AND('HepB 3-Dose Primary Series'!E9,"AAAAADdnRBk=")</f>
        <v>#VALUE!</v>
      </c>
      <c r="AA3" s="27" t="e">
        <f>AND('HepB 3-Dose Primary Series'!F9,"AAAAADdnRBo=")</f>
        <v>#VALUE!</v>
      </c>
      <c r="AB3" s="27" t="e">
        <f>AND('HepB 3-Dose Primary Series'!G9,"AAAAADdnRBs=")</f>
        <v>#VALUE!</v>
      </c>
      <c r="AC3" s="27" t="e">
        <f>AND('HepB 3-Dose Primary Series'!H9,"AAAAADdnRBw=")</f>
        <v>#VALUE!</v>
      </c>
      <c r="AD3" s="27" t="e">
        <f>AND('HepB 3-Dose Primary Series'!#REF!,"AAAAADdnRB0=")</f>
        <v>#REF!</v>
      </c>
      <c r="AE3" s="27">
        <v>0</v>
      </c>
      <c r="AF3" s="27" t="e">
        <f>AND('HepB 3-Dose Primary Series'!A10,"AAAAADdnRB8=")</f>
        <v>#VALUE!</v>
      </c>
      <c r="AG3" s="27" t="e">
        <f>AND('HepB 3-Dose Primary Series'!B10,"AAAAADdnRCA=")</f>
        <v>#VALUE!</v>
      </c>
      <c r="AH3" s="27" t="e">
        <f>AND('HepB 3-Dose Primary Series'!C10,"AAAAADdnRCE=")</f>
        <v>#VALUE!</v>
      </c>
      <c r="AI3" s="27" t="e">
        <f>AND('HepB 3-Dose Primary Series'!D10,"AAAAADdnRCI=")</f>
        <v>#VALUE!</v>
      </c>
      <c r="AJ3" s="27" t="e">
        <f>AND('HepB 3-Dose Primary Series'!E10,"AAAAADdnRCM=")</f>
        <v>#VALUE!</v>
      </c>
      <c r="AK3" s="27" t="e">
        <f>AND('HepB 3-Dose Primary Series'!F10,"AAAAADdnRCQ=")</f>
        <v>#VALUE!</v>
      </c>
      <c r="AL3" s="27" t="e">
        <f>AND('HepB 3-Dose Primary Series'!G10,"AAAAADdnRCU=")</f>
        <v>#VALUE!</v>
      </c>
      <c r="AM3" s="27" t="e">
        <f>AND('HepB 3-Dose Primary Series'!H10,"AAAAADdnRCY=")</f>
        <v>#VALUE!</v>
      </c>
      <c r="AN3" s="27" t="e">
        <f>AND('HepB 3-Dose Primary Series'!#REF!,"AAAAADdnRCc=")</f>
        <v>#REF!</v>
      </c>
      <c r="AO3" s="27">
        <v>0</v>
      </c>
      <c r="AP3" s="27" t="e">
        <f>AND('HepB 3-Dose Primary Series'!A11,"AAAAADdnRCk=")</f>
        <v>#VALUE!</v>
      </c>
      <c r="AQ3" s="27" t="e">
        <f>AND('HepB 3-Dose Primary Series'!B11,"AAAAADdnRCo=")</f>
        <v>#VALUE!</v>
      </c>
      <c r="AR3" s="27" t="e">
        <f>AND('HepB 3-Dose Primary Series'!C11,"AAAAADdnRCs=")</f>
        <v>#VALUE!</v>
      </c>
      <c r="AS3" s="27" t="e">
        <f>AND('HepB 3-Dose Primary Series'!D11,"AAAAADdnRCw=")</f>
        <v>#VALUE!</v>
      </c>
      <c r="AT3" s="27" t="e">
        <f>AND('HepB 3-Dose Primary Series'!E11,"AAAAADdnRC0=")</f>
        <v>#VALUE!</v>
      </c>
      <c r="AU3" s="27" t="e">
        <f>AND('HepB 3-Dose Primary Series'!F11,"AAAAADdnRC4=")</f>
        <v>#VALUE!</v>
      </c>
      <c r="AV3" s="27" t="e">
        <f>AND('HepB 3-Dose Primary Series'!G11,"AAAAADdnRC8=")</f>
        <v>#VALUE!</v>
      </c>
      <c r="AW3" s="27" t="e">
        <f>AND('HepB 3-Dose Primary Series'!H11,"AAAAADdnRDA=")</f>
        <v>#VALUE!</v>
      </c>
      <c r="AX3" s="27" t="e">
        <f>AND('HepB 3-Dose Primary Series'!#REF!,"AAAAADdnRDE=")</f>
        <v>#REF!</v>
      </c>
      <c r="AY3" s="27">
        <v>0</v>
      </c>
      <c r="AZ3" s="27" t="e">
        <f>AND('HepB 3-Dose Primary Series'!#REF!,"AAAAADdnRDM=")</f>
        <v>#REF!</v>
      </c>
      <c r="BA3" s="27" t="e">
        <f>AND('HepB 3-Dose Primary Series'!#REF!,"AAAAADdnRDQ=")</f>
        <v>#REF!</v>
      </c>
      <c r="BB3" s="27" t="e">
        <f>AND('HepB 3-Dose Primary Series'!#REF!,"AAAAADdnRDU=")</f>
        <v>#REF!</v>
      </c>
      <c r="BC3" s="27" t="e">
        <f>AND('HepB 3-Dose Primary Series'!#REF!,"AAAAADdnRDY=")</f>
        <v>#REF!</v>
      </c>
      <c r="BD3" s="27" t="e">
        <f>AND('HepB 3-Dose Primary Series'!#REF!,"AAAAADdnRDc=")</f>
        <v>#REF!</v>
      </c>
      <c r="BE3" s="27" t="e">
        <f>AND('HepB 3-Dose Primary Series'!#REF!,"AAAAADdnRDg=")</f>
        <v>#REF!</v>
      </c>
      <c r="BF3" s="27" t="e">
        <f>AND('HepB 3-Dose Primary Series'!#REF!,"AAAAADdnRDk=")</f>
        <v>#REF!</v>
      </c>
      <c r="BG3" s="27" t="e">
        <f>AND('HepB 3-Dose Primary Series'!#REF!,"AAAAADdnRDo=")</f>
        <v>#REF!</v>
      </c>
      <c r="BH3" s="27" t="e">
        <f>AND('HepB 3-Dose Primary Series'!#REF!,"AAAAADdnRDs=")</f>
        <v>#REF!</v>
      </c>
      <c r="BI3" s="27">
        <v>0</v>
      </c>
      <c r="BJ3" s="27" t="e">
        <f>AND('HepB 3-Dose Primary Series'!A14,"AAAAADdnRD0=")</f>
        <v>#VALUE!</v>
      </c>
      <c r="BK3" s="27" t="e">
        <f>AND('HepB 3-Dose Primary Series'!B14,"AAAAADdnRD4=")</f>
        <v>#VALUE!</v>
      </c>
      <c r="BL3" s="27" t="e">
        <f>AND('HepB 3-Dose Primary Series'!C14,"AAAAADdnRD8=")</f>
        <v>#VALUE!</v>
      </c>
      <c r="BM3" s="27" t="e">
        <f>AND('HepB 3-Dose Primary Series'!D14,"AAAAADdnREA=")</f>
        <v>#VALUE!</v>
      </c>
      <c r="BN3" s="27" t="e">
        <f>AND('HepB 3-Dose Primary Series'!E14,"AAAAADdnREE=")</f>
        <v>#VALUE!</v>
      </c>
      <c r="BO3" s="27" t="e">
        <f>AND('HepB 3-Dose Primary Series'!F14,"AAAAADdnREI=")</f>
        <v>#VALUE!</v>
      </c>
      <c r="BP3" s="27" t="e">
        <f>AND('HepB 3-Dose Primary Series'!G14,"AAAAADdnREM=")</f>
        <v>#VALUE!</v>
      </c>
      <c r="BQ3" s="27" t="e">
        <f>AND('HepB 3-Dose Primary Series'!H14,"AAAAADdnREQ=")</f>
        <v>#VALUE!</v>
      </c>
      <c r="BR3" s="27" t="e">
        <f>AND('HepB 3-Dose Primary Series'!#REF!,"AAAAADdnREU=")</f>
        <v>#REF!</v>
      </c>
      <c r="BS3" s="27">
        <v>0</v>
      </c>
      <c r="BT3" s="27" t="e">
        <f>AND('HepB 3-Dose Primary Series'!A15,"AAAAADdnREc=")</f>
        <v>#VALUE!</v>
      </c>
      <c r="BU3" s="27" t="e">
        <f>AND('HepB 3-Dose Primary Series'!B15,"AAAAADdnREg=")</f>
        <v>#VALUE!</v>
      </c>
      <c r="BV3" s="27" t="e">
        <f>AND('HepB 3-Dose Primary Series'!C15,"AAAAADdnREk=")</f>
        <v>#VALUE!</v>
      </c>
      <c r="BW3" s="27" t="e">
        <f>AND('HepB 3-Dose Primary Series'!D15,"AAAAADdnREo=")</f>
        <v>#VALUE!</v>
      </c>
      <c r="BX3" s="27" t="e">
        <f>AND('HepB 3-Dose Primary Series'!E15,"AAAAADdnREs=")</f>
        <v>#VALUE!</v>
      </c>
      <c r="BY3" s="27" t="e">
        <f>AND('HepB 3-Dose Primary Series'!F15,"AAAAADdnREw=")</f>
        <v>#VALUE!</v>
      </c>
      <c r="BZ3" s="27" t="e">
        <f>AND('HepB 3-Dose Primary Series'!G15,"AAAAADdnRE0=")</f>
        <v>#VALUE!</v>
      </c>
      <c r="CA3" s="27" t="e">
        <f>AND('HepB 3-Dose Primary Series'!H15,"AAAAADdnRE4=")</f>
        <v>#VALUE!</v>
      </c>
      <c r="CB3" s="27" t="e">
        <f>AND('HepB 3-Dose Primary Series'!#REF!,"AAAAADdnRE8=")</f>
        <v>#REF!</v>
      </c>
      <c r="CC3" s="27">
        <v>0</v>
      </c>
      <c r="CD3" s="27" t="e">
        <f>AND('HepB 3-Dose Primary Series'!A16,"AAAAADdnRFE=")</f>
        <v>#VALUE!</v>
      </c>
      <c r="CE3" s="27" t="e">
        <f>AND('HepB 3-Dose Primary Series'!#REF!,"AAAAADdnRFI=")</f>
        <v>#REF!</v>
      </c>
      <c r="CF3" s="27" t="e">
        <f>AND('HepB 3-Dose Primary Series'!#REF!,"AAAAADdnRFM=")</f>
        <v>#REF!</v>
      </c>
      <c r="CG3" s="27" t="e">
        <f>AND('HepB 3-Dose Primary Series'!#REF!,"AAAAADdnRFQ=")</f>
        <v>#REF!</v>
      </c>
      <c r="CH3" s="27" t="e">
        <f>AND('HepB 3-Dose Primary Series'!#REF!,"AAAAADdnRFU=")</f>
        <v>#REF!</v>
      </c>
      <c r="CI3" s="27" t="e">
        <f>AND('HepB 3-Dose Primary Series'!#REF!,"AAAAADdnRFY=")</f>
        <v>#REF!</v>
      </c>
      <c r="CJ3" s="27" t="e">
        <f>AND('HepB 3-Dose Primary Series'!G16,"AAAAADdnRFc=")</f>
        <v>#VALUE!</v>
      </c>
      <c r="CK3" s="27" t="e">
        <f>AND('HepB 3-Dose Primary Series'!H16,"AAAAADdnRFg=")</f>
        <v>#VALUE!</v>
      </c>
      <c r="CL3" s="27" t="e">
        <f>AND('HepB 3-Dose Primary Series'!#REF!,"AAAAADdnRFk=")</f>
        <v>#REF!</v>
      </c>
      <c r="CM3" s="27">
        <v>0</v>
      </c>
      <c r="CN3" s="27" t="e">
        <f>AND('HepB 3-Dose Primary Series'!A17,"AAAAADdnRFs=")</f>
        <v>#VALUE!</v>
      </c>
      <c r="CO3" s="27" t="e">
        <f>AND('HepB 3-Dose Primary Series'!B16,"AAAAADdnRFw=")</f>
        <v>#VALUE!</v>
      </c>
      <c r="CP3" s="27" t="e">
        <f>AND('HepB 3-Dose Primary Series'!C16,"AAAAADdnRF0=")</f>
        <v>#VALUE!</v>
      </c>
      <c r="CQ3" s="27" t="e">
        <f>AND('HepB 3-Dose Primary Series'!D16,"AAAAADdnRF4=")</f>
        <v>#VALUE!</v>
      </c>
      <c r="CR3" s="27" t="e">
        <f>AND('HepB 3-Dose Primary Series'!E16,"AAAAADdnRF8=")</f>
        <v>#VALUE!</v>
      </c>
      <c r="CS3" s="27" t="e">
        <f>AND('HepB 3-Dose Primary Series'!F16,"AAAAADdnRGA=")</f>
        <v>#VALUE!</v>
      </c>
      <c r="CT3" s="27" t="e">
        <f>AND('HepB 3-Dose Primary Series'!G17,"AAAAADdnRGE=")</f>
        <v>#VALUE!</v>
      </c>
      <c r="CU3" s="27" t="e">
        <f>AND('HepB 3-Dose Primary Series'!H17,"AAAAADdnRGI=")</f>
        <v>#VALUE!</v>
      </c>
      <c r="CV3" s="27" t="e">
        <f>AND('HepB 3-Dose Primary Series'!#REF!,"AAAAADdnRGM=")</f>
        <v>#REF!</v>
      </c>
      <c r="CW3" s="27">
        <v>0</v>
      </c>
      <c r="CX3" s="27" t="e">
        <f>AND('HepB 3-Dose Primary Series'!A18,"AAAAADdnRGU=")</f>
        <v>#VALUE!</v>
      </c>
      <c r="CY3" s="27" t="e">
        <f>AND('HepB 3-Dose Primary Series'!B17,"AAAAADdnRGY=")</f>
        <v>#VALUE!</v>
      </c>
      <c r="CZ3" s="27" t="e">
        <f>AND('HepB 3-Dose Primary Series'!C17,"AAAAADdnRGc=")</f>
        <v>#VALUE!</v>
      </c>
      <c r="DA3" s="27" t="e">
        <f>AND('HepB 3-Dose Primary Series'!D17,"AAAAADdnRGg=")</f>
        <v>#VALUE!</v>
      </c>
      <c r="DB3" s="27" t="e">
        <f>AND('HepB 3-Dose Primary Series'!E17,"AAAAADdnRGk=")</f>
        <v>#VALUE!</v>
      </c>
      <c r="DC3" s="27" t="e">
        <f>AND('HepB 3-Dose Primary Series'!F17,"AAAAADdnRGo=")</f>
        <v>#VALUE!</v>
      </c>
      <c r="DD3" s="27" t="e">
        <f>AND('HepB 3-Dose Primary Series'!G18,"AAAAADdnRGs=")</f>
        <v>#VALUE!</v>
      </c>
      <c r="DE3" s="27" t="e">
        <f>AND('HepB 3-Dose Primary Series'!H18,"AAAAADdnRGw=")</f>
        <v>#VALUE!</v>
      </c>
      <c r="DF3" s="27" t="e">
        <f>AND('HepB 3-Dose Primary Series'!#REF!,"AAAAADdnRG0=")</f>
        <v>#REF!</v>
      </c>
      <c r="DG3" s="27">
        <v>0</v>
      </c>
      <c r="DH3" s="27" t="e">
        <f>AND('HepB 3-Dose Primary Series'!A19,"AAAAADdnRG8=")</f>
        <v>#VALUE!</v>
      </c>
      <c r="DI3" s="27" t="e">
        <f>AND('HepB 3-Dose Primary Series'!B18,"AAAAADdnRHA=")</f>
        <v>#VALUE!</v>
      </c>
      <c r="DJ3" s="27" t="e">
        <f>AND('HepB 3-Dose Primary Series'!C18,"AAAAADdnRHE=")</f>
        <v>#VALUE!</v>
      </c>
      <c r="DK3" s="27" t="e">
        <f>AND('HepB 3-Dose Primary Series'!D18,"AAAAADdnRHI=")</f>
        <v>#VALUE!</v>
      </c>
      <c r="DL3" s="27" t="e">
        <f>AND('HepB 3-Dose Primary Series'!E18,"AAAAADdnRHM=")</f>
        <v>#VALUE!</v>
      </c>
      <c r="DM3" s="27" t="e">
        <f>AND('HepB 3-Dose Primary Series'!F18,"AAAAADdnRHQ=")</f>
        <v>#VALUE!</v>
      </c>
      <c r="DN3" s="27" t="e">
        <f>AND('HepB 3-Dose Primary Series'!G19,"AAAAADdnRHU=")</f>
        <v>#VALUE!</v>
      </c>
      <c r="DO3" s="27" t="e">
        <f>AND('HepB 3-Dose Primary Series'!H19,"AAAAADdnRHY=")</f>
        <v>#VALUE!</v>
      </c>
      <c r="DP3" s="27" t="e">
        <f>AND('HepB 3-Dose Primary Series'!#REF!,"AAAAADdnRHc=")</f>
        <v>#REF!</v>
      </c>
      <c r="DQ3" s="27">
        <v>0</v>
      </c>
      <c r="DR3" s="27" t="e">
        <f>AND('HepB 3-Dose Primary Series'!#REF!,"AAAAADdnRHk=")</f>
        <v>#REF!</v>
      </c>
      <c r="DS3" s="27" t="e">
        <f>AND('HepB 3-Dose Primary Series'!B19,"AAAAADdnRHo=")</f>
        <v>#VALUE!</v>
      </c>
      <c r="DT3" s="27" t="e">
        <f>AND('HepB 3-Dose Primary Series'!C19,"AAAAADdnRHs=")</f>
        <v>#VALUE!</v>
      </c>
      <c r="DU3" s="27" t="e">
        <f>AND('HepB 3-Dose Primary Series'!D19,"AAAAADdnRHw=")</f>
        <v>#VALUE!</v>
      </c>
      <c r="DV3" s="27" t="e">
        <f>AND('HepB 3-Dose Primary Series'!E19,"AAAAADdnRH0=")</f>
        <v>#VALUE!</v>
      </c>
      <c r="DW3" s="27" t="e">
        <f>AND('HepB 3-Dose Primary Series'!F19,"AAAAADdnRH4=")</f>
        <v>#VALUE!</v>
      </c>
      <c r="DX3" s="27" t="e">
        <f>AND('HepB 3-Dose Primary Series'!#REF!,"AAAAADdnRH8=")</f>
        <v>#REF!</v>
      </c>
      <c r="DY3" s="27" t="e">
        <f>AND('HepB 3-Dose Primary Series'!#REF!,"AAAAADdnRIA=")</f>
        <v>#REF!</v>
      </c>
      <c r="DZ3" s="27" t="e">
        <f>AND('HepB 3-Dose Primary Series'!#REF!,"AAAAADdnRIE=")</f>
        <v>#REF!</v>
      </c>
      <c r="EA3" s="27">
        <v>0</v>
      </c>
      <c r="EB3" s="27" t="e">
        <f>AND('HepB 3-Dose Primary Series'!#REF!,"AAAAADdnRIM=")</f>
        <v>#REF!</v>
      </c>
      <c r="EC3" s="27" t="e">
        <f>AND('HepB 3-Dose Primary Series'!#REF!,"AAAAADdnRIQ=")</f>
        <v>#REF!</v>
      </c>
      <c r="ED3" s="27" t="e">
        <f>AND('HepB 3-Dose Primary Series'!#REF!,"AAAAADdnRIU=")</f>
        <v>#REF!</v>
      </c>
      <c r="EE3" s="27" t="e">
        <f>AND('HepB 3-Dose Primary Series'!#REF!,"AAAAADdnRIY=")</f>
        <v>#REF!</v>
      </c>
      <c r="EF3" s="27" t="e">
        <f>AND('HepB 3-Dose Primary Series'!#REF!,"AAAAADdnRIc=")</f>
        <v>#REF!</v>
      </c>
      <c r="EG3" s="27" t="e">
        <f>AND('HepB 3-Dose Primary Series'!#REF!,"AAAAADdnRIg=")</f>
        <v>#REF!</v>
      </c>
      <c r="EH3" s="27" t="e">
        <f>AND('HepB 3-Dose Primary Series'!#REF!,"AAAAADdnRIk=")</f>
        <v>#REF!</v>
      </c>
      <c r="EI3" s="27" t="e">
        <f>AND('HepB 3-Dose Primary Series'!#REF!,"AAAAADdnRIo=")</f>
        <v>#REF!</v>
      </c>
      <c r="EJ3" s="27" t="e">
        <f>AND('HepB 3-Dose Primary Series'!#REF!,"AAAAADdnRIs=")</f>
        <v>#REF!</v>
      </c>
      <c r="EK3" s="27">
        <v>0</v>
      </c>
      <c r="EL3" s="27" t="e">
        <f>AND('HepB 3-Dose Primary Series'!#REF!,"AAAAADdnRI0=")</f>
        <v>#REF!</v>
      </c>
      <c r="EM3" s="27" t="e">
        <f>AND('HepB 3-Dose Primary Series'!#REF!,"AAAAADdnRI4=")</f>
        <v>#REF!</v>
      </c>
      <c r="EN3" s="27" t="e">
        <f>AND('HepB 3-Dose Primary Series'!#REF!,"AAAAADdnRI8=")</f>
        <v>#REF!</v>
      </c>
      <c r="EO3" s="27" t="e">
        <f>AND('HepB 3-Dose Primary Series'!#REF!,"AAAAADdnRJA=")</f>
        <v>#REF!</v>
      </c>
      <c r="EP3" s="27" t="e">
        <f>AND('HepB 3-Dose Primary Series'!#REF!,"AAAAADdnRJE=")</f>
        <v>#REF!</v>
      </c>
      <c r="EQ3" s="27" t="e">
        <f>AND('HepB 3-Dose Primary Series'!#REF!,"AAAAADdnRJI=")</f>
        <v>#REF!</v>
      </c>
      <c r="ER3" s="27" t="e">
        <f>AND('HepB 3-Dose Primary Series'!#REF!,"AAAAADdnRJM=")</f>
        <v>#REF!</v>
      </c>
      <c r="ES3" s="27" t="e">
        <f>AND('HepB 3-Dose Primary Series'!#REF!,"AAAAADdnRJQ=")</f>
        <v>#REF!</v>
      </c>
      <c r="ET3" s="27" t="e">
        <f>AND('HepB 3-Dose Primary Series'!#REF!,"AAAAADdnRJU=")</f>
        <v>#REF!</v>
      </c>
      <c r="EU3" s="27">
        <v>0</v>
      </c>
      <c r="EV3" s="27" t="e">
        <f>AND('HepB 3-Dose Primary Series'!#REF!,"AAAAADdnRJc=")</f>
        <v>#REF!</v>
      </c>
      <c r="EW3" s="27" t="e">
        <f>AND('HepB 3-Dose Primary Series'!#REF!,"AAAAADdnRJg=")</f>
        <v>#REF!</v>
      </c>
      <c r="EX3" s="27" t="e">
        <f>AND('HepB 3-Dose Primary Series'!#REF!,"AAAAADdnRJk=")</f>
        <v>#REF!</v>
      </c>
      <c r="EY3" s="27" t="e">
        <f>AND('HepB 3-Dose Primary Series'!#REF!,"AAAAADdnRJo=")</f>
        <v>#REF!</v>
      </c>
      <c r="EZ3" s="27" t="e">
        <f>AND('HepB 3-Dose Primary Series'!#REF!,"AAAAADdnRJs=")</f>
        <v>#REF!</v>
      </c>
      <c r="FA3" s="27" t="e">
        <f>AND('HepB 3-Dose Primary Series'!#REF!,"AAAAADdnRJw=")</f>
        <v>#REF!</v>
      </c>
      <c r="FB3" s="27" t="e">
        <f>AND('HepB 3-Dose Primary Series'!G20,"AAAAADdnRJ0=")</f>
        <v>#VALUE!</v>
      </c>
      <c r="FC3" s="27" t="e">
        <f>AND('HepB 3-Dose Primary Series'!H20,"AAAAADdnRJ4=")</f>
        <v>#VALUE!</v>
      </c>
      <c r="FD3" s="27" t="e">
        <f>AND('HepB 3-Dose Primary Series'!#REF!,"AAAAADdnRJ8=")</f>
        <v>#REF!</v>
      </c>
      <c r="FE3" s="27">
        <v>0</v>
      </c>
      <c r="FF3" s="27" t="e">
        <f>AND('HepB 3-Dose Primary Series'!A20,"AAAAADdnRKE=")</f>
        <v>#VALUE!</v>
      </c>
      <c r="FG3" s="27" t="e">
        <f>AND('HepB 3-Dose Primary Series'!B20,"AAAAADdnRKI=")</f>
        <v>#VALUE!</v>
      </c>
      <c r="FH3" s="27" t="e">
        <f>AND('HepB 3-Dose Primary Series'!C20,"AAAAADdnRKM=")</f>
        <v>#VALUE!</v>
      </c>
      <c r="FI3" s="27" t="e">
        <f>AND('HepB 3-Dose Primary Series'!D20,"AAAAADdnRKQ=")</f>
        <v>#VALUE!</v>
      </c>
      <c r="FJ3" s="27" t="e">
        <f>AND('HepB 3-Dose Primary Series'!E20,"AAAAADdnRKU=")</f>
        <v>#VALUE!</v>
      </c>
      <c r="FK3" s="27" t="e">
        <f>AND('HepB 3-Dose Primary Series'!F20,"AAAAADdnRKY=")</f>
        <v>#VALUE!</v>
      </c>
      <c r="FL3" s="27" t="e">
        <f>AND('HepB 3-Dose Primary Series'!G21,"AAAAADdnRKc=")</f>
        <v>#VALUE!</v>
      </c>
      <c r="FM3" s="27" t="e">
        <f>AND('HepB 3-Dose Primary Series'!H21,"AAAAADdnRKg=")</f>
        <v>#VALUE!</v>
      </c>
      <c r="FN3" s="27" t="e">
        <f>AND('HepB 3-Dose Primary Series'!#REF!,"AAAAADdnRKk=")</f>
        <v>#REF!</v>
      </c>
      <c r="FO3" s="27">
        <v>0</v>
      </c>
      <c r="FP3" s="27" t="e">
        <f>AND('HepB 3-Dose Primary Series'!A22,"AAAAADdnRKs=")</f>
        <v>#VALUE!</v>
      </c>
      <c r="FQ3" s="27" t="e">
        <f>AND('HepB 3-Dose Primary Series'!B21,"AAAAADdnRKw=")</f>
        <v>#VALUE!</v>
      </c>
      <c r="FR3" s="27" t="e">
        <f>AND('HepB 3-Dose Primary Series'!C21,"AAAAADdnRK0=")</f>
        <v>#VALUE!</v>
      </c>
      <c r="FS3" s="27" t="e">
        <f>AND('HepB 3-Dose Primary Series'!D21,"AAAAADdnRK4=")</f>
        <v>#VALUE!</v>
      </c>
      <c r="FT3" s="27" t="e">
        <f>AND('HepB 3-Dose Primary Series'!E21,"AAAAADdnRK8=")</f>
        <v>#VALUE!</v>
      </c>
      <c r="FU3" s="27" t="e">
        <f>AND('HepB 3-Dose Primary Series'!F21,"AAAAADdnRLA=")</f>
        <v>#VALUE!</v>
      </c>
      <c r="FV3" s="27" t="e">
        <f>AND('HepB 3-Dose Primary Series'!G22,"AAAAADdnRLE=")</f>
        <v>#VALUE!</v>
      </c>
      <c r="FW3" s="27" t="e">
        <f>AND('HepB 3-Dose Primary Series'!H22,"AAAAADdnRLI=")</f>
        <v>#VALUE!</v>
      </c>
      <c r="FX3" s="27" t="e">
        <f>AND('HepB 3-Dose Primary Series'!#REF!,"AAAAADdnRLM=")</f>
        <v>#REF!</v>
      </c>
      <c r="FY3" s="27">
        <v>0</v>
      </c>
      <c r="FZ3" s="27" t="e">
        <f>AND('HepB 3-Dose Primary Series'!A23,"AAAAADdnRLU=")</f>
        <v>#VALUE!</v>
      </c>
      <c r="GA3" s="27" t="e">
        <f>AND('HepB 3-Dose Primary Series'!B22,"AAAAADdnRLY=")</f>
        <v>#VALUE!</v>
      </c>
      <c r="GB3" s="27" t="e">
        <f>AND('HepB 3-Dose Primary Series'!C22,"AAAAADdnRLc=")</f>
        <v>#VALUE!</v>
      </c>
      <c r="GC3" s="27" t="e">
        <f>AND('HepB 3-Dose Primary Series'!D22,"AAAAADdnRLg=")</f>
        <v>#VALUE!</v>
      </c>
      <c r="GD3" s="27" t="e">
        <f>AND('HepB 3-Dose Primary Series'!E22,"AAAAADdnRLk=")</f>
        <v>#VALUE!</v>
      </c>
      <c r="GE3" s="27" t="e">
        <f>AND('HepB 3-Dose Primary Series'!F22,"AAAAADdnRLo=")</f>
        <v>#VALUE!</v>
      </c>
      <c r="GF3" s="27" t="e">
        <f>AND('HepB 3-Dose Primary Series'!G23,"AAAAADdnRLs=")</f>
        <v>#VALUE!</v>
      </c>
      <c r="GG3" s="27" t="e">
        <f>AND('HepB 3-Dose Primary Series'!H23,"AAAAADdnRLw=")</f>
        <v>#VALUE!</v>
      </c>
      <c r="GH3" s="27" t="e">
        <f>AND('HepB 3-Dose Primary Series'!#REF!,"AAAAADdnRL0=")</f>
        <v>#REF!</v>
      </c>
      <c r="GI3" s="27">
        <v>0</v>
      </c>
      <c r="GJ3" s="27" t="e">
        <f>AND('HepB 3-Dose Primary Series'!A24,"AAAAADdnRL8=")</f>
        <v>#VALUE!</v>
      </c>
      <c r="GK3" s="27" t="e">
        <f>AND('HepB 3-Dose Primary Series'!B23,"AAAAADdnRMA=")</f>
        <v>#VALUE!</v>
      </c>
      <c r="GL3" s="27" t="e">
        <f>AND('HepB 3-Dose Primary Series'!C23,"AAAAADdnRME=")</f>
        <v>#VALUE!</v>
      </c>
      <c r="GM3" s="27" t="e">
        <f>AND('HepB 3-Dose Primary Series'!D23,"AAAAADdnRMI=")</f>
        <v>#VALUE!</v>
      </c>
      <c r="GN3" s="27" t="e">
        <f>AND('HepB 3-Dose Primary Series'!E23,"AAAAADdnRMM=")</f>
        <v>#VALUE!</v>
      </c>
      <c r="GO3" s="27" t="e">
        <f>AND('HepB 3-Dose Primary Series'!F23,"AAAAADdnRMQ=")</f>
        <v>#VALUE!</v>
      </c>
      <c r="GP3" s="27" t="e">
        <f>AND('HepB 3-Dose Primary Series'!G24,"AAAAADdnRMU=")</f>
        <v>#VALUE!</v>
      </c>
      <c r="GQ3" s="27" t="e">
        <f>AND('HepB 3-Dose Primary Series'!H24,"AAAAADdnRMY=")</f>
        <v>#VALUE!</v>
      </c>
      <c r="GR3" s="27" t="e">
        <f>AND('HepB 3-Dose Primary Series'!#REF!,"AAAAADdnRMc=")</f>
        <v>#REF!</v>
      </c>
      <c r="GS3" s="27">
        <v>0</v>
      </c>
      <c r="GT3" s="27" t="e">
        <f>AND('HepB 3-Dose Primary Series'!A28,"AAAAADdnRMk=")</f>
        <v>#VALUE!</v>
      </c>
      <c r="GU3" s="27" t="e">
        <f>AND('HepB 3-Dose Primary Series'!B24,"AAAAADdnRMo=")</f>
        <v>#VALUE!</v>
      </c>
      <c r="GV3" s="27" t="e">
        <f>AND('HepB 3-Dose Primary Series'!C24,"AAAAADdnRMs=")</f>
        <v>#VALUE!</v>
      </c>
      <c r="GW3" s="27" t="e">
        <f>AND('HepB 3-Dose Primary Series'!D24,"AAAAADdnRMw=")</f>
        <v>#VALUE!</v>
      </c>
      <c r="GX3" s="27" t="e">
        <f>AND('HepB 3-Dose Primary Series'!E24,"AAAAADdnRM0=")</f>
        <v>#VALUE!</v>
      </c>
      <c r="GY3" s="27" t="e">
        <f>AND('HepB 3-Dose Primary Series'!F24,"AAAAADdnRM4=")</f>
        <v>#VALUE!</v>
      </c>
      <c r="GZ3" s="27" t="e">
        <f>AND('HepB 3-Dose Primary Series'!G28,"AAAAADdnRM8=")</f>
        <v>#VALUE!</v>
      </c>
      <c r="HA3" s="27" t="e">
        <f>AND('HepB 3-Dose Primary Series'!H28,"AAAAADdnRNA=")</f>
        <v>#VALUE!</v>
      </c>
      <c r="HB3" s="27" t="e">
        <f>AND('HepB 3-Dose Primary Series'!#REF!,"AAAAADdnRNE=")</f>
        <v>#REF!</v>
      </c>
      <c r="HC3" s="27">
        <v>0</v>
      </c>
      <c r="HD3" s="27" t="e">
        <f>AND('HepB 3-Dose Primary Series'!A29,"AAAAADdnRNM=")</f>
        <v>#VALUE!</v>
      </c>
      <c r="HE3" s="27" t="e">
        <f>AND('HepB 3-Dose Primary Series'!B28,"AAAAADdnRNQ=")</f>
        <v>#VALUE!</v>
      </c>
      <c r="HF3" s="27" t="e">
        <f>AND('HepB 3-Dose Primary Series'!C28,"AAAAADdnRNU=")</f>
        <v>#VALUE!</v>
      </c>
      <c r="HG3" s="27" t="e">
        <f>AND('HepB 3-Dose Primary Series'!D28,"AAAAADdnRNY=")</f>
        <v>#VALUE!</v>
      </c>
      <c r="HH3" s="27" t="e">
        <f>AND('HepB 3-Dose Primary Series'!E28,"AAAAADdnRNc=")</f>
        <v>#VALUE!</v>
      </c>
      <c r="HI3" s="27" t="e">
        <f>AND('HepB 3-Dose Primary Series'!F28,"AAAAADdnRNg=")</f>
        <v>#VALUE!</v>
      </c>
      <c r="HJ3" s="27" t="e">
        <f>AND('HepB 3-Dose Primary Series'!G29,"AAAAADdnRNk=")</f>
        <v>#VALUE!</v>
      </c>
      <c r="HK3" s="27" t="e">
        <f>AND('HepB 3-Dose Primary Series'!H29,"AAAAADdnRNo=")</f>
        <v>#VALUE!</v>
      </c>
      <c r="HL3" s="27" t="e">
        <f>AND('HepB 3-Dose Primary Series'!#REF!,"AAAAADdnRNs=")</f>
        <v>#REF!</v>
      </c>
      <c r="HM3" s="27">
        <v>0</v>
      </c>
      <c r="HN3" s="27" t="e">
        <f>AND('HepB 3-Dose Primary Series'!A31,"AAAAADdnRN0=")</f>
        <v>#VALUE!</v>
      </c>
      <c r="HO3" s="27" t="e">
        <f>AND('HepB 3-Dose Primary Series'!B29,"AAAAADdnRN4=")</f>
        <v>#VALUE!</v>
      </c>
      <c r="HP3" s="27" t="e">
        <f>AND('HepB 3-Dose Primary Series'!C29,"AAAAADdnRN8=")</f>
        <v>#VALUE!</v>
      </c>
      <c r="HQ3" s="27" t="e">
        <f>AND('HepB 3-Dose Primary Series'!D29,"AAAAADdnROA=")</f>
        <v>#VALUE!</v>
      </c>
      <c r="HR3" s="27" t="e">
        <f>AND('HepB 3-Dose Primary Series'!E29,"AAAAADdnROE=")</f>
        <v>#VALUE!</v>
      </c>
      <c r="HS3" s="27" t="e">
        <f>AND('HepB 3-Dose Primary Series'!F29,"AAAAADdnROI=")</f>
        <v>#VALUE!</v>
      </c>
      <c r="HT3" s="27" t="e">
        <f>AND('HepB 3-Dose Primary Series'!G31,"AAAAADdnROM=")</f>
        <v>#VALUE!</v>
      </c>
      <c r="HU3" s="27" t="e">
        <f>AND('HepB 3-Dose Primary Series'!H31,"AAAAADdnROQ=")</f>
        <v>#VALUE!</v>
      </c>
      <c r="HV3" s="27" t="e">
        <f>AND('HepB 3-Dose Primary Series'!#REF!,"AAAAADdnROU=")</f>
        <v>#REF!</v>
      </c>
      <c r="HW3" s="27">
        <v>0</v>
      </c>
      <c r="HX3" s="27" t="e">
        <f>AND('HepB 3-Dose Primary Series'!#REF!,"AAAAADdnROc=")</f>
        <v>#REF!</v>
      </c>
      <c r="HY3" s="27" t="e">
        <f>AND('HepB 3-Dose Primary Series'!B31,"AAAAADdnROg=")</f>
        <v>#VALUE!</v>
      </c>
      <c r="HZ3" s="27" t="e">
        <f>AND('HepB 3-Dose Primary Series'!C31,"AAAAADdnROk=")</f>
        <v>#VALUE!</v>
      </c>
      <c r="IA3" s="27" t="e">
        <f>AND('HepB 3-Dose Primary Series'!D31,"AAAAADdnROo=")</f>
        <v>#VALUE!</v>
      </c>
      <c r="IB3" s="27" t="e">
        <f>AND('HepB 3-Dose Primary Series'!E31,"AAAAADdnROs=")</f>
        <v>#VALUE!</v>
      </c>
      <c r="IC3" s="27" t="e">
        <f>AND('HepB 3-Dose Primary Series'!F31,"AAAAADdnROw=")</f>
        <v>#VALUE!</v>
      </c>
      <c r="ID3" s="27" t="e">
        <f>AND('HepB 3-Dose Primary Series'!#REF!,"AAAAADdnRO0=")</f>
        <v>#REF!</v>
      </c>
      <c r="IE3" s="27" t="e">
        <f>AND('HepB 3-Dose Primary Series'!#REF!,"AAAAADdnRO4=")</f>
        <v>#REF!</v>
      </c>
      <c r="IF3" s="27" t="e">
        <f>AND('HepB 3-Dose Primary Series'!#REF!,"AAAAADdnRO8=")</f>
        <v>#REF!</v>
      </c>
      <c r="IG3" s="27" t="e">
        <f>IF('HepB 3-Dose Primary Series'!#REF!,"AAAAADdnRPA=",0)</f>
        <v>#REF!</v>
      </c>
      <c r="IH3" s="27" t="e">
        <f>AND('HepB 3-Dose Primary Series'!#REF!,"AAAAADdnRPE=")</f>
        <v>#REF!</v>
      </c>
      <c r="II3" s="27" t="e">
        <f>AND('HepB 3-Dose Primary Series'!#REF!,"AAAAADdnRPI=")</f>
        <v>#REF!</v>
      </c>
      <c r="IJ3" s="27" t="e">
        <f>AND('HepB 3-Dose Primary Series'!#REF!,"AAAAADdnRPM=")</f>
        <v>#REF!</v>
      </c>
      <c r="IK3" s="27" t="e">
        <f>AND('HepB 3-Dose Primary Series'!#REF!,"AAAAADdnRPQ=")</f>
        <v>#REF!</v>
      </c>
      <c r="IL3" s="27" t="e">
        <f>AND('HepB 3-Dose Primary Series'!#REF!,"AAAAADdnRPU=")</f>
        <v>#REF!</v>
      </c>
      <c r="IM3" s="27" t="e">
        <f>AND('HepB 3-Dose Primary Series'!#REF!,"AAAAADdnRPY=")</f>
        <v>#REF!</v>
      </c>
      <c r="IN3" s="27" t="e">
        <f>AND('HepB 3-Dose Primary Series'!#REF!,"AAAAADdnRPc=")</f>
        <v>#REF!</v>
      </c>
      <c r="IO3" s="27" t="e">
        <f>AND('HepB 3-Dose Primary Series'!#REF!,"AAAAADdnRPg=")</f>
        <v>#REF!</v>
      </c>
      <c r="IP3" s="27" t="e">
        <f>AND('HepB 3-Dose Primary Series'!#REF!,"AAAAADdnRPk=")</f>
        <v>#REF!</v>
      </c>
      <c r="IQ3" s="27" t="e">
        <f>IF('HepB 3-Dose Primary Series'!#REF!,"AAAAADdnRPo=",0)</f>
        <v>#REF!</v>
      </c>
      <c r="IR3" s="27" t="e">
        <f>AND('HepB 3-Dose Primary Series'!#REF!,"AAAAADdnRPs=")</f>
        <v>#REF!</v>
      </c>
      <c r="IS3" s="27" t="e">
        <f>AND('HepB 3-Dose Primary Series'!#REF!,"AAAAADdnRPw=")</f>
        <v>#REF!</v>
      </c>
      <c r="IT3" s="27" t="e">
        <f>AND('HepB 3-Dose Primary Series'!#REF!,"AAAAADdnRP0=")</f>
        <v>#REF!</v>
      </c>
      <c r="IU3" s="27" t="e">
        <f>AND('HepB 3-Dose Primary Series'!#REF!,"AAAAADdnRP4=")</f>
        <v>#REF!</v>
      </c>
      <c r="IV3" s="27" t="e">
        <f>AND('HepB 3-Dose Primary Series'!#REF!,"AAAAADdnRP8=")</f>
        <v>#REF!</v>
      </c>
    </row>
    <row r="4" spans="1:256" ht="12.75" customHeight="1" x14ac:dyDescent="0.2">
      <c r="A4" s="27" t="e">
        <f>AND('HepB 3-Dose Primary Series'!#REF!,"AAAAAG/3qQA=")</f>
        <v>#REF!</v>
      </c>
      <c r="B4" s="27" t="e">
        <f>AND('HepB 3-Dose Primary Series'!#REF!,"AAAAAG/3qQE=")</f>
        <v>#REF!</v>
      </c>
      <c r="C4" s="27" t="e">
        <f>AND('HepB 3-Dose Primary Series'!#REF!,"AAAAAG/3qQI=")</f>
        <v>#REF!</v>
      </c>
      <c r="D4" s="27" t="e">
        <f>AND('HepB 3-Dose Primary Series'!#REF!,"AAAAAG/3qQM=")</f>
        <v>#REF!</v>
      </c>
      <c r="E4" s="27" t="e">
        <f>IF('HepB 3-Dose Primary Series'!#REF!,"AAAAAG/3qQQ=",0)</f>
        <v>#REF!</v>
      </c>
      <c r="F4" s="27" t="e">
        <f>AND('HepB 3-Dose Primary Series'!#REF!,"AAAAAG/3qQU=")</f>
        <v>#REF!</v>
      </c>
      <c r="G4" s="27" t="e">
        <f>AND('HepB 3-Dose Primary Series'!#REF!,"AAAAAG/3qQY=")</f>
        <v>#REF!</v>
      </c>
      <c r="H4" s="27" t="e">
        <f>AND('HepB 3-Dose Primary Series'!#REF!,"AAAAAG/3qQc=")</f>
        <v>#REF!</v>
      </c>
      <c r="I4" s="27" t="e">
        <f>AND('HepB 3-Dose Primary Series'!#REF!,"AAAAAG/3qQg=")</f>
        <v>#REF!</v>
      </c>
      <c r="J4" s="27" t="e">
        <f>AND('HepB 3-Dose Primary Series'!#REF!,"AAAAAG/3qQk=")</f>
        <v>#REF!</v>
      </c>
      <c r="K4" s="27" t="e">
        <f>AND('HepB 3-Dose Primary Series'!#REF!,"AAAAAG/3qQo=")</f>
        <v>#REF!</v>
      </c>
      <c r="L4" s="27" t="e">
        <f>AND('HepB 3-Dose Primary Series'!#REF!,"AAAAAG/3qQs=")</f>
        <v>#REF!</v>
      </c>
      <c r="M4" s="27" t="e">
        <f>AND('HepB 3-Dose Primary Series'!#REF!,"AAAAAG/3qQw=")</f>
        <v>#REF!</v>
      </c>
      <c r="N4" s="27" t="e">
        <f>AND('HepB 3-Dose Primary Series'!#REF!,"AAAAAG/3qQ0=")</f>
        <v>#REF!</v>
      </c>
      <c r="O4" s="27">
        <v>0</v>
      </c>
      <c r="P4" s="27" t="e">
        <f>AND('HepB 3-Dose Primary Series'!#REF!,"AAAAAG/3qQ8=")</f>
        <v>#REF!</v>
      </c>
      <c r="Q4" s="27" t="e">
        <f>AND('HepB 3-Dose Primary Series'!#REF!,"AAAAAG/3qRA=")</f>
        <v>#REF!</v>
      </c>
      <c r="R4" s="27" t="e">
        <f>AND('HepB 3-Dose Primary Series'!#REF!,"AAAAAG/3qRE=")</f>
        <v>#REF!</v>
      </c>
      <c r="S4" s="27" t="e">
        <f>AND('HepB 3-Dose Primary Series'!#REF!,"AAAAAG/3qRI=")</f>
        <v>#REF!</v>
      </c>
      <c r="T4" s="27" t="e">
        <f>AND('HepB 3-Dose Primary Series'!#REF!,"AAAAAG/3qRM=")</f>
        <v>#REF!</v>
      </c>
      <c r="U4" s="27" t="e">
        <f>AND('HepB 3-Dose Primary Series'!#REF!,"AAAAAG/3qRQ=")</f>
        <v>#REF!</v>
      </c>
      <c r="V4" s="27" t="e">
        <f>AND('HepB 3-Dose Primary Series'!#REF!,"AAAAAG/3qRU=")</f>
        <v>#REF!</v>
      </c>
      <c r="W4" s="27" t="e">
        <f>AND('HepB 3-Dose Primary Series'!#REF!,"AAAAAG/3qRY=")</f>
        <v>#REF!</v>
      </c>
      <c r="X4" s="27" t="e">
        <f>AND('HepB 3-Dose Primary Series'!#REF!,"AAAAAG/3qRc=")</f>
        <v>#REF!</v>
      </c>
      <c r="Y4" s="27">
        <v>0</v>
      </c>
      <c r="Z4" s="27" t="e">
        <f>AND('HepB 3-Dose Primary Series'!#REF!,"AAAAAG/3qRk=")</f>
        <v>#REF!</v>
      </c>
      <c r="AA4" s="27" t="e">
        <f>AND('HepB 3-Dose Primary Series'!#REF!,"AAAAAG/3qRo=")</f>
        <v>#REF!</v>
      </c>
      <c r="AB4" s="27" t="e">
        <f>AND('HepB 3-Dose Primary Series'!#REF!,"AAAAAG/3qRs=")</f>
        <v>#REF!</v>
      </c>
      <c r="AC4" s="27" t="e">
        <f>AND('HepB 3-Dose Primary Series'!#REF!,"AAAAAG/3qRw=")</f>
        <v>#REF!</v>
      </c>
      <c r="AD4" s="27" t="e">
        <f>AND('HepB 3-Dose Primary Series'!#REF!,"AAAAAG/3qR0=")</f>
        <v>#REF!</v>
      </c>
      <c r="AE4" s="27" t="e">
        <f>AND('HepB 3-Dose Primary Series'!#REF!,"AAAAAG/3qR4=")</f>
        <v>#REF!</v>
      </c>
      <c r="AF4" s="27" t="e">
        <f>AND('HepB 3-Dose Primary Series'!#REF!,"AAAAAG/3qR8=")</f>
        <v>#REF!</v>
      </c>
      <c r="AG4" s="27" t="e">
        <f>AND('HepB 3-Dose Primary Series'!#REF!,"AAAAAG/3qSA=")</f>
        <v>#REF!</v>
      </c>
      <c r="AH4" s="27" t="e">
        <f>AND('HepB 3-Dose Primary Series'!#REF!,"AAAAAG/3qSE=")</f>
        <v>#REF!</v>
      </c>
      <c r="AI4" s="27">
        <v>0</v>
      </c>
      <c r="AJ4" s="27" t="e">
        <f>AND('HepB 3-Dose Primary Series'!A34,"AAAAAG/3qSM=")</f>
        <v>#VALUE!</v>
      </c>
      <c r="AK4" s="27" t="e">
        <f>AND('HepB 3-Dose Primary Series'!#REF!,"AAAAAG/3qSQ=")</f>
        <v>#REF!</v>
      </c>
      <c r="AL4" s="27" t="e">
        <f>AND('HepB 3-Dose Primary Series'!#REF!,"AAAAAG/3qSU=")</f>
        <v>#REF!</v>
      </c>
      <c r="AM4" s="27" t="e">
        <f>AND('HepB 3-Dose Primary Series'!#REF!,"AAAAAG/3qSY=")</f>
        <v>#REF!</v>
      </c>
      <c r="AN4" s="27" t="e">
        <f>AND('HepB 3-Dose Primary Series'!#REF!,"AAAAAG/3qSc=")</f>
        <v>#REF!</v>
      </c>
      <c r="AO4" s="27" t="e">
        <f>AND('HepB 3-Dose Primary Series'!#REF!,"AAAAAG/3qSg=")</f>
        <v>#REF!</v>
      </c>
      <c r="AP4" s="27" t="e">
        <f>AND('HepB 3-Dose Primary Series'!G34,"AAAAAG/3qSk=")</f>
        <v>#VALUE!</v>
      </c>
      <c r="AQ4" s="27" t="e">
        <f>AND('HepB 3-Dose Primary Series'!H34,"AAAAAG/3qSo=")</f>
        <v>#VALUE!</v>
      </c>
      <c r="AR4" s="27" t="e">
        <f>AND('HepB 3-Dose Primary Series'!#REF!,"AAAAAG/3qSs=")</f>
        <v>#REF!</v>
      </c>
      <c r="AS4" s="27">
        <v>0</v>
      </c>
      <c r="AT4" s="27" t="e">
        <f>AND('HepB 3-Dose Primary Series'!A35,"AAAAAG/3qS0=")</f>
        <v>#VALUE!</v>
      </c>
      <c r="AU4" s="27" t="e">
        <f>AND('HepB 3-Dose Primary Series'!#REF!,"AAAAAG/3qS4=")</f>
        <v>#REF!</v>
      </c>
      <c r="AV4" s="27" t="e">
        <f>AND('HepB 3-Dose Primary Series'!#REF!,"AAAAAG/3qS8=")</f>
        <v>#REF!</v>
      </c>
      <c r="AW4" s="27" t="e">
        <f>AND('HepB 3-Dose Primary Series'!#REF!,"AAAAAG/3qTA=")</f>
        <v>#REF!</v>
      </c>
      <c r="AX4" s="27" t="e">
        <f>AND('HepB 3-Dose Primary Series'!E34,"AAAAAG/3qTE=")</f>
        <v>#VALUE!</v>
      </c>
      <c r="AY4" s="27" t="e">
        <f>AND('HepB 3-Dose Primary Series'!F34,"AAAAAG/3qTI=")</f>
        <v>#VALUE!</v>
      </c>
      <c r="AZ4" s="27" t="e">
        <f>AND('HepB 3-Dose Primary Series'!G35,"AAAAAG/3qTM=")</f>
        <v>#VALUE!</v>
      </c>
      <c r="BA4" s="27" t="e">
        <f>AND('HepB 3-Dose Primary Series'!H35,"AAAAAG/3qTQ=")</f>
        <v>#VALUE!</v>
      </c>
      <c r="BB4" s="27" t="e">
        <f>AND('HepB 3-Dose Primary Series'!#REF!,"AAAAAG/3qTU=")</f>
        <v>#REF!</v>
      </c>
      <c r="BC4" s="27">
        <v>0</v>
      </c>
      <c r="BD4" s="27" t="e">
        <f>AND('HepB 3-Dose Primary Series'!#REF!,"AAAAAG/3qTc=")</f>
        <v>#REF!</v>
      </c>
      <c r="BE4" s="27" t="e">
        <f>AND('HepB 3-Dose Primary Series'!B34,"AAAAAG/3qTg=")</f>
        <v>#VALUE!</v>
      </c>
      <c r="BF4" s="27" t="e">
        <f>AND('HepB 3-Dose Primary Series'!C34,"AAAAAG/3qTk=")</f>
        <v>#VALUE!</v>
      </c>
      <c r="BG4" s="27" t="e">
        <f>AND('HepB 3-Dose Primary Series'!D34,"AAAAAG/3qTo=")</f>
        <v>#VALUE!</v>
      </c>
      <c r="BH4" s="27" t="e">
        <f>AND('HepB 3-Dose Primary Series'!E35,"AAAAAG/3qTs=")</f>
        <v>#VALUE!</v>
      </c>
      <c r="BI4" s="27" t="e">
        <f>AND('HepB 3-Dose Primary Series'!F35,"AAAAAG/3qTw=")</f>
        <v>#VALUE!</v>
      </c>
      <c r="BJ4" s="27" t="e">
        <f>AND('HepB 3-Dose Primary Series'!#REF!,"AAAAAG/3qT0=")</f>
        <v>#REF!</v>
      </c>
      <c r="BK4" s="27" t="e">
        <f>AND('HepB 3-Dose Primary Series'!#REF!,"AAAAAG/3qT4=")</f>
        <v>#REF!</v>
      </c>
      <c r="BL4" s="27" t="e">
        <f>AND('HepB 3-Dose Primary Series'!#REF!,"AAAAAG/3qT8=")</f>
        <v>#REF!</v>
      </c>
      <c r="BM4" s="27">
        <v>0</v>
      </c>
      <c r="BN4" s="27" t="e">
        <f>AND('HepB 3-Dose Primary Series'!#REF!,"AAAAAG/3qUE=")</f>
        <v>#REF!</v>
      </c>
      <c r="BO4" s="27" t="e">
        <f>AND('HepB 3-Dose Primary Series'!B35,"AAAAAG/3qUI=")</f>
        <v>#VALUE!</v>
      </c>
      <c r="BP4" s="27" t="e">
        <f>AND('HepB 3-Dose Primary Series'!C35,"AAAAAG/3qUM=")</f>
        <v>#VALUE!</v>
      </c>
      <c r="BQ4" s="27" t="e">
        <f>AND('HepB 3-Dose Primary Series'!D35,"AAAAAG/3qUQ=")</f>
        <v>#VALUE!</v>
      </c>
      <c r="BR4" s="27" t="e">
        <f>AND('HepB 3-Dose Primary Series'!#REF!,"AAAAAG/3qUU=")</f>
        <v>#REF!</v>
      </c>
      <c r="BS4" s="27" t="e">
        <f>AND('HepB 3-Dose Primary Series'!#REF!,"AAAAAG/3qUY=")</f>
        <v>#REF!</v>
      </c>
      <c r="BT4" s="27" t="e">
        <f>AND('HepB 3-Dose Primary Series'!#REF!,"AAAAAG/3qUc=")</f>
        <v>#REF!</v>
      </c>
      <c r="BU4" s="27" t="e">
        <f>AND('HepB 3-Dose Primary Series'!#REF!,"AAAAAG/3qUg=")</f>
        <v>#REF!</v>
      </c>
      <c r="BV4" s="27" t="e">
        <f>AND('HepB 3-Dose Primary Series'!#REF!,"AAAAAG/3qUk=")</f>
        <v>#REF!</v>
      </c>
      <c r="BW4" s="27">
        <v>0</v>
      </c>
      <c r="BX4" s="27" t="e">
        <f>AND('HepB 3-Dose Primary Series'!A36,"AAAAAG/3qUs=")</f>
        <v>#VALUE!</v>
      </c>
      <c r="BY4" s="27" t="e">
        <f>AND('HepB 3-Dose Primary Series'!#REF!,"AAAAAG/3qUw=")</f>
        <v>#REF!</v>
      </c>
      <c r="BZ4" s="27" t="e">
        <f>AND('HepB 3-Dose Primary Series'!#REF!,"AAAAAG/3qU0=")</f>
        <v>#REF!</v>
      </c>
      <c r="CA4" s="27" t="e">
        <f>AND('HepB 3-Dose Primary Series'!#REF!,"AAAAAG/3qU4=")</f>
        <v>#REF!</v>
      </c>
      <c r="CB4" s="27" t="e">
        <f>AND('HepB 3-Dose Primary Series'!#REF!,"AAAAAG/3qU8=")</f>
        <v>#REF!</v>
      </c>
      <c r="CC4" s="27" t="e">
        <f>AND('HepB 3-Dose Primary Series'!#REF!,"AAAAAG/3qVA=")</f>
        <v>#REF!</v>
      </c>
      <c r="CD4" s="27" t="e">
        <f>AND('HepB 3-Dose Primary Series'!G36,"AAAAAG/3qVE=")</f>
        <v>#VALUE!</v>
      </c>
      <c r="CE4" s="27" t="e">
        <f>AND('HepB 3-Dose Primary Series'!H36,"AAAAAG/3qVI=")</f>
        <v>#VALUE!</v>
      </c>
      <c r="CF4" s="27" t="e">
        <f>AND('HepB 3-Dose Primary Series'!#REF!,"AAAAAG/3qVM=")</f>
        <v>#REF!</v>
      </c>
      <c r="CG4" s="27">
        <v>0</v>
      </c>
      <c r="CH4" s="27" t="e">
        <f>AND('HepB 3-Dose Primary Series'!A37,"AAAAAG/3qVU=")</f>
        <v>#VALUE!</v>
      </c>
      <c r="CI4" s="27" t="e">
        <f>AND('HepB 3-Dose Primary Series'!#REF!,"AAAAAG/3qVY=")</f>
        <v>#REF!</v>
      </c>
      <c r="CJ4" s="27" t="e">
        <f>AND('HepB 3-Dose Primary Series'!#REF!,"AAAAAG/3qVc=")</f>
        <v>#REF!</v>
      </c>
      <c r="CK4" s="27" t="e">
        <f>AND('HepB 3-Dose Primary Series'!#REF!,"AAAAAG/3qVg=")</f>
        <v>#REF!</v>
      </c>
      <c r="CL4" s="27" t="e">
        <f>AND('HepB 3-Dose Primary Series'!E36,"AAAAAG/3qVk=")</f>
        <v>#VALUE!</v>
      </c>
      <c r="CM4" s="27" t="e">
        <f>AND('HepB 3-Dose Primary Series'!F36,"AAAAAG/3qVo=")</f>
        <v>#VALUE!</v>
      </c>
      <c r="CN4" s="27" t="e">
        <f>AND('HepB 3-Dose Primary Series'!G37,"AAAAAG/3qVs=")</f>
        <v>#VALUE!</v>
      </c>
      <c r="CO4" s="27" t="e">
        <f>AND('HepB 3-Dose Primary Series'!H37,"AAAAAG/3qVw=")</f>
        <v>#VALUE!</v>
      </c>
      <c r="CP4" s="27" t="e">
        <f>AND('HepB 3-Dose Primary Series'!#REF!,"AAAAAG/3qV0=")</f>
        <v>#REF!</v>
      </c>
      <c r="CQ4" s="27">
        <v>0</v>
      </c>
      <c r="CR4" s="27" t="e">
        <f>AND('HepB 3-Dose Primary Series'!#REF!,"AAAAAG/3qV8=")</f>
        <v>#REF!</v>
      </c>
      <c r="CS4" s="27" t="e">
        <f>AND('HepB 3-Dose Primary Series'!B36,"AAAAAG/3qWA=")</f>
        <v>#VALUE!</v>
      </c>
      <c r="CT4" s="27" t="e">
        <f>AND('HepB 3-Dose Primary Series'!C36,"AAAAAG/3qWE=")</f>
        <v>#VALUE!</v>
      </c>
      <c r="CU4" s="27" t="e">
        <f>AND('HepB 3-Dose Primary Series'!D36,"AAAAAG/3qWI=")</f>
        <v>#VALUE!</v>
      </c>
      <c r="CV4" s="27" t="e">
        <f>AND('HepB 3-Dose Primary Series'!E37,"AAAAAG/3qWM=")</f>
        <v>#VALUE!</v>
      </c>
      <c r="CW4" s="27" t="e">
        <f>AND('HepB 3-Dose Primary Series'!F37,"AAAAAG/3qWQ=")</f>
        <v>#VALUE!</v>
      </c>
      <c r="CX4" s="27" t="e">
        <f>AND('HepB 3-Dose Primary Series'!#REF!,"AAAAAG/3qWU=")</f>
        <v>#REF!</v>
      </c>
      <c r="CY4" s="27" t="e">
        <f>AND('HepB 3-Dose Primary Series'!#REF!,"AAAAAG/3qWY=")</f>
        <v>#REF!</v>
      </c>
      <c r="CZ4" s="27" t="e">
        <f>AND('HepB 3-Dose Primary Series'!#REF!,"AAAAAG/3qWc=")</f>
        <v>#REF!</v>
      </c>
      <c r="DA4" s="27">
        <v>0</v>
      </c>
      <c r="DB4" s="27" t="e">
        <f>AND('HepB 3-Dose Primary Series'!#REF!,"AAAAAG/3qWk=")</f>
        <v>#REF!</v>
      </c>
      <c r="DC4" s="27" t="e">
        <f>AND('HepB 3-Dose Primary Series'!B37,"AAAAAG/3qWo=")</f>
        <v>#VALUE!</v>
      </c>
      <c r="DD4" s="27" t="e">
        <f>AND('HepB 3-Dose Primary Series'!C37,"AAAAAG/3qWs=")</f>
        <v>#VALUE!</v>
      </c>
      <c r="DE4" s="27" t="e">
        <f>AND('HepB 3-Dose Primary Series'!D37,"AAAAAG/3qWw=")</f>
        <v>#VALUE!</v>
      </c>
      <c r="DF4" s="27" t="e">
        <f>AND('HepB 3-Dose Primary Series'!#REF!,"AAAAAG/3qW0=")</f>
        <v>#REF!</v>
      </c>
      <c r="DG4" s="27" t="e">
        <f>AND('HepB 3-Dose Primary Series'!#REF!,"AAAAAG/3qW4=")</f>
        <v>#REF!</v>
      </c>
      <c r="DH4" s="27" t="e">
        <f>AND('HepB 3-Dose Primary Series'!#REF!,"AAAAAG/3qW8=")</f>
        <v>#REF!</v>
      </c>
      <c r="DI4" s="27" t="e">
        <f>AND('HepB 3-Dose Primary Series'!#REF!,"AAAAAG/3qXA=")</f>
        <v>#REF!</v>
      </c>
      <c r="DJ4" s="27" t="e">
        <f>AND('HepB 3-Dose Primary Series'!#REF!,"AAAAAG/3qXE=")</f>
        <v>#REF!</v>
      </c>
      <c r="DK4" s="27">
        <v>0</v>
      </c>
      <c r="DL4" s="27" t="e">
        <f>AND('HepB 3-Dose Primary Series'!A38,"AAAAAG/3qXM=")</f>
        <v>#VALUE!</v>
      </c>
      <c r="DM4" s="27" t="e">
        <f>AND('HepB 3-Dose Primary Series'!#REF!,"AAAAAG/3qXQ=")</f>
        <v>#REF!</v>
      </c>
      <c r="DN4" s="27" t="e">
        <f>AND('HepB 3-Dose Primary Series'!#REF!,"AAAAAG/3qXU=")</f>
        <v>#REF!</v>
      </c>
      <c r="DO4" s="27" t="e">
        <f>AND('HepB 3-Dose Primary Series'!#REF!,"AAAAAG/3qXY=")</f>
        <v>#REF!</v>
      </c>
      <c r="DP4" s="27" t="e">
        <f>AND('HepB 3-Dose Primary Series'!#REF!,"AAAAAG/3qXc=")</f>
        <v>#REF!</v>
      </c>
      <c r="DQ4" s="27" t="e">
        <f>AND('HepB 3-Dose Primary Series'!#REF!,"AAAAAG/3qXg=")</f>
        <v>#REF!</v>
      </c>
      <c r="DR4" s="27" t="e">
        <f>AND('HepB 3-Dose Primary Series'!G38,"AAAAAG/3qXk=")</f>
        <v>#VALUE!</v>
      </c>
      <c r="DS4" s="27" t="e">
        <f>AND('HepB 3-Dose Primary Series'!H38,"AAAAAG/3qXo=")</f>
        <v>#VALUE!</v>
      </c>
      <c r="DT4" s="27" t="e">
        <f>AND('HepB 3-Dose Primary Series'!#REF!,"AAAAAG/3qXs=")</f>
        <v>#REF!</v>
      </c>
      <c r="DU4" s="27">
        <v>0</v>
      </c>
      <c r="DV4" s="27" t="e">
        <f>AND('HepB 3-Dose Primary Series'!A39,"AAAAAG/3qX0=")</f>
        <v>#VALUE!</v>
      </c>
      <c r="DW4" s="27" t="e">
        <f>AND('HepB 3-Dose Primary Series'!#REF!,"AAAAAG/3qX4=")</f>
        <v>#REF!</v>
      </c>
      <c r="DX4" s="27" t="e">
        <f>AND('HepB 3-Dose Primary Series'!#REF!,"AAAAAG/3qX8=")</f>
        <v>#REF!</v>
      </c>
      <c r="DY4" s="27" t="e">
        <f>AND('HepB 3-Dose Primary Series'!#REF!,"AAAAAG/3qYA=")</f>
        <v>#REF!</v>
      </c>
      <c r="DZ4" s="27" t="e">
        <f>AND('HepB 3-Dose Primary Series'!E38,"AAAAAG/3qYE=")</f>
        <v>#VALUE!</v>
      </c>
      <c r="EA4" s="27" t="e">
        <f>AND('HepB 3-Dose Primary Series'!F38,"AAAAAG/3qYI=")</f>
        <v>#VALUE!</v>
      </c>
      <c r="EB4" s="27" t="e">
        <f>AND('HepB 3-Dose Primary Series'!G39,"AAAAAG/3qYM=")</f>
        <v>#VALUE!</v>
      </c>
      <c r="EC4" s="27" t="e">
        <f>AND('HepB 3-Dose Primary Series'!H39,"AAAAAG/3qYQ=")</f>
        <v>#VALUE!</v>
      </c>
      <c r="ED4" s="27" t="e">
        <f>AND('HepB 3-Dose Primary Series'!#REF!,"AAAAAG/3qYU=")</f>
        <v>#REF!</v>
      </c>
      <c r="EE4" s="27">
        <v>0</v>
      </c>
      <c r="EF4" s="27" t="e">
        <f>AND('HepB 3-Dose Primary Series'!#REF!,"AAAAAG/3qYc=")</f>
        <v>#REF!</v>
      </c>
      <c r="EG4" s="27" t="e">
        <f>AND('HepB 3-Dose Primary Series'!B38,"AAAAAG/3qYg=")</f>
        <v>#VALUE!</v>
      </c>
      <c r="EH4" s="27" t="e">
        <f>AND('HepB 3-Dose Primary Series'!C38,"AAAAAG/3qYk=")</f>
        <v>#VALUE!</v>
      </c>
      <c r="EI4" s="27" t="e">
        <f>AND('HepB 3-Dose Primary Series'!D38,"AAAAAG/3qYo=")</f>
        <v>#VALUE!</v>
      </c>
      <c r="EJ4" s="27" t="e">
        <f>AND('HepB 3-Dose Primary Series'!E39,"AAAAAG/3qYs=")</f>
        <v>#VALUE!</v>
      </c>
      <c r="EK4" s="27" t="e">
        <f>AND('HepB 3-Dose Primary Series'!F39,"AAAAAG/3qYw=")</f>
        <v>#VALUE!</v>
      </c>
      <c r="EL4" s="27" t="e">
        <f>AND('HepB 3-Dose Primary Series'!#REF!,"AAAAAG/3qY0=")</f>
        <v>#REF!</v>
      </c>
      <c r="EM4" s="27" t="e">
        <f>AND('HepB 3-Dose Primary Series'!#REF!,"AAAAAG/3qY4=")</f>
        <v>#REF!</v>
      </c>
      <c r="EN4" s="27" t="e">
        <f>AND('HepB 3-Dose Primary Series'!#REF!,"AAAAAG/3qY8=")</f>
        <v>#REF!</v>
      </c>
      <c r="EO4" s="27">
        <v>0</v>
      </c>
      <c r="EP4" s="27" t="e">
        <f>AND('HepB 3-Dose Primary Series'!A40,"AAAAAG/3qZE=")</f>
        <v>#VALUE!</v>
      </c>
      <c r="EQ4" s="27" t="e">
        <f>AND('HepB 3-Dose Primary Series'!B39,"AAAAAG/3qZI=")</f>
        <v>#VALUE!</v>
      </c>
      <c r="ER4" s="27" t="e">
        <f>AND('HepB 3-Dose Primary Series'!C39,"AAAAAG/3qZM=")</f>
        <v>#VALUE!</v>
      </c>
      <c r="ES4" s="27" t="e">
        <f>AND('HepB 3-Dose Primary Series'!D39,"AAAAAG/3qZQ=")</f>
        <v>#VALUE!</v>
      </c>
      <c r="ET4" s="27" t="e">
        <f>AND('HepB 3-Dose Primary Series'!#REF!,"AAAAAG/3qZU=")</f>
        <v>#REF!</v>
      </c>
      <c r="EU4" s="27" t="e">
        <f>AND('HepB 3-Dose Primary Series'!#REF!,"AAAAAG/3qZY=")</f>
        <v>#REF!</v>
      </c>
      <c r="EV4" s="27" t="e">
        <f>AND('HepB 3-Dose Primary Series'!G40,"AAAAAG/3qZc=")</f>
        <v>#VALUE!</v>
      </c>
      <c r="EW4" s="27" t="e">
        <f>AND('HepB 3-Dose Primary Series'!H40,"AAAAAG/3qZg=")</f>
        <v>#VALUE!</v>
      </c>
      <c r="EX4" s="27" t="e">
        <f>AND('HepB 3-Dose Primary Series'!#REF!,"AAAAAG/3qZk=")</f>
        <v>#REF!</v>
      </c>
      <c r="EY4" s="27" t="e">
        <f>IF('HepB 3-Dose Primary Series'!#REF!,"AAAAAG/3qZo=",0)</f>
        <v>#REF!</v>
      </c>
      <c r="EZ4" s="27" t="e">
        <f>AND('HepB 3-Dose Primary Series'!#REF!,"AAAAAG/3qZs=")</f>
        <v>#REF!</v>
      </c>
      <c r="FA4" s="27" t="e">
        <f>AND('HepB 3-Dose Primary Series'!#REF!,"AAAAAG/3qZw=")</f>
        <v>#REF!</v>
      </c>
      <c r="FB4" s="27" t="e">
        <f>AND('HepB 3-Dose Primary Series'!#REF!,"AAAAAG/3qZ0=")</f>
        <v>#REF!</v>
      </c>
      <c r="FC4" s="27" t="e">
        <f>AND('HepB 3-Dose Primary Series'!#REF!,"AAAAAG/3qZ4=")</f>
        <v>#REF!</v>
      </c>
      <c r="FD4" s="27" t="e">
        <f>AND('HepB 3-Dose Primary Series'!E40,"AAAAAG/3qZ8=")</f>
        <v>#VALUE!</v>
      </c>
      <c r="FE4" s="27" t="e">
        <f>AND('HepB 3-Dose Primary Series'!F40,"AAAAAG/3qaA=")</f>
        <v>#VALUE!</v>
      </c>
      <c r="FF4" s="27" t="e">
        <f>AND('HepB 3-Dose Primary Series'!#REF!,"AAAAAG/3qaE=")</f>
        <v>#REF!</v>
      </c>
      <c r="FG4" s="27" t="e">
        <f>AND('HepB 3-Dose Primary Series'!#REF!,"AAAAAG/3qaI=")</f>
        <v>#REF!</v>
      </c>
      <c r="FH4" s="27" t="e">
        <f>AND('HepB 3-Dose Primary Series'!#REF!,"AAAAAG/3qaM=")</f>
        <v>#REF!</v>
      </c>
      <c r="FI4" s="27" t="e">
        <f>IF('HepB 3-Dose Primary Series'!#REF!,"AAAAAG/3qaQ=",0)</f>
        <v>#REF!</v>
      </c>
      <c r="FJ4" s="27" t="e">
        <f>AND('HepB 3-Dose Primary Series'!#REF!,"AAAAAG/3qaU=")</f>
        <v>#REF!</v>
      </c>
      <c r="FK4" s="27" t="e">
        <f>AND('HepB 3-Dose Primary Series'!B40,"AAAAAG/3qaY=")</f>
        <v>#VALUE!</v>
      </c>
      <c r="FL4" s="27" t="e">
        <f>AND('HepB 3-Dose Primary Series'!C40,"AAAAAG/3qac=")</f>
        <v>#VALUE!</v>
      </c>
      <c r="FM4" s="27" t="e">
        <f>AND('HepB 3-Dose Primary Series'!D40,"AAAAAG/3qag=")</f>
        <v>#VALUE!</v>
      </c>
      <c r="FN4" s="27" t="e">
        <f>AND('HepB 3-Dose Primary Series'!#REF!,"AAAAAG/3qak=")</f>
        <v>#REF!</v>
      </c>
      <c r="FO4" s="27" t="e">
        <f>AND('HepB 3-Dose Primary Series'!#REF!,"AAAAAG/3qao=")</f>
        <v>#REF!</v>
      </c>
      <c r="FP4" s="27" t="e">
        <f>AND('HepB 3-Dose Primary Series'!#REF!,"AAAAAG/3qas=")</f>
        <v>#REF!</v>
      </c>
      <c r="FQ4" s="27" t="e">
        <f>AND('HepB 3-Dose Primary Series'!#REF!,"AAAAAG/3qaw=")</f>
        <v>#REF!</v>
      </c>
      <c r="FR4" s="27" t="e">
        <f>AND('HepB 3-Dose Primary Series'!#REF!,"AAAAAG/3qa0=")</f>
        <v>#REF!</v>
      </c>
      <c r="FS4" s="27">
        <v>0</v>
      </c>
      <c r="FT4" s="27" t="e">
        <f>AND('HepB 3-Dose Primary Series'!A41,"AAAAAG/3qa8=")</f>
        <v>#VALUE!</v>
      </c>
      <c r="FU4" s="27" t="e">
        <f>AND('HepB 3-Dose Primary Series'!#REF!,"AAAAAG/3qbA=")</f>
        <v>#REF!</v>
      </c>
      <c r="FV4" s="27" t="e">
        <f>AND('HepB 3-Dose Primary Series'!#REF!,"AAAAAG/3qbE=")</f>
        <v>#REF!</v>
      </c>
      <c r="FW4" s="27" t="e">
        <f>AND('HepB 3-Dose Primary Series'!#REF!,"AAAAAG/3qbI=")</f>
        <v>#REF!</v>
      </c>
      <c r="FX4" s="27" t="e">
        <f>AND('HepB 3-Dose Primary Series'!#REF!,"AAAAAG/3qbM=")</f>
        <v>#REF!</v>
      </c>
      <c r="FY4" s="27" t="e">
        <f>AND('HepB 3-Dose Primary Series'!#REF!,"AAAAAG/3qbQ=")</f>
        <v>#REF!</v>
      </c>
      <c r="FZ4" s="27" t="e">
        <f>AND('HepB 3-Dose Primary Series'!G41,"AAAAAG/3qbU=")</f>
        <v>#VALUE!</v>
      </c>
      <c r="GA4" s="27" t="e">
        <f>AND('HepB 3-Dose Primary Series'!H41,"AAAAAG/3qbY=")</f>
        <v>#VALUE!</v>
      </c>
      <c r="GB4" s="27" t="e">
        <f>AND('HepB 3-Dose Primary Series'!#REF!,"AAAAAG/3qbc=")</f>
        <v>#REF!</v>
      </c>
      <c r="GC4" s="27">
        <v>0</v>
      </c>
      <c r="GD4" s="27" t="e">
        <f>AND('HepB 3-Dose Primary Series'!A42,"AAAAAG/3qbk=")</f>
        <v>#VALUE!</v>
      </c>
      <c r="GE4" s="27" t="e">
        <f>AND('HepB 3-Dose Primary Series'!B41,"AAAAAG/3qbo=")</f>
        <v>#VALUE!</v>
      </c>
      <c r="GF4" s="27" t="e">
        <f>AND('HepB 3-Dose Primary Series'!C41,"AAAAAG/3qbs=")</f>
        <v>#VALUE!</v>
      </c>
      <c r="GG4" s="27" t="e">
        <f>AND('HepB 3-Dose Primary Series'!D41,"AAAAAG/3qbw=")</f>
        <v>#VALUE!</v>
      </c>
      <c r="GH4" s="27" t="e">
        <f>AND('HepB 3-Dose Primary Series'!E41,"AAAAAG/3qb0=")</f>
        <v>#VALUE!</v>
      </c>
      <c r="GI4" s="27" t="e">
        <f>AND('HepB 3-Dose Primary Series'!F41,"AAAAAG/3qb4=")</f>
        <v>#VALUE!</v>
      </c>
      <c r="GJ4" s="27" t="e">
        <f>AND('HepB 3-Dose Primary Series'!G42,"AAAAAG/3qb8=")</f>
        <v>#VALUE!</v>
      </c>
      <c r="GK4" s="27" t="e">
        <f>AND('HepB 3-Dose Primary Series'!H42,"AAAAAG/3qcA=")</f>
        <v>#VALUE!</v>
      </c>
      <c r="GL4" s="27" t="e">
        <f>AND('HepB 3-Dose Primary Series'!#REF!,"AAAAAG/3qcE=")</f>
        <v>#REF!</v>
      </c>
      <c r="GM4" s="27">
        <v>0</v>
      </c>
      <c r="GN4" s="27" t="e">
        <f>AND('HepB 3-Dose Primary Series'!A43,"AAAAAG/3qcM=")</f>
        <v>#VALUE!</v>
      </c>
      <c r="GO4" s="27" t="e">
        <f>AND('HepB 3-Dose Primary Series'!B42,"AAAAAG/3qcQ=")</f>
        <v>#VALUE!</v>
      </c>
      <c r="GP4" s="27" t="e">
        <f>AND('HepB 3-Dose Primary Series'!C42,"AAAAAG/3qcU=")</f>
        <v>#VALUE!</v>
      </c>
      <c r="GQ4" s="27" t="e">
        <f>AND('HepB 3-Dose Primary Series'!D42,"AAAAAG/3qcY=")</f>
        <v>#VALUE!</v>
      </c>
      <c r="GR4" s="27" t="e">
        <f>AND('HepB 3-Dose Primary Series'!E42,"AAAAAG/3qcc=")</f>
        <v>#VALUE!</v>
      </c>
      <c r="GS4" s="27" t="e">
        <f>AND('HepB 3-Dose Primary Series'!F42,"AAAAAG/3qcg=")</f>
        <v>#VALUE!</v>
      </c>
      <c r="GT4" s="27" t="e">
        <f>AND('HepB 3-Dose Primary Series'!G43,"AAAAAG/3qck=")</f>
        <v>#VALUE!</v>
      </c>
      <c r="GU4" s="27" t="e">
        <f>AND('HepB 3-Dose Primary Series'!H43,"AAAAAG/3qco=")</f>
        <v>#VALUE!</v>
      </c>
      <c r="GV4" s="27" t="e">
        <f>AND('HepB 3-Dose Primary Series'!#REF!,"AAAAAG/3qcs=")</f>
        <v>#REF!</v>
      </c>
      <c r="GW4" s="27">
        <v>0</v>
      </c>
      <c r="GX4" s="27" t="e">
        <f>AND('HepB 3-Dose Primary Series'!A44,"AAAAAG/3qc0=")</f>
        <v>#VALUE!</v>
      </c>
      <c r="GY4" s="27" t="e">
        <f>AND('HepB 3-Dose Primary Series'!B43,"AAAAAG/3qc4=")</f>
        <v>#VALUE!</v>
      </c>
      <c r="GZ4" s="27" t="e">
        <f>AND('HepB 3-Dose Primary Series'!C43,"AAAAAG/3qc8=")</f>
        <v>#VALUE!</v>
      </c>
      <c r="HA4" s="27" t="e">
        <f>AND('HepB 3-Dose Primary Series'!D43,"AAAAAG/3qdA=")</f>
        <v>#VALUE!</v>
      </c>
      <c r="HB4" s="27" t="e">
        <f>AND('HepB 3-Dose Primary Series'!E43,"AAAAAG/3qdE=")</f>
        <v>#VALUE!</v>
      </c>
      <c r="HC4" s="27" t="e">
        <f>AND('HepB 3-Dose Primary Series'!F43,"AAAAAG/3qdI=")</f>
        <v>#VALUE!</v>
      </c>
      <c r="HD4" s="27" t="e">
        <f>AND('HepB 3-Dose Primary Series'!G44,"AAAAAG/3qdM=")</f>
        <v>#VALUE!</v>
      </c>
      <c r="HE4" s="27" t="e">
        <f>AND('HepB 3-Dose Primary Series'!H44,"AAAAAG/3qdQ=")</f>
        <v>#VALUE!</v>
      </c>
      <c r="HF4" s="27" t="e">
        <f>AND('HepB 3-Dose Primary Series'!#REF!,"AAAAAG/3qdU=")</f>
        <v>#REF!</v>
      </c>
      <c r="HG4" s="27">
        <v>0</v>
      </c>
      <c r="HH4" s="27" t="e">
        <f>AND('HepB 3-Dose Primary Series'!A45,"AAAAAG/3qdc=")</f>
        <v>#VALUE!</v>
      </c>
      <c r="HI4" s="27" t="e">
        <f>AND('HepB 3-Dose Primary Series'!B44,"AAAAAG/3qdg=")</f>
        <v>#VALUE!</v>
      </c>
      <c r="HJ4" s="27" t="e">
        <f>AND('HepB 3-Dose Primary Series'!C44,"AAAAAG/3qdk=")</f>
        <v>#VALUE!</v>
      </c>
      <c r="HK4" s="27" t="e">
        <f>AND('HepB 3-Dose Primary Series'!D44,"AAAAAG/3qdo=")</f>
        <v>#VALUE!</v>
      </c>
      <c r="HL4" s="27" t="e">
        <f>AND('HepB 3-Dose Primary Series'!E44,"AAAAAG/3qds=")</f>
        <v>#VALUE!</v>
      </c>
      <c r="HM4" s="27" t="e">
        <f>AND('HepB 3-Dose Primary Series'!F44,"AAAAAG/3qdw=")</f>
        <v>#VALUE!</v>
      </c>
      <c r="HN4" s="27" t="e">
        <f>AND('HepB 3-Dose Primary Series'!G45,"AAAAAG/3qd0=")</f>
        <v>#VALUE!</v>
      </c>
      <c r="HO4" s="27" t="e">
        <f>AND('HepB 3-Dose Primary Series'!H45,"AAAAAG/3qd4=")</f>
        <v>#VALUE!</v>
      </c>
      <c r="HP4" s="27" t="e">
        <f>AND('HepB 3-Dose Primary Series'!#REF!,"AAAAAG/3qd8=")</f>
        <v>#REF!</v>
      </c>
      <c r="HQ4" s="27">
        <v>0</v>
      </c>
      <c r="HR4" s="27" t="e">
        <f>AND('HepB 3-Dose Primary Series'!#REF!,"AAAAAG/3qeE=")</f>
        <v>#REF!</v>
      </c>
      <c r="HS4" s="27" t="e">
        <f>AND('HepB 3-Dose Primary Series'!B45,"AAAAAG/3qeI=")</f>
        <v>#VALUE!</v>
      </c>
      <c r="HT4" s="27" t="e">
        <f>AND('HepB 3-Dose Primary Series'!C45,"AAAAAG/3qeM=")</f>
        <v>#VALUE!</v>
      </c>
      <c r="HU4" s="27" t="e">
        <f>AND('HepB 3-Dose Primary Series'!D45,"AAAAAG/3qeQ=")</f>
        <v>#VALUE!</v>
      </c>
      <c r="HV4" s="27" t="e">
        <f>AND('HepB 3-Dose Primary Series'!E45,"AAAAAG/3qeU=")</f>
        <v>#VALUE!</v>
      </c>
      <c r="HW4" s="27" t="e">
        <f>AND('HepB 3-Dose Primary Series'!F45,"AAAAAG/3qeY=")</f>
        <v>#VALUE!</v>
      </c>
      <c r="HX4" s="27" t="e">
        <f>AND('HepB 3-Dose Primary Series'!#REF!,"AAAAAG/3qec=")</f>
        <v>#REF!</v>
      </c>
      <c r="HY4" s="27" t="e">
        <f>AND('HepB 3-Dose Primary Series'!#REF!,"AAAAAG/3qeg=")</f>
        <v>#REF!</v>
      </c>
      <c r="HZ4" s="27" t="e">
        <f>AND('HepB 3-Dose Primary Series'!#REF!,"AAAAAG/3qek=")</f>
        <v>#REF!</v>
      </c>
      <c r="IA4" s="27">
        <v>0</v>
      </c>
      <c r="IB4" s="27" t="e">
        <f>AND('HepB 3-Dose Primary Series'!A48,"AAAAAG/3qes=")</f>
        <v>#VALUE!</v>
      </c>
      <c r="IC4" s="27" t="e">
        <f>AND('HepB 3-Dose Primary Series'!#REF!,"AAAAAG/3qew=")</f>
        <v>#REF!</v>
      </c>
      <c r="ID4" s="27" t="e">
        <f>AND('HepB 3-Dose Primary Series'!#REF!,"AAAAAG/3qe0=")</f>
        <v>#REF!</v>
      </c>
      <c r="IE4" s="27" t="e">
        <f>AND('HepB 3-Dose Primary Series'!#REF!,"AAAAAG/3qe4=")</f>
        <v>#REF!</v>
      </c>
      <c r="IF4" s="27" t="e">
        <f>AND('HepB 3-Dose Primary Series'!#REF!,"AAAAAG/3qe8=")</f>
        <v>#REF!</v>
      </c>
      <c r="IG4" s="27" t="e">
        <f>AND('HepB 3-Dose Primary Series'!#REF!,"AAAAAG/3qfA=")</f>
        <v>#REF!</v>
      </c>
      <c r="IH4" s="27" t="e">
        <f>AND('HepB 3-Dose Primary Series'!G48,"AAAAAG/3qfE=")</f>
        <v>#VALUE!</v>
      </c>
      <c r="II4" s="27" t="e">
        <f>AND('HepB 3-Dose Primary Series'!H48,"AAAAAG/3qfI=")</f>
        <v>#VALUE!</v>
      </c>
      <c r="IJ4" s="27" t="e">
        <f>AND('HepB 3-Dose Primary Series'!#REF!,"AAAAAG/3qfM=")</f>
        <v>#REF!</v>
      </c>
      <c r="IK4" s="27">
        <v>0</v>
      </c>
      <c r="IL4" s="27" t="e">
        <f>AND('HepB 3-Dose Primary Series'!A49,"AAAAAG/3qfU=")</f>
        <v>#VALUE!</v>
      </c>
      <c r="IM4" s="27" t="e">
        <f>AND('HepB 3-Dose Primary Series'!B48,"AAAAAG/3qfY=")</f>
        <v>#VALUE!</v>
      </c>
      <c r="IN4" s="27" t="e">
        <f>AND('HepB 3-Dose Primary Series'!C48,"AAAAAG/3qfc=")</f>
        <v>#VALUE!</v>
      </c>
      <c r="IO4" s="27" t="e">
        <f>AND('HepB 3-Dose Primary Series'!D48,"AAAAAG/3qfg=")</f>
        <v>#VALUE!</v>
      </c>
      <c r="IP4" s="27" t="e">
        <f>AND('HepB 3-Dose Primary Series'!E48,"AAAAAG/3qfk=")</f>
        <v>#VALUE!</v>
      </c>
      <c r="IQ4" s="27" t="e">
        <f>AND('HepB 3-Dose Primary Series'!F48,"AAAAAG/3qfo=")</f>
        <v>#VALUE!</v>
      </c>
      <c r="IR4" s="27" t="e">
        <f>AND('HepB 3-Dose Primary Series'!G49,"AAAAAG/3qfs=")</f>
        <v>#VALUE!</v>
      </c>
      <c r="IS4" s="27" t="e">
        <f>AND('HepB 3-Dose Primary Series'!H49,"AAAAAG/3qfw=")</f>
        <v>#VALUE!</v>
      </c>
      <c r="IT4" s="27" t="e">
        <f>AND('HepB 3-Dose Primary Series'!#REF!,"AAAAAG/3qf0=")</f>
        <v>#REF!</v>
      </c>
      <c r="IU4" s="27">
        <v>0</v>
      </c>
      <c r="IV4" s="27" t="e">
        <f>AND('HepB 3-Dose Primary Series'!A50,"AAAAAG/3qf8=")</f>
        <v>#VALUE!</v>
      </c>
    </row>
    <row r="5" spans="1:256" ht="12.75" customHeight="1" x14ac:dyDescent="0.2">
      <c r="A5" s="27" t="e">
        <f>AND('HepB 3-Dose Primary Series'!#REF!,"AAAAAG/uuwA=")</f>
        <v>#REF!</v>
      </c>
      <c r="B5" s="27" t="e">
        <f>AND('HepB 3-Dose Primary Series'!#REF!,"AAAAAG/uuwE=")</f>
        <v>#REF!</v>
      </c>
      <c r="C5" s="27" t="e">
        <f>AND('HepB 3-Dose Primary Series'!#REF!,"AAAAAG/uuwI=")</f>
        <v>#REF!</v>
      </c>
      <c r="D5" s="27" t="e">
        <f>AND('HepB 3-Dose Primary Series'!#REF!,"AAAAAG/uuwM=")</f>
        <v>#REF!</v>
      </c>
      <c r="E5" s="27" t="e">
        <f>AND('HepB 3-Dose Primary Series'!#REF!,"AAAAAG/uuwQ=")</f>
        <v>#REF!</v>
      </c>
      <c r="F5" s="27" t="e">
        <f>AND('HepB 3-Dose Primary Series'!G50,"AAAAAG/uuwU=")</f>
        <v>#VALUE!</v>
      </c>
      <c r="G5" s="27" t="e">
        <f>AND('HepB 3-Dose Primary Series'!H50,"AAAAAG/uuwY=")</f>
        <v>#VALUE!</v>
      </c>
      <c r="H5" s="27" t="e">
        <f>AND('HepB 3-Dose Primary Series'!#REF!,"AAAAAG/uuwc=")</f>
        <v>#REF!</v>
      </c>
      <c r="I5" s="27">
        <v>0</v>
      </c>
      <c r="J5" s="27" t="e">
        <f>AND('HepB 3-Dose Primary Series'!A52,"AAAAAG/uuwk=")</f>
        <v>#VALUE!</v>
      </c>
      <c r="K5" s="27" t="e">
        <f>AND('HepB 3-Dose Primary Series'!B49,"AAAAAG/uuwo=")</f>
        <v>#VALUE!</v>
      </c>
      <c r="L5" s="27" t="e">
        <f>AND('HepB 3-Dose Primary Series'!C49,"AAAAAG/uuws=")</f>
        <v>#VALUE!</v>
      </c>
      <c r="M5" s="27" t="e">
        <f>AND('HepB 3-Dose Primary Series'!D49,"AAAAAG/uuww=")</f>
        <v>#VALUE!</v>
      </c>
      <c r="N5" s="27" t="e">
        <f>AND('HepB 3-Dose Primary Series'!E49,"AAAAAG/uuw0=")</f>
        <v>#VALUE!</v>
      </c>
      <c r="O5" s="27" t="e">
        <f>AND('HepB 3-Dose Primary Series'!F49,"AAAAAG/uuw4=")</f>
        <v>#VALUE!</v>
      </c>
      <c r="P5" s="27" t="e">
        <f>AND('HepB 3-Dose Primary Series'!G52,"AAAAAG/uuw8=")</f>
        <v>#VALUE!</v>
      </c>
      <c r="Q5" s="27" t="e">
        <f>AND('HepB 3-Dose Primary Series'!H52,"AAAAAG/uuxA=")</f>
        <v>#VALUE!</v>
      </c>
      <c r="R5" s="27" t="e">
        <f>AND('HepB 3-Dose Primary Series'!#REF!,"AAAAAG/uuxE=")</f>
        <v>#REF!</v>
      </c>
      <c r="S5" s="27">
        <v>0</v>
      </c>
      <c r="T5" s="27" t="e">
        <f>AND('HepB 3-Dose Primary Series'!A53,"AAAAAG/uuxM=")</f>
        <v>#VALUE!</v>
      </c>
      <c r="U5" s="27" t="e">
        <f>AND('HepB 3-Dose Primary Series'!B50,"AAAAAG/uuxQ=")</f>
        <v>#VALUE!</v>
      </c>
      <c r="V5" s="27" t="e">
        <f>AND('HepB 3-Dose Primary Series'!C50,"AAAAAG/uuxU=")</f>
        <v>#VALUE!</v>
      </c>
      <c r="W5" s="27" t="e">
        <f>AND('HepB 3-Dose Primary Series'!D50,"AAAAAG/uuxY=")</f>
        <v>#VALUE!</v>
      </c>
      <c r="X5" s="27" t="e">
        <f>AND('HepB 3-Dose Primary Series'!E50,"AAAAAG/uuxc=")</f>
        <v>#VALUE!</v>
      </c>
      <c r="Y5" s="27" t="e">
        <f>AND('HepB 3-Dose Primary Series'!F50,"AAAAAG/uuxg=")</f>
        <v>#VALUE!</v>
      </c>
      <c r="Z5" s="27" t="e">
        <f>AND('HepB 3-Dose Primary Series'!G53,"AAAAAG/uuxk=")</f>
        <v>#VALUE!</v>
      </c>
      <c r="AA5" s="27" t="e">
        <f>AND('HepB 3-Dose Primary Series'!H53,"AAAAAG/uuxo=")</f>
        <v>#VALUE!</v>
      </c>
      <c r="AB5" s="27" t="e">
        <f>AND('HepB 3-Dose Primary Series'!#REF!,"AAAAAG/uuxs=")</f>
        <v>#REF!</v>
      </c>
      <c r="AC5" s="27">
        <v>0</v>
      </c>
      <c r="AD5" s="27" t="e">
        <f>AND('HepB 3-Dose Primary Series'!#REF!,"AAAAAG/uux0=")</f>
        <v>#REF!</v>
      </c>
      <c r="AE5" s="27" t="e">
        <f>AND('HepB 3-Dose Primary Series'!B52,"AAAAAG/uux4=")</f>
        <v>#VALUE!</v>
      </c>
      <c r="AF5" s="27" t="e">
        <f>AND('HepB 3-Dose Primary Series'!C52,"AAAAAG/uux8=")</f>
        <v>#VALUE!</v>
      </c>
      <c r="AG5" s="27" t="e">
        <f>AND('HepB 3-Dose Primary Series'!D52,"AAAAAG/uuyA=")</f>
        <v>#VALUE!</v>
      </c>
      <c r="AH5" s="27" t="e">
        <f>AND('HepB 3-Dose Primary Series'!E52,"AAAAAG/uuyE=")</f>
        <v>#VALUE!</v>
      </c>
      <c r="AI5" s="27" t="e">
        <f>AND('HepB 3-Dose Primary Series'!F52,"AAAAAG/uuyI=")</f>
        <v>#VALUE!</v>
      </c>
      <c r="AJ5" s="27" t="e">
        <f>AND('HepB 3-Dose Primary Series'!#REF!,"AAAAAG/uuyM=")</f>
        <v>#REF!</v>
      </c>
      <c r="AK5" s="27" t="e">
        <f>AND('HepB 3-Dose Primary Series'!#REF!,"AAAAAG/uuyQ=")</f>
        <v>#REF!</v>
      </c>
      <c r="AL5" s="27" t="e">
        <f>AND('HepB 3-Dose Primary Series'!#REF!,"AAAAAG/uuyU=")</f>
        <v>#REF!</v>
      </c>
      <c r="AM5" s="27">
        <v>0</v>
      </c>
      <c r="AN5" s="27" t="e">
        <f>AND('HepB 3-Dose Primary Series'!#REF!,"AAAAAG/uuyc=")</f>
        <v>#REF!</v>
      </c>
      <c r="AO5" s="27" t="e">
        <f>AND('HepB 3-Dose Primary Series'!B53,"AAAAAG/uuyg=")</f>
        <v>#VALUE!</v>
      </c>
      <c r="AP5" s="27" t="e">
        <f>AND('HepB 3-Dose Primary Series'!C53,"AAAAAG/uuyk=")</f>
        <v>#VALUE!</v>
      </c>
      <c r="AQ5" s="27" t="e">
        <f>AND('HepB 3-Dose Primary Series'!D53,"AAAAAG/uuyo=")</f>
        <v>#VALUE!</v>
      </c>
      <c r="AR5" s="27" t="e">
        <f>AND('HepB 3-Dose Primary Series'!E53,"AAAAAG/uuys=")</f>
        <v>#VALUE!</v>
      </c>
      <c r="AS5" s="27" t="e">
        <f>AND('HepB 3-Dose Primary Series'!F53,"AAAAAG/uuyw=")</f>
        <v>#VALUE!</v>
      </c>
      <c r="AT5" s="27" t="e">
        <f>AND('HepB 3-Dose Primary Series'!#REF!,"AAAAAG/uuy0=")</f>
        <v>#REF!</v>
      </c>
      <c r="AU5" s="27" t="e">
        <f>AND('HepB 3-Dose Primary Series'!#REF!,"AAAAAG/uuy4=")</f>
        <v>#REF!</v>
      </c>
      <c r="AV5" s="27" t="e">
        <f>AND('HepB 3-Dose Primary Series'!#REF!,"AAAAAG/uuy8=")</f>
        <v>#REF!</v>
      </c>
      <c r="AW5" s="27">
        <v>0</v>
      </c>
      <c r="AX5" s="27" t="e">
        <f>AND('HepB 3-Dose Primary Series'!#REF!,"AAAAAG/uuzE=")</f>
        <v>#REF!</v>
      </c>
      <c r="AY5" s="27" t="e">
        <f>AND('HepB 3-Dose Primary Series'!#REF!,"AAAAAG/uuzI=")</f>
        <v>#REF!</v>
      </c>
      <c r="AZ5" s="27" t="e">
        <f>AND('HepB 3-Dose Primary Series'!#REF!,"AAAAAG/uuzM=")</f>
        <v>#REF!</v>
      </c>
      <c r="BA5" s="27" t="e">
        <f>AND('HepB 3-Dose Primary Series'!#REF!,"AAAAAG/uuzQ=")</f>
        <v>#REF!</v>
      </c>
      <c r="BB5" s="27" t="e">
        <f>AND('HepB 3-Dose Primary Series'!#REF!,"AAAAAG/uuzU=")</f>
        <v>#REF!</v>
      </c>
      <c r="BC5" s="27" t="e">
        <f>AND('HepB 3-Dose Primary Series'!#REF!,"AAAAAG/uuzY=")</f>
        <v>#REF!</v>
      </c>
      <c r="BD5" s="27" t="e">
        <f>AND('HepB 3-Dose Primary Series'!#REF!,"AAAAAG/uuzc=")</f>
        <v>#REF!</v>
      </c>
      <c r="BE5" s="27" t="e">
        <f>AND('HepB 3-Dose Primary Series'!#REF!,"AAAAAG/uuzg=")</f>
        <v>#REF!</v>
      </c>
      <c r="BF5" s="27" t="e">
        <f>AND('HepB 3-Dose Primary Series'!#REF!,"AAAAAG/uuzk=")</f>
        <v>#REF!</v>
      </c>
      <c r="BG5" s="27" t="e">
        <f>IF('HepB 3-Dose Primary Series'!#REF!,"AAAAAG/uuzo=",0)</f>
        <v>#REF!</v>
      </c>
      <c r="BH5" s="27" t="e">
        <f>AND('HepB 3-Dose Primary Series'!#REF!,"AAAAAG/uuzs=")</f>
        <v>#REF!</v>
      </c>
      <c r="BI5" s="27" t="e">
        <f>AND('HepB 3-Dose Primary Series'!#REF!,"AAAAAG/uuzw=")</f>
        <v>#REF!</v>
      </c>
      <c r="BJ5" s="27" t="e">
        <f>AND('HepB 3-Dose Primary Series'!#REF!,"AAAAAG/uuz0=")</f>
        <v>#REF!</v>
      </c>
      <c r="BK5" s="27" t="e">
        <f>AND('HepB 3-Dose Primary Series'!#REF!,"AAAAAG/uuz4=")</f>
        <v>#REF!</v>
      </c>
      <c r="BL5" s="27" t="e">
        <f>AND('HepB 3-Dose Primary Series'!#REF!,"AAAAAG/uuz8=")</f>
        <v>#REF!</v>
      </c>
      <c r="BM5" s="27" t="e">
        <f>AND('HepB 3-Dose Primary Series'!#REF!,"AAAAAG/uu0A=")</f>
        <v>#REF!</v>
      </c>
      <c r="BN5" s="27" t="e">
        <f>AND('HepB 3-Dose Primary Series'!#REF!,"AAAAAG/uu0E=")</f>
        <v>#REF!</v>
      </c>
      <c r="BO5" s="27" t="e">
        <f>AND('HepB 3-Dose Primary Series'!#REF!,"AAAAAG/uu0I=")</f>
        <v>#REF!</v>
      </c>
      <c r="BP5" s="27" t="e">
        <f>AND('HepB 3-Dose Primary Series'!#REF!,"AAAAAG/uu0M=")</f>
        <v>#REF!</v>
      </c>
      <c r="BQ5" s="27">
        <v>0</v>
      </c>
      <c r="BR5" s="27" t="e">
        <f>AND('HepB 3-Dose Primary Series'!#REF!,"AAAAAG/uu0U=")</f>
        <v>#REF!</v>
      </c>
      <c r="BS5" s="27" t="e">
        <f>AND('HepB 3-Dose Primary Series'!#REF!,"AAAAAG/uu0Y=")</f>
        <v>#REF!</v>
      </c>
      <c r="BT5" s="27" t="e">
        <f>AND('HepB 3-Dose Primary Series'!#REF!,"AAAAAG/uu0c=")</f>
        <v>#REF!</v>
      </c>
      <c r="BU5" s="27" t="e">
        <f>AND('HepB 3-Dose Primary Series'!#REF!,"AAAAAG/uu0g=")</f>
        <v>#REF!</v>
      </c>
      <c r="BV5" s="27" t="e">
        <f>AND('HepB 3-Dose Primary Series'!#REF!,"AAAAAG/uu0k=")</f>
        <v>#REF!</v>
      </c>
      <c r="BW5" s="27" t="e">
        <f>AND('HepB 3-Dose Primary Series'!#REF!,"AAAAAG/uu0o=")</f>
        <v>#REF!</v>
      </c>
      <c r="BX5" s="27" t="e">
        <f>AND('HepB 3-Dose Primary Series'!#REF!,"AAAAAG/uu0s=")</f>
        <v>#REF!</v>
      </c>
      <c r="BY5" s="27" t="e">
        <f>AND('HepB 3-Dose Primary Series'!#REF!,"AAAAAG/uu0w=")</f>
        <v>#REF!</v>
      </c>
      <c r="BZ5" s="27" t="e">
        <f>AND('HepB 3-Dose Primary Series'!#REF!,"AAAAAG/uu00=")</f>
        <v>#REF!</v>
      </c>
      <c r="CA5" s="27">
        <v>0</v>
      </c>
      <c r="CB5" s="27" t="e">
        <f>AND('HepB 3-Dose Primary Series'!A54,"AAAAAG/uu08=")</f>
        <v>#VALUE!</v>
      </c>
      <c r="CC5" s="27" t="e">
        <f>AND('HepB 3-Dose Primary Series'!B54,"AAAAAG/uu1A=")</f>
        <v>#VALUE!</v>
      </c>
      <c r="CD5" s="27" t="e">
        <f>AND('HepB 3-Dose Primary Series'!C54,"AAAAAG/uu1E=")</f>
        <v>#VALUE!</v>
      </c>
      <c r="CE5" s="27" t="e">
        <f>AND('HepB 3-Dose Primary Series'!D54,"AAAAAG/uu1I=")</f>
        <v>#VALUE!</v>
      </c>
      <c r="CF5" s="27" t="e">
        <f>AND('HepB 3-Dose Primary Series'!E54,"AAAAAG/uu1M=")</f>
        <v>#VALUE!</v>
      </c>
      <c r="CG5" s="27" t="e">
        <f>AND('HepB 3-Dose Primary Series'!#REF!,"AAAAAG/uu1Q=")</f>
        <v>#REF!</v>
      </c>
      <c r="CH5" s="27" t="e">
        <f>AND('HepB 3-Dose Primary Series'!G54,"AAAAAG/uu1U=")</f>
        <v>#VALUE!</v>
      </c>
      <c r="CI5" s="27" t="e">
        <f>AND('HepB 3-Dose Primary Series'!H54,"AAAAAG/uu1Y=")</f>
        <v>#VALUE!</v>
      </c>
      <c r="CJ5" s="27" t="e">
        <f>AND('HepB 3-Dose Primary Series'!#REF!,"AAAAAG/uu1c=")</f>
        <v>#REF!</v>
      </c>
      <c r="CK5" s="27">
        <v>0</v>
      </c>
      <c r="CL5" s="27" t="e">
        <f>AND('HepB 3-Dose Primary Series'!A55,"AAAAAG/uu1k=")</f>
        <v>#VALUE!</v>
      </c>
      <c r="CM5" s="27" t="e">
        <f>AND('HepB 3-Dose Primary Series'!B55,"AAAAAG/uu1o=")</f>
        <v>#VALUE!</v>
      </c>
      <c r="CN5" s="27" t="e">
        <f>AND('HepB 3-Dose Primary Series'!C55,"AAAAAG/uu1s=")</f>
        <v>#VALUE!</v>
      </c>
      <c r="CO5" s="27" t="e">
        <f>AND('HepB 3-Dose Primary Series'!D55,"AAAAAG/uu1w=")</f>
        <v>#VALUE!</v>
      </c>
      <c r="CP5" s="27" t="e">
        <f>AND('HepB 3-Dose Primary Series'!E55,"AAAAAG/uu10=")</f>
        <v>#VALUE!</v>
      </c>
      <c r="CQ5" s="27" t="e">
        <f>AND('HepB 3-Dose Primary Series'!F55,"AAAAAG/uu14=")</f>
        <v>#VALUE!</v>
      </c>
      <c r="CR5" s="27" t="e">
        <f>AND('HepB 3-Dose Primary Series'!G55,"AAAAAG/uu18=")</f>
        <v>#VALUE!</v>
      </c>
      <c r="CS5" s="27" t="e">
        <f>AND('HepB 3-Dose Primary Series'!H55,"AAAAAG/uu2A=")</f>
        <v>#VALUE!</v>
      </c>
      <c r="CT5" s="27" t="e">
        <f>AND('HepB 3-Dose Primary Series'!#REF!,"AAAAAG/uu2E=")</f>
        <v>#REF!</v>
      </c>
      <c r="CU5" s="27">
        <v>0</v>
      </c>
      <c r="CV5" s="27" t="e">
        <f>AND('HepB 3-Dose Primary Series'!A58,"AAAAAG/uu2M=")</f>
        <v>#VALUE!</v>
      </c>
      <c r="CW5" s="27" t="e">
        <f>AND('HepB 3-Dose Primary Series'!B58,"AAAAAG/uu2Q=")</f>
        <v>#VALUE!</v>
      </c>
      <c r="CX5" s="27" t="e">
        <f>AND('HepB 3-Dose Primary Series'!C58,"AAAAAG/uu2U=")</f>
        <v>#VALUE!</v>
      </c>
      <c r="CY5" s="27" t="e">
        <f>AND('HepB 3-Dose Primary Series'!D58,"AAAAAG/uu2Y=")</f>
        <v>#VALUE!</v>
      </c>
      <c r="CZ5" s="27" t="e">
        <f>AND('HepB 3-Dose Primary Series'!E58,"AAAAAG/uu2c=")</f>
        <v>#VALUE!</v>
      </c>
      <c r="DA5" s="27" t="e">
        <f>AND('HepB 3-Dose Primary Series'!F58,"AAAAAG/uu2g=")</f>
        <v>#VALUE!</v>
      </c>
      <c r="DB5" s="27" t="e">
        <f>AND('HepB 3-Dose Primary Series'!G58,"AAAAAG/uu2k=")</f>
        <v>#VALUE!</v>
      </c>
      <c r="DC5" s="27" t="e">
        <f>AND('HepB 3-Dose Primary Series'!H58,"AAAAAG/uu2o=")</f>
        <v>#VALUE!</v>
      </c>
      <c r="DD5" s="27" t="e">
        <f>AND('HepB 3-Dose Primary Series'!#REF!,"AAAAAG/uu2s=")</f>
        <v>#REF!</v>
      </c>
      <c r="DE5" s="27">
        <v>0</v>
      </c>
      <c r="DF5" s="27" t="e">
        <f>AND('HepB 3-Dose Primary Series'!A59,"AAAAAG/uu20=")</f>
        <v>#VALUE!</v>
      </c>
      <c r="DG5" s="27" t="e">
        <f>AND('HepB 3-Dose Primary Series'!B59,"AAAAAG/uu24=")</f>
        <v>#VALUE!</v>
      </c>
      <c r="DH5" s="27" t="e">
        <f>AND('HepB 3-Dose Primary Series'!C59,"AAAAAG/uu28=")</f>
        <v>#VALUE!</v>
      </c>
      <c r="DI5" s="27" t="e">
        <f>AND('HepB 3-Dose Primary Series'!D59,"AAAAAG/uu3A=")</f>
        <v>#VALUE!</v>
      </c>
      <c r="DJ5" s="27" t="e">
        <f>AND('HepB 3-Dose Primary Series'!E59,"AAAAAG/uu3E=")</f>
        <v>#VALUE!</v>
      </c>
      <c r="DK5" s="27" t="e">
        <f>AND('HepB 3-Dose Primary Series'!F59,"AAAAAG/uu3I=")</f>
        <v>#VALUE!</v>
      </c>
      <c r="DL5" s="27" t="e">
        <f>AND('HepB 3-Dose Primary Series'!G59,"AAAAAG/uu3M=")</f>
        <v>#VALUE!</v>
      </c>
      <c r="DM5" s="27" t="e">
        <f>AND('HepB 3-Dose Primary Series'!H59,"AAAAAG/uu3Q=")</f>
        <v>#VALUE!</v>
      </c>
      <c r="DN5" s="27" t="e">
        <f>AND('HepB 3-Dose Primary Series'!#REF!,"AAAAAG/uu3U=")</f>
        <v>#REF!</v>
      </c>
      <c r="DO5" s="27" t="e">
        <f>IF('HepB 3-Dose Primary Series'!#REF!,"AAAAAG/uu3Y=",0)</f>
        <v>#REF!</v>
      </c>
      <c r="DP5" s="27" t="e">
        <f>AND('HepB 3-Dose Primary Series'!#REF!,"AAAAAG/uu3c=")</f>
        <v>#REF!</v>
      </c>
      <c r="DQ5" s="27" t="e">
        <f>AND('HepB 3-Dose Primary Series'!#REF!,"AAAAAG/uu3g=")</f>
        <v>#REF!</v>
      </c>
      <c r="DR5" s="27" t="e">
        <f>AND('HepB 3-Dose Primary Series'!#REF!,"AAAAAG/uu3k=")</f>
        <v>#REF!</v>
      </c>
      <c r="DS5" s="27" t="e">
        <f>AND('HepB 3-Dose Primary Series'!#REF!,"AAAAAG/uu3o=")</f>
        <v>#REF!</v>
      </c>
      <c r="DT5" s="27" t="e">
        <f>AND('HepB 3-Dose Primary Series'!#REF!,"AAAAAG/uu3s=")</f>
        <v>#REF!</v>
      </c>
      <c r="DU5" s="27" t="e">
        <f>AND('HepB 3-Dose Primary Series'!#REF!,"AAAAAG/uu3w=")</f>
        <v>#REF!</v>
      </c>
      <c r="DV5" s="27" t="e">
        <f>AND('HepB 3-Dose Primary Series'!#REF!,"AAAAAG/uu30=")</f>
        <v>#REF!</v>
      </c>
      <c r="DW5" s="27" t="e">
        <f>AND('HepB 3-Dose Primary Series'!#REF!,"AAAAAG/uu34=")</f>
        <v>#REF!</v>
      </c>
      <c r="DX5" s="27" t="e">
        <f>AND('HepB 3-Dose Primary Series'!#REF!,"AAAAAG/uu38=")</f>
        <v>#REF!</v>
      </c>
      <c r="DY5" s="27">
        <v>0</v>
      </c>
      <c r="DZ5" s="27" t="e">
        <f>AND('HepB 3-Dose Primary Series'!A60,"AAAAAG/uu4E=")</f>
        <v>#VALUE!</v>
      </c>
      <c r="EA5" s="27" t="e">
        <f>AND('HepB 3-Dose Primary Series'!B60,"AAAAAG/uu4I=")</f>
        <v>#VALUE!</v>
      </c>
      <c r="EB5" s="27" t="e">
        <f>AND('HepB 3-Dose Primary Series'!C60,"AAAAAG/uu4M=")</f>
        <v>#VALUE!</v>
      </c>
      <c r="EC5" s="27" t="e">
        <f>AND('HepB 3-Dose Primary Series'!D60,"AAAAAG/uu4Q=")</f>
        <v>#VALUE!</v>
      </c>
      <c r="ED5" s="27" t="e">
        <f>AND('HepB 3-Dose Primary Series'!E60,"AAAAAG/uu4U=")</f>
        <v>#VALUE!</v>
      </c>
      <c r="EE5" s="27" t="e">
        <f>AND('HepB 3-Dose Primary Series'!F60,"AAAAAG/uu4Y=")</f>
        <v>#VALUE!</v>
      </c>
      <c r="EF5" s="27" t="e">
        <f>AND('HepB 3-Dose Primary Series'!G60,"AAAAAG/uu4c=")</f>
        <v>#VALUE!</v>
      </c>
      <c r="EG5" s="27" t="e">
        <f>AND('HepB 3-Dose Primary Series'!H60,"AAAAAG/uu4g=")</f>
        <v>#VALUE!</v>
      </c>
      <c r="EH5" s="27" t="e">
        <f>AND('HepB 3-Dose Primary Series'!#REF!,"AAAAAG/uu4k=")</f>
        <v>#REF!</v>
      </c>
      <c r="EI5" s="27" t="e">
        <f>IF('HepB 3-Dose Primary Series'!#REF!,"AAAAAG/uu4o=",0)</f>
        <v>#REF!</v>
      </c>
      <c r="EJ5" s="27" t="e">
        <f>AND('HepB 3-Dose Primary Series'!#REF!,"AAAAAG/uu4s=")</f>
        <v>#REF!</v>
      </c>
      <c r="EK5" s="27" t="e">
        <f>AND('HepB 3-Dose Primary Series'!#REF!,"AAAAAG/uu4w=")</f>
        <v>#REF!</v>
      </c>
      <c r="EL5" s="27" t="e">
        <f>AND('HepB 3-Dose Primary Series'!#REF!,"AAAAAG/uu40=")</f>
        <v>#REF!</v>
      </c>
      <c r="EM5" s="27" t="e">
        <f>AND('HepB 3-Dose Primary Series'!#REF!,"AAAAAG/uu44=")</f>
        <v>#REF!</v>
      </c>
      <c r="EN5" s="27" t="e">
        <f>AND('HepB 3-Dose Primary Series'!#REF!,"AAAAAG/uu48=")</f>
        <v>#REF!</v>
      </c>
      <c r="EO5" s="27" t="e">
        <f>AND('HepB 3-Dose Primary Series'!#REF!,"AAAAAG/uu5A=")</f>
        <v>#REF!</v>
      </c>
      <c r="EP5" s="27" t="e">
        <f>AND('HepB 3-Dose Primary Series'!#REF!,"AAAAAG/uu5E=")</f>
        <v>#REF!</v>
      </c>
      <c r="EQ5" s="27" t="e">
        <f>AND('HepB 3-Dose Primary Series'!#REF!,"AAAAAG/uu5I=")</f>
        <v>#REF!</v>
      </c>
      <c r="ER5" s="27" t="e">
        <f>AND('HepB 3-Dose Primary Series'!#REF!,"AAAAAG/uu5M=")</f>
        <v>#REF!</v>
      </c>
      <c r="ES5" s="27">
        <v>0</v>
      </c>
      <c r="ET5" s="27" t="e">
        <f>AND('HepB 3-Dose Primary Series'!A65,"AAAAAG/uu5U=")</f>
        <v>#VALUE!</v>
      </c>
      <c r="EU5" s="27" t="e">
        <f>AND('HepB 3-Dose Primary Series'!B65,"AAAAAG/uu5Y=")</f>
        <v>#VALUE!</v>
      </c>
      <c r="EV5" s="27" t="e">
        <f>AND('HepB 3-Dose Primary Series'!C65,"AAAAAG/uu5c=")</f>
        <v>#VALUE!</v>
      </c>
      <c r="EW5" s="27" t="e">
        <f>AND('HepB 3-Dose Primary Series'!D65,"AAAAAG/uu5g=")</f>
        <v>#VALUE!</v>
      </c>
      <c r="EX5" s="27" t="e">
        <f>AND('HepB 3-Dose Primary Series'!E65,"AAAAAG/uu5k=")</f>
        <v>#VALUE!</v>
      </c>
      <c r="EY5" s="27" t="e">
        <f>AND('HepB 3-Dose Primary Series'!F65,"AAAAAG/uu5o=")</f>
        <v>#VALUE!</v>
      </c>
      <c r="EZ5" s="27" t="e">
        <f>AND('HepB 3-Dose Primary Series'!G65,"AAAAAG/uu5s=")</f>
        <v>#VALUE!</v>
      </c>
      <c r="FA5" s="27" t="e">
        <f>AND('HepB 3-Dose Primary Series'!H65,"AAAAAG/uu5w=")</f>
        <v>#VALUE!</v>
      </c>
      <c r="FB5" s="27" t="e">
        <f>AND('HepB 3-Dose Primary Series'!#REF!,"AAAAAG/uu50=")</f>
        <v>#REF!</v>
      </c>
      <c r="FC5" s="27">
        <v>0</v>
      </c>
      <c r="FD5" s="27" t="e">
        <f>AND('HepB 3-Dose Primary Series'!#REF!,"AAAAAG/uu58=")</f>
        <v>#REF!</v>
      </c>
      <c r="FE5" s="27" t="e">
        <f>AND('HepB 3-Dose Primary Series'!#REF!,"AAAAAG/uu6A=")</f>
        <v>#REF!</v>
      </c>
      <c r="FF5" s="27" t="e">
        <f>AND('HepB 3-Dose Primary Series'!#REF!,"AAAAAG/uu6E=")</f>
        <v>#REF!</v>
      </c>
      <c r="FG5" s="27" t="e">
        <f>AND('HepB 3-Dose Primary Series'!#REF!,"AAAAAG/uu6I=")</f>
        <v>#REF!</v>
      </c>
      <c r="FH5" s="27" t="e">
        <f>AND('HepB 3-Dose Primary Series'!#REF!,"AAAAAG/uu6M=")</f>
        <v>#REF!</v>
      </c>
      <c r="FI5" s="27" t="e">
        <f>AND('HepB 3-Dose Primary Series'!#REF!,"AAAAAG/uu6Q=")</f>
        <v>#REF!</v>
      </c>
      <c r="FJ5" s="27" t="e">
        <f>AND('HepB 3-Dose Primary Series'!#REF!,"AAAAAG/uu6U=")</f>
        <v>#REF!</v>
      </c>
      <c r="FK5" s="27" t="e">
        <f>AND('HepB 3-Dose Primary Series'!#REF!,"AAAAAG/uu6Y=")</f>
        <v>#REF!</v>
      </c>
      <c r="FL5" s="27" t="e">
        <f>AND('HepB 3-Dose Primary Series'!#REF!,"AAAAAG/uu6c=")</f>
        <v>#REF!</v>
      </c>
      <c r="FM5" s="27" t="e">
        <f>IF('HepB 3-Dose Primary Series'!#REF!,"AAAAAG/uu6g=",0)</f>
        <v>#REF!</v>
      </c>
      <c r="FN5" s="27" t="e">
        <f>AND('HepB 3-Dose Primary Series'!#REF!,"AAAAAG/uu6k=")</f>
        <v>#REF!</v>
      </c>
      <c r="FO5" s="27" t="e">
        <f>AND('HepB 3-Dose Primary Series'!#REF!,"AAAAAG/uu6o=")</f>
        <v>#REF!</v>
      </c>
      <c r="FP5" s="27" t="e">
        <f>AND('HepB 3-Dose Primary Series'!#REF!,"AAAAAG/uu6s=")</f>
        <v>#REF!</v>
      </c>
      <c r="FQ5" s="27" t="e">
        <f>AND('HepB 3-Dose Primary Series'!#REF!,"AAAAAG/uu6w=")</f>
        <v>#REF!</v>
      </c>
      <c r="FR5" s="27" t="e">
        <f>AND('HepB 3-Dose Primary Series'!#REF!,"AAAAAG/uu60=")</f>
        <v>#REF!</v>
      </c>
      <c r="FS5" s="27" t="e">
        <f>AND('HepB 3-Dose Primary Series'!#REF!,"AAAAAG/uu64=")</f>
        <v>#REF!</v>
      </c>
      <c r="FT5" s="27" t="e">
        <f>AND('HepB 3-Dose Primary Series'!#REF!,"AAAAAG/uu68=")</f>
        <v>#REF!</v>
      </c>
      <c r="FU5" s="27" t="e">
        <f>AND('HepB 3-Dose Primary Series'!#REF!,"AAAAAG/uu7A=")</f>
        <v>#REF!</v>
      </c>
      <c r="FV5" s="27" t="e">
        <f>AND('HepB 3-Dose Primary Series'!#REF!,"AAAAAG/uu7E=")</f>
        <v>#REF!</v>
      </c>
      <c r="FW5" s="27" t="e">
        <f>IF('HepB 3-Dose Primary Series'!#REF!,"AAAAAG/uu7I=",0)</f>
        <v>#REF!</v>
      </c>
      <c r="FX5" s="27" t="e">
        <f>AND('HepB 3-Dose Primary Series'!#REF!,"AAAAAG/uu7M=")</f>
        <v>#REF!</v>
      </c>
      <c r="FY5" s="27" t="e">
        <f>AND('HepB 3-Dose Primary Series'!#REF!,"AAAAAG/uu7Q=")</f>
        <v>#REF!</v>
      </c>
      <c r="FZ5" s="27" t="e">
        <f>AND('HepB 3-Dose Primary Series'!#REF!,"AAAAAG/uu7U=")</f>
        <v>#REF!</v>
      </c>
      <c r="GA5" s="27" t="e">
        <f>AND('HepB 3-Dose Primary Series'!#REF!,"AAAAAG/uu7Y=")</f>
        <v>#REF!</v>
      </c>
      <c r="GB5" s="27" t="e">
        <f>AND('HepB 3-Dose Primary Series'!#REF!,"AAAAAG/uu7c=")</f>
        <v>#REF!</v>
      </c>
      <c r="GC5" s="27" t="e">
        <f>AND('HepB 3-Dose Primary Series'!#REF!,"AAAAAG/uu7g=")</f>
        <v>#REF!</v>
      </c>
      <c r="GD5" s="27" t="e">
        <f>AND('HepB 3-Dose Primary Series'!#REF!,"AAAAAG/uu7k=")</f>
        <v>#REF!</v>
      </c>
      <c r="GE5" s="27" t="e">
        <f>AND('HepB 3-Dose Primary Series'!#REF!,"AAAAAG/uu7o=")</f>
        <v>#REF!</v>
      </c>
      <c r="GF5" s="27" t="e">
        <f>AND('HepB 3-Dose Primary Series'!#REF!,"AAAAAG/uu7s=")</f>
        <v>#REF!</v>
      </c>
      <c r="GG5" s="27" t="e">
        <f>IF('HepB 3-Dose Primary Series'!#REF!,"AAAAAG/uu7w=",0)</f>
        <v>#REF!</v>
      </c>
      <c r="GH5" s="27" t="e">
        <f>AND('HepB 3-Dose Primary Series'!#REF!,"AAAAAG/uu70=")</f>
        <v>#REF!</v>
      </c>
      <c r="GI5" s="27" t="e">
        <f>AND('HepB 3-Dose Primary Series'!#REF!,"AAAAAG/uu74=")</f>
        <v>#REF!</v>
      </c>
      <c r="GJ5" s="27" t="e">
        <f>AND('HepB 3-Dose Primary Series'!#REF!,"AAAAAG/uu78=")</f>
        <v>#REF!</v>
      </c>
      <c r="GK5" s="27" t="e">
        <f>AND('HepB 3-Dose Primary Series'!#REF!,"AAAAAG/uu8A=")</f>
        <v>#REF!</v>
      </c>
      <c r="GL5" s="27" t="e">
        <f>AND('HepB 3-Dose Primary Series'!#REF!,"AAAAAG/uu8E=")</f>
        <v>#REF!</v>
      </c>
      <c r="GM5" s="27" t="e">
        <f>AND('HepB 3-Dose Primary Series'!#REF!,"AAAAAG/uu8I=")</f>
        <v>#REF!</v>
      </c>
      <c r="GN5" s="27" t="e">
        <f>AND('HepB 3-Dose Primary Series'!#REF!,"AAAAAG/uu8M=")</f>
        <v>#REF!</v>
      </c>
      <c r="GO5" s="27" t="e">
        <f>AND('HepB 3-Dose Primary Series'!#REF!,"AAAAAG/uu8Q=")</f>
        <v>#REF!</v>
      </c>
      <c r="GP5" s="27" t="e">
        <f>AND('HepB 3-Dose Primary Series'!#REF!,"AAAAAG/uu8U=")</f>
        <v>#REF!</v>
      </c>
      <c r="GQ5" s="27" t="e">
        <f>IF('HepB 3-Dose Primary Series'!#REF!,"AAAAAG/uu8Y=",0)</f>
        <v>#REF!</v>
      </c>
      <c r="GR5" s="27" t="e">
        <f>AND('HepB 3-Dose Primary Series'!#REF!,"AAAAAG/uu8c=")</f>
        <v>#REF!</v>
      </c>
      <c r="GS5" s="27" t="e">
        <f>AND('HepB 3-Dose Primary Series'!#REF!,"AAAAAG/uu8g=")</f>
        <v>#REF!</v>
      </c>
      <c r="GT5" s="27" t="e">
        <f>AND('HepB 3-Dose Primary Series'!#REF!,"AAAAAG/uu8k=")</f>
        <v>#REF!</v>
      </c>
      <c r="GU5" s="27" t="e">
        <f>AND('HepB 3-Dose Primary Series'!#REF!,"AAAAAG/uu8o=")</f>
        <v>#REF!</v>
      </c>
      <c r="GV5" s="27" t="e">
        <f>AND('HepB 3-Dose Primary Series'!#REF!,"AAAAAG/uu8s=")</f>
        <v>#REF!</v>
      </c>
      <c r="GW5" s="27" t="e">
        <f>AND('HepB 3-Dose Primary Series'!#REF!,"AAAAAG/uu8w=")</f>
        <v>#REF!</v>
      </c>
      <c r="GX5" s="27" t="e">
        <f>AND('HepB 3-Dose Primary Series'!#REF!,"AAAAAG/uu80=")</f>
        <v>#REF!</v>
      </c>
      <c r="GY5" s="27" t="e">
        <f>AND('HepB 3-Dose Primary Series'!#REF!,"AAAAAG/uu84=")</f>
        <v>#REF!</v>
      </c>
      <c r="GZ5" s="27" t="e">
        <f>AND('HepB 3-Dose Primary Series'!#REF!,"AAAAAG/uu88=")</f>
        <v>#REF!</v>
      </c>
      <c r="HA5" s="27">
        <v>0</v>
      </c>
      <c r="HB5" s="27" t="e">
        <f>AND('HepB 3-Dose Primary Series'!#REF!,"AAAAAG/uu9E=")</f>
        <v>#REF!</v>
      </c>
      <c r="HC5" s="27" t="e">
        <f>AND('HepB 3-Dose Primary Series'!#REF!,"AAAAAG/uu9I=")</f>
        <v>#REF!</v>
      </c>
      <c r="HD5" s="27" t="e">
        <f>AND('HepB 3-Dose Primary Series'!#REF!,"AAAAAG/uu9M=")</f>
        <v>#REF!</v>
      </c>
      <c r="HE5" s="27" t="e">
        <f>AND('HepB 3-Dose Primary Series'!#REF!,"AAAAAG/uu9Q=")</f>
        <v>#REF!</v>
      </c>
      <c r="HF5" s="27" t="e">
        <f>AND('HepB 3-Dose Primary Series'!#REF!,"AAAAAG/uu9U=")</f>
        <v>#REF!</v>
      </c>
      <c r="HG5" s="27" t="e">
        <f>AND('HepB 3-Dose Primary Series'!#REF!,"AAAAAG/uu9Y=")</f>
        <v>#REF!</v>
      </c>
      <c r="HH5" s="27" t="e">
        <f>AND('HepB 3-Dose Primary Series'!#REF!,"AAAAAG/uu9c=")</f>
        <v>#REF!</v>
      </c>
      <c r="HI5" s="27" t="e">
        <f>AND('HepB 3-Dose Primary Series'!#REF!,"AAAAAG/uu9g=")</f>
        <v>#REF!</v>
      </c>
      <c r="HJ5" s="27" t="e">
        <f>AND('HepB 3-Dose Primary Series'!#REF!,"AAAAAG/uu9k=")</f>
        <v>#REF!</v>
      </c>
      <c r="HK5" s="27">
        <v>0</v>
      </c>
      <c r="HL5" s="27" t="e">
        <f>AND('HepB 3-Dose Primary Series'!#REF!,"AAAAAG/uu9s=")</f>
        <v>#REF!</v>
      </c>
      <c r="HM5" s="27" t="e">
        <f>AND('HepB 3-Dose Primary Series'!#REF!,"AAAAAG/uu9w=")</f>
        <v>#REF!</v>
      </c>
      <c r="HN5" s="27" t="e">
        <f>AND('HepB 3-Dose Primary Series'!#REF!,"AAAAAG/uu90=")</f>
        <v>#REF!</v>
      </c>
      <c r="HO5" s="27" t="e">
        <f>AND('HepB 3-Dose Primary Series'!#REF!,"AAAAAG/uu94=")</f>
        <v>#REF!</v>
      </c>
      <c r="HP5" s="27" t="e">
        <f>AND('HepB 3-Dose Primary Series'!#REF!,"AAAAAG/uu98=")</f>
        <v>#REF!</v>
      </c>
      <c r="HQ5" s="27" t="e">
        <f>AND('HepB 3-Dose Primary Series'!#REF!,"AAAAAG/uu+A=")</f>
        <v>#REF!</v>
      </c>
      <c r="HR5" s="27" t="e">
        <f>AND('HepB 3-Dose Primary Series'!#REF!,"AAAAAG/uu+E=")</f>
        <v>#REF!</v>
      </c>
      <c r="HS5" s="27" t="e">
        <f>AND('HepB 3-Dose Primary Series'!#REF!,"AAAAAG/uu+I=")</f>
        <v>#REF!</v>
      </c>
      <c r="HT5" s="27" t="e">
        <f>AND('HepB 3-Dose Primary Series'!#REF!,"AAAAAG/uu+M=")</f>
        <v>#REF!</v>
      </c>
      <c r="HU5" s="27">
        <v>0</v>
      </c>
      <c r="HV5" s="27" t="e">
        <f>AND('HepB 3-Dose Primary Series'!A68,"AAAAAG/uu+U=")</f>
        <v>#VALUE!</v>
      </c>
      <c r="HW5" s="27" t="e">
        <f>AND('HepB 3-Dose Primary Series'!B68,"AAAAAG/uu+Y=")</f>
        <v>#VALUE!</v>
      </c>
      <c r="HX5" s="27" t="e">
        <f>AND('HepB 3-Dose Primary Series'!C68,"AAAAAG/uu+c=")</f>
        <v>#VALUE!</v>
      </c>
      <c r="HY5" s="27" t="e">
        <f>AND('HepB 3-Dose Primary Series'!D68,"AAAAAG/uu+g=")</f>
        <v>#VALUE!</v>
      </c>
      <c r="HZ5" s="27" t="e">
        <f>AND('HepB 3-Dose Primary Series'!E68,"AAAAAG/uu+k=")</f>
        <v>#VALUE!</v>
      </c>
      <c r="IA5" s="27" t="e">
        <f>AND('HepB 3-Dose Primary Series'!F68,"AAAAAG/uu+o=")</f>
        <v>#VALUE!</v>
      </c>
      <c r="IB5" s="27" t="e">
        <f>AND('HepB 3-Dose Primary Series'!G68,"AAAAAG/uu+s=")</f>
        <v>#VALUE!</v>
      </c>
      <c r="IC5" s="27" t="e">
        <f>AND('HepB 3-Dose Primary Series'!H68,"AAAAAG/uu+w=")</f>
        <v>#VALUE!</v>
      </c>
      <c r="ID5" s="27" t="e">
        <f>AND('HepB 3-Dose Primary Series'!#REF!,"AAAAAG/uu+0=")</f>
        <v>#REF!</v>
      </c>
      <c r="IE5" s="27">
        <v>0</v>
      </c>
      <c r="IF5" s="27" t="e">
        <f>AND('HepB 3-Dose Primary Series'!A69,"AAAAAG/uu+8=")</f>
        <v>#VALUE!</v>
      </c>
      <c r="IG5" s="27" t="e">
        <f>AND('HepB 3-Dose Primary Series'!B69,"AAAAAG/uu/A=")</f>
        <v>#VALUE!</v>
      </c>
      <c r="IH5" s="27" t="e">
        <f>AND('HepB 3-Dose Primary Series'!C69,"AAAAAG/uu/E=")</f>
        <v>#VALUE!</v>
      </c>
      <c r="II5" s="27" t="e">
        <f>AND('HepB 3-Dose Primary Series'!D69,"AAAAAG/uu/I=")</f>
        <v>#VALUE!</v>
      </c>
      <c r="IJ5" s="27" t="e">
        <f>AND('HepB 3-Dose Primary Series'!E69,"AAAAAG/uu/M=")</f>
        <v>#VALUE!</v>
      </c>
      <c r="IK5" s="27" t="e">
        <f>AND('HepB 3-Dose Primary Series'!F69,"AAAAAG/uu/Q=")</f>
        <v>#VALUE!</v>
      </c>
      <c r="IL5" s="27" t="e">
        <f>AND('HepB 3-Dose Primary Series'!G69,"AAAAAG/uu/U=")</f>
        <v>#VALUE!</v>
      </c>
      <c r="IM5" s="27" t="e">
        <f>AND('HepB 3-Dose Primary Series'!H69,"AAAAAG/uu/Y=")</f>
        <v>#VALUE!</v>
      </c>
      <c r="IN5" s="27" t="e">
        <f>AND('HepB 3-Dose Primary Series'!#REF!,"AAAAAG/uu/c=")</f>
        <v>#REF!</v>
      </c>
      <c r="IO5" s="27">
        <v>0</v>
      </c>
      <c r="IP5" s="27" t="e">
        <f>AND('HepB 3-Dose Primary Series'!#REF!,"AAAAAG/uu/k=")</f>
        <v>#REF!</v>
      </c>
      <c r="IQ5" s="27" t="e">
        <f>AND('HepB 3-Dose Primary Series'!#REF!,"AAAAAG/uu/o=")</f>
        <v>#REF!</v>
      </c>
      <c r="IR5" s="27" t="e">
        <f>AND('HepB 3-Dose Primary Series'!#REF!,"AAAAAG/uu/s=")</f>
        <v>#REF!</v>
      </c>
      <c r="IS5" s="27" t="e">
        <f>AND('HepB 3-Dose Primary Series'!#REF!,"AAAAAG/uu/w=")</f>
        <v>#REF!</v>
      </c>
      <c r="IT5" s="27" t="e">
        <f>AND('HepB 3-Dose Primary Series'!#REF!,"AAAAAG/uu/0=")</f>
        <v>#REF!</v>
      </c>
      <c r="IU5" s="27" t="e">
        <f>AND('HepB 3-Dose Primary Series'!#REF!,"AAAAAG/uu/4=")</f>
        <v>#REF!</v>
      </c>
      <c r="IV5" s="27" t="e">
        <f>AND('HepB 3-Dose Primary Series'!#REF!,"AAAAAG/uu/8=")</f>
        <v>#REF!</v>
      </c>
    </row>
    <row r="6" spans="1:256" ht="12.75" customHeight="1" x14ac:dyDescent="0.2">
      <c r="A6" s="27" t="e">
        <f>AND('HepB 3-Dose Primary Series'!#REF!,"AAAAADc2/wA=")</f>
        <v>#REF!</v>
      </c>
      <c r="B6" s="27" t="e">
        <f>AND('HepB 3-Dose Primary Series'!#REF!,"AAAAADc2/wE=")</f>
        <v>#REF!</v>
      </c>
      <c r="C6" s="27">
        <v>0</v>
      </c>
      <c r="D6" s="27" t="e">
        <f>AND('HepB 3-Dose Primary Series'!#REF!,"AAAAADc2/wM=")</f>
        <v>#REF!</v>
      </c>
      <c r="E6" s="27" t="e">
        <f>AND('HepB 3-Dose Primary Series'!#REF!,"AAAAADc2/wQ=")</f>
        <v>#REF!</v>
      </c>
      <c r="F6" s="27" t="e">
        <f>AND('HepB 3-Dose Primary Series'!#REF!,"AAAAADc2/wU=")</f>
        <v>#REF!</v>
      </c>
      <c r="G6" s="27" t="e">
        <f>AND('HepB 3-Dose Primary Series'!#REF!,"AAAAADc2/wY=")</f>
        <v>#REF!</v>
      </c>
      <c r="H6" s="27" t="e">
        <f>AND('HepB 3-Dose Primary Series'!#REF!,"AAAAADc2/wc=")</f>
        <v>#REF!</v>
      </c>
      <c r="I6" s="27" t="e">
        <f>AND('HepB 3-Dose Primary Series'!#REF!,"AAAAADc2/wg=")</f>
        <v>#REF!</v>
      </c>
      <c r="J6" s="27" t="e">
        <f>AND('HepB 3-Dose Primary Series'!#REF!,"AAAAADc2/wk=")</f>
        <v>#REF!</v>
      </c>
      <c r="K6" s="27" t="e">
        <f>AND('HepB 3-Dose Primary Series'!#REF!,"AAAAADc2/wo=")</f>
        <v>#REF!</v>
      </c>
      <c r="L6" s="27" t="e">
        <f>AND('HepB 3-Dose Primary Series'!#REF!,"AAAAADc2/ws=")</f>
        <v>#REF!</v>
      </c>
      <c r="M6" s="27">
        <v>0</v>
      </c>
      <c r="N6" s="27" t="e">
        <f>AND('HepB 3-Dose Primary Series'!A70,"AAAAADc2/w0=")</f>
        <v>#VALUE!</v>
      </c>
      <c r="O6" s="27" t="e">
        <f>AND('HepB 3-Dose Primary Series'!B70,"AAAAADc2/w4=")</f>
        <v>#VALUE!</v>
      </c>
      <c r="P6" s="27" t="e">
        <f>AND('HepB 3-Dose Primary Series'!C70,"AAAAADc2/w8=")</f>
        <v>#VALUE!</v>
      </c>
      <c r="Q6" s="27" t="e">
        <f>AND('HepB 3-Dose Primary Series'!D70,"AAAAADc2/xA=")</f>
        <v>#VALUE!</v>
      </c>
      <c r="R6" s="27" t="e">
        <f>AND('HepB 3-Dose Primary Series'!E70,"AAAAADc2/xE=")</f>
        <v>#VALUE!</v>
      </c>
      <c r="S6" s="27" t="e">
        <f>AND('HepB 3-Dose Primary Series'!F70,"AAAAADc2/xI=")</f>
        <v>#VALUE!</v>
      </c>
      <c r="T6" s="27" t="e">
        <f>AND('HepB 3-Dose Primary Series'!G70,"AAAAADc2/xM=")</f>
        <v>#VALUE!</v>
      </c>
      <c r="U6" s="27" t="e">
        <f>AND('HepB 3-Dose Primary Series'!H70,"AAAAADc2/xQ=")</f>
        <v>#VALUE!</v>
      </c>
      <c r="V6" s="27" t="e">
        <f>AND('HepB 3-Dose Primary Series'!#REF!,"AAAAADc2/xU=")</f>
        <v>#REF!</v>
      </c>
      <c r="W6" s="27">
        <v>0</v>
      </c>
      <c r="X6" s="27" t="e">
        <f>AND('HepB 3-Dose Primary Series'!A71,"AAAAADc2/xc=")</f>
        <v>#VALUE!</v>
      </c>
      <c r="Y6" s="27" t="e">
        <f>AND('HepB 3-Dose Primary Series'!B71,"AAAAADc2/xg=")</f>
        <v>#VALUE!</v>
      </c>
      <c r="Z6" s="27" t="e">
        <f>AND('HepB 3-Dose Primary Series'!C71,"AAAAADc2/xk=")</f>
        <v>#VALUE!</v>
      </c>
      <c r="AA6" s="27" t="e">
        <f>AND('HepB 3-Dose Primary Series'!D71,"AAAAADc2/xo=")</f>
        <v>#VALUE!</v>
      </c>
      <c r="AB6" s="27" t="e">
        <f>AND('HepB 3-Dose Primary Series'!E71,"AAAAADc2/xs=")</f>
        <v>#VALUE!</v>
      </c>
      <c r="AC6" s="27" t="e">
        <f>AND('HepB 3-Dose Primary Series'!F71,"AAAAADc2/xw=")</f>
        <v>#VALUE!</v>
      </c>
      <c r="AD6" s="27" t="e">
        <f>AND('HepB 3-Dose Primary Series'!G71,"AAAAADc2/x0=")</f>
        <v>#VALUE!</v>
      </c>
      <c r="AE6" s="27" t="e">
        <f>AND('HepB 3-Dose Primary Series'!H71,"AAAAADc2/x4=")</f>
        <v>#VALUE!</v>
      </c>
      <c r="AF6" s="27" t="e">
        <f>AND('HepB 3-Dose Primary Series'!#REF!,"AAAAADc2/x8=")</f>
        <v>#REF!</v>
      </c>
      <c r="AG6" s="27">
        <v>0</v>
      </c>
      <c r="AH6" s="27" t="e">
        <f>AND('HepB 3-Dose Primary Series'!#REF!,"AAAAADc2/yE=")</f>
        <v>#REF!</v>
      </c>
      <c r="AI6" s="27" t="e">
        <f>AND('HepB 3-Dose Primary Series'!#REF!,"AAAAADc2/yI=")</f>
        <v>#REF!</v>
      </c>
      <c r="AJ6" s="27" t="e">
        <f>AND('HepB 3-Dose Primary Series'!#REF!,"AAAAADc2/yM=")</f>
        <v>#REF!</v>
      </c>
      <c r="AK6" s="27" t="e">
        <f>AND('HepB 3-Dose Primary Series'!#REF!,"AAAAADc2/yQ=")</f>
        <v>#REF!</v>
      </c>
      <c r="AL6" s="27" t="e">
        <f>AND('HepB 3-Dose Primary Series'!#REF!,"AAAAADc2/yU=")</f>
        <v>#REF!</v>
      </c>
      <c r="AM6" s="27" t="e">
        <f>AND('HepB 3-Dose Primary Series'!#REF!,"AAAAADc2/yY=")</f>
        <v>#REF!</v>
      </c>
      <c r="AN6" s="27" t="e">
        <f>AND('HepB 3-Dose Primary Series'!#REF!,"AAAAADc2/yc=")</f>
        <v>#REF!</v>
      </c>
      <c r="AO6" s="27" t="e">
        <f>AND('HepB 3-Dose Primary Series'!#REF!,"AAAAADc2/yg=")</f>
        <v>#REF!</v>
      </c>
      <c r="AP6" s="27" t="e">
        <f>AND('HepB 3-Dose Primary Series'!#REF!,"AAAAADc2/yk=")</f>
        <v>#REF!</v>
      </c>
      <c r="AQ6" s="27">
        <v>0</v>
      </c>
      <c r="AR6" s="27" t="e">
        <f>AND('HepB 3-Dose Primary Series'!#REF!,"AAAAADc2/ys=")</f>
        <v>#REF!</v>
      </c>
      <c r="AS6" s="27" t="e">
        <f>AND('HepB 3-Dose Primary Series'!#REF!,"AAAAADc2/yw=")</f>
        <v>#REF!</v>
      </c>
      <c r="AT6" s="27" t="e">
        <f>AND('HepB 3-Dose Primary Series'!#REF!,"AAAAADc2/y0=")</f>
        <v>#REF!</v>
      </c>
      <c r="AU6" s="27" t="e">
        <f>AND('HepB 3-Dose Primary Series'!#REF!,"AAAAADc2/y4=")</f>
        <v>#REF!</v>
      </c>
      <c r="AV6" s="27" t="e">
        <f>AND('HepB 3-Dose Primary Series'!#REF!,"AAAAADc2/y8=")</f>
        <v>#REF!</v>
      </c>
      <c r="AW6" s="27" t="e">
        <f>AND('HepB 3-Dose Primary Series'!#REF!,"AAAAADc2/zA=")</f>
        <v>#REF!</v>
      </c>
      <c r="AX6" s="27" t="e">
        <f>AND('HepB 3-Dose Primary Series'!#REF!,"AAAAADc2/zE=")</f>
        <v>#REF!</v>
      </c>
      <c r="AY6" s="27" t="e">
        <f>AND('HepB 3-Dose Primary Series'!#REF!,"AAAAADc2/zI=")</f>
        <v>#REF!</v>
      </c>
      <c r="AZ6" s="27" t="e">
        <f>AND('HepB 3-Dose Primary Series'!#REF!,"AAAAADc2/zM=")</f>
        <v>#REF!</v>
      </c>
      <c r="BA6" s="27">
        <v>0</v>
      </c>
      <c r="BB6" s="27" t="e">
        <f>AND('HepB 3-Dose Primary Series'!A72,"AAAAADc2/zU=")</f>
        <v>#VALUE!</v>
      </c>
      <c r="BC6" s="27" t="e">
        <f>AND('HepB 3-Dose Primary Series'!B72,"AAAAADc2/zY=")</f>
        <v>#VALUE!</v>
      </c>
      <c r="BD6" s="27" t="e">
        <f>AND('HepB 3-Dose Primary Series'!C72,"AAAAADc2/zc=")</f>
        <v>#VALUE!</v>
      </c>
      <c r="BE6" s="27" t="e">
        <f>AND('HepB 3-Dose Primary Series'!D72,"AAAAADc2/zg=")</f>
        <v>#VALUE!</v>
      </c>
      <c r="BF6" s="27" t="e">
        <f>AND('HepB 3-Dose Primary Series'!E72,"AAAAADc2/zk=")</f>
        <v>#VALUE!</v>
      </c>
      <c r="BG6" s="27" t="e">
        <f>AND('HepB 3-Dose Primary Series'!F72,"AAAAADc2/zo=")</f>
        <v>#VALUE!</v>
      </c>
      <c r="BH6" s="27" t="e">
        <f>AND('HepB 3-Dose Primary Series'!G72,"AAAAADc2/zs=")</f>
        <v>#VALUE!</v>
      </c>
      <c r="BI6" s="27" t="e">
        <f>AND('HepB 3-Dose Primary Series'!H72,"AAAAADc2/zw=")</f>
        <v>#VALUE!</v>
      </c>
      <c r="BJ6" s="27" t="e">
        <f>AND('HepB 3-Dose Primary Series'!#REF!,"AAAAADc2/z0=")</f>
        <v>#REF!</v>
      </c>
      <c r="BK6" s="27">
        <v>0</v>
      </c>
      <c r="BL6" s="27" t="e">
        <f>AND('HepB 3-Dose Primary Series'!A73,"AAAAADc2/z8=")</f>
        <v>#VALUE!</v>
      </c>
      <c r="BM6" s="27" t="e">
        <f>AND('HepB 3-Dose Primary Series'!B73,"AAAAADc2/0A=")</f>
        <v>#VALUE!</v>
      </c>
      <c r="BN6" s="27" t="e">
        <f>AND('HepB 3-Dose Primary Series'!C73,"AAAAADc2/0E=")</f>
        <v>#VALUE!</v>
      </c>
      <c r="BO6" s="27" t="e">
        <f>AND('HepB 3-Dose Primary Series'!D73,"AAAAADc2/0I=")</f>
        <v>#VALUE!</v>
      </c>
      <c r="BP6" s="27" t="e">
        <f>AND('HepB 3-Dose Primary Series'!E73,"AAAAADc2/0M=")</f>
        <v>#VALUE!</v>
      </c>
      <c r="BQ6" s="27" t="e">
        <f>AND('HepB 3-Dose Primary Series'!F73,"AAAAADc2/0Q=")</f>
        <v>#VALUE!</v>
      </c>
      <c r="BR6" s="27" t="e">
        <f>AND('HepB 3-Dose Primary Series'!G73,"AAAAADc2/0U=")</f>
        <v>#VALUE!</v>
      </c>
      <c r="BS6" s="27" t="e">
        <f>AND('HepB 3-Dose Primary Series'!H73,"AAAAADc2/0Y=")</f>
        <v>#VALUE!</v>
      </c>
      <c r="BT6" s="27" t="e">
        <f>AND('HepB 3-Dose Primary Series'!#REF!,"AAAAADc2/0c=")</f>
        <v>#REF!</v>
      </c>
      <c r="BU6" s="27">
        <v>0</v>
      </c>
      <c r="BV6" s="27" t="e">
        <f>AND('HepB 3-Dose Primary Series'!#REF!,"AAAAADc2/0k=")</f>
        <v>#REF!</v>
      </c>
      <c r="BW6" s="27" t="e">
        <f>AND('HepB 3-Dose Primary Series'!#REF!,"AAAAADc2/0o=")</f>
        <v>#REF!</v>
      </c>
      <c r="BX6" s="27" t="e">
        <f>AND('HepB 3-Dose Primary Series'!#REF!,"AAAAADc2/0s=")</f>
        <v>#REF!</v>
      </c>
      <c r="BY6" s="27" t="e">
        <f>AND('HepB 3-Dose Primary Series'!#REF!,"AAAAADc2/0w=")</f>
        <v>#REF!</v>
      </c>
      <c r="BZ6" s="27" t="e">
        <f>AND('HepB 3-Dose Primary Series'!#REF!,"AAAAADc2/00=")</f>
        <v>#REF!</v>
      </c>
      <c r="CA6" s="27" t="e">
        <f>AND('HepB 3-Dose Primary Series'!#REF!,"AAAAADc2/04=")</f>
        <v>#REF!</v>
      </c>
      <c r="CB6" s="27" t="e">
        <f>AND('HepB 3-Dose Primary Series'!#REF!,"AAAAADc2/08=")</f>
        <v>#REF!</v>
      </c>
      <c r="CC6" s="27" t="e">
        <f>AND('HepB 3-Dose Primary Series'!#REF!,"AAAAADc2/1A=")</f>
        <v>#REF!</v>
      </c>
      <c r="CD6" s="27" t="e">
        <f>AND('HepB 3-Dose Primary Series'!#REF!,"AAAAADc2/1E=")</f>
        <v>#REF!</v>
      </c>
      <c r="CE6" s="27">
        <v>0</v>
      </c>
      <c r="CF6" s="27" t="e">
        <f>AND('HepB 3-Dose Primary Series'!A74,"AAAAADc2/1M=")</f>
        <v>#VALUE!</v>
      </c>
      <c r="CG6" s="27" t="e">
        <f>AND('HepB 3-Dose Primary Series'!B74,"AAAAADc2/1Q=")</f>
        <v>#VALUE!</v>
      </c>
      <c r="CH6" s="27" t="e">
        <f>AND('HepB 3-Dose Primary Series'!C76,"AAAAADc2/1U=")</f>
        <v>#VALUE!</v>
      </c>
      <c r="CI6" s="27" t="e">
        <f>AND('HepB 3-Dose Primary Series'!D76,"AAAAADc2/1Y=")</f>
        <v>#VALUE!</v>
      </c>
      <c r="CJ6" s="27" t="e">
        <f>AND('HepB 3-Dose Primary Series'!E76,"AAAAADc2/1c=")</f>
        <v>#VALUE!</v>
      </c>
      <c r="CK6" s="27" t="e">
        <f>AND('HepB 3-Dose Primary Series'!F76,"AAAAADc2/1g=")</f>
        <v>#VALUE!</v>
      </c>
      <c r="CL6" s="27" t="e">
        <f>AND('HepB 3-Dose Primary Series'!G74,"AAAAADc2/1k=")</f>
        <v>#VALUE!</v>
      </c>
      <c r="CM6" s="27" t="e">
        <f>AND('HepB 3-Dose Primary Series'!H74,"AAAAADc2/1o=")</f>
        <v>#VALUE!</v>
      </c>
      <c r="CN6" s="27" t="e">
        <f>AND('HepB 3-Dose Primary Series'!#REF!,"AAAAADc2/1s=")</f>
        <v>#REF!</v>
      </c>
      <c r="CO6" s="27">
        <v>0</v>
      </c>
      <c r="CP6" s="27" t="e">
        <f>AND('HepB 3-Dose Primary Series'!A75,"AAAAADc2/10=")</f>
        <v>#VALUE!</v>
      </c>
      <c r="CQ6" s="27" t="e">
        <f>AND('HepB 3-Dose Primary Series'!B75,"AAAAADc2/14=")</f>
        <v>#VALUE!</v>
      </c>
      <c r="CR6" s="27" t="e">
        <f>AND('HepB 3-Dose Primary Series'!C77,"AAAAADc2/18=")</f>
        <v>#VALUE!</v>
      </c>
      <c r="CS6" s="27" t="e">
        <f>AND('HepB 3-Dose Primary Series'!D77,"AAAAADc2/2A=")</f>
        <v>#VALUE!</v>
      </c>
      <c r="CT6" s="27" t="e">
        <f>AND('HepB 3-Dose Primary Series'!E77,"AAAAADc2/2E=")</f>
        <v>#VALUE!</v>
      </c>
      <c r="CU6" s="27" t="e">
        <f>AND('HepB 3-Dose Primary Series'!F77,"AAAAADc2/2I=")</f>
        <v>#VALUE!</v>
      </c>
      <c r="CV6" s="27" t="e">
        <f>AND('HepB 3-Dose Primary Series'!G75,"AAAAADc2/2M=")</f>
        <v>#VALUE!</v>
      </c>
      <c r="CW6" s="27" t="e">
        <f>AND('HepB 3-Dose Primary Series'!H75,"AAAAADc2/2Q=")</f>
        <v>#VALUE!</v>
      </c>
      <c r="CX6" s="27" t="e">
        <f>AND('HepB 3-Dose Primary Series'!#REF!,"AAAAADc2/2U=")</f>
        <v>#REF!</v>
      </c>
      <c r="CY6" s="27">
        <v>0</v>
      </c>
      <c r="CZ6" s="27" t="e">
        <f>AND('HepB 3-Dose Primary Series'!A76,"AAAAADc2/2c=")</f>
        <v>#VALUE!</v>
      </c>
      <c r="DA6" s="27" t="e">
        <f>AND('HepB 3-Dose Primary Series'!B76,"AAAAADc2/2g=")</f>
        <v>#VALUE!</v>
      </c>
      <c r="DB6" s="27" t="e">
        <f>AND('HepB 3-Dose Primary Series'!#REF!,"AAAAADc2/2k=")</f>
        <v>#REF!</v>
      </c>
      <c r="DC6" s="27" t="e">
        <f>AND('HepB 3-Dose Primary Series'!#REF!,"AAAAADc2/2o=")</f>
        <v>#REF!</v>
      </c>
      <c r="DD6" s="27" t="e">
        <f>AND('HepB 3-Dose Primary Series'!#REF!,"AAAAADc2/2s=")</f>
        <v>#REF!</v>
      </c>
      <c r="DE6" s="27" t="e">
        <f>AND('HepB 3-Dose Primary Series'!#REF!,"AAAAADc2/2w=")</f>
        <v>#REF!</v>
      </c>
      <c r="DF6" s="27" t="e">
        <f>AND('HepB 3-Dose Primary Series'!#REF!,"AAAAADc2/20=")</f>
        <v>#REF!</v>
      </c>
      <c r="DG6" s="27" t="e">
        <f>AND('HepB 3-Dose Primary Series'!H76,"AAAAADc2/24=")</f>
        <v>#VALUE!</v>
      </c>
      <c r="DH6" s="27" t="e">
        <f>AND('HepB 3-Dose Primary Series'!#REF!,"AAAAADc2/28=")</f>
        <v>#REF!</v>
      </c>
      <c r="DI6" s="27">
        <v>0</v>
      </c>
      <c r="DJ6" s="27" t="e">
        <f>AND('HepB 3-Dose Primary Series'!A77,"AAAAADc2/3E=")</f>
        <v>#VALUE!</v>
      </c>
      <c r="DK6" s="27" t="e">
        <f>AND('HepB 3-Dose Primary Series'!B77,"AAAAADc2/3I=")</f>
        <v>#VALUE!</v>
      </c>
      <c r="DL6" s="27" t="e">
        <f>AND('HepB 3-Dose Primary Series'!#REF!,"AAAAADc2/3M=")</f>
        <v>#REF!</v>
      </c>
      <c r="DM6" s="27" t="e">
        <f>AND('HepB 3-Dose Primary Series'!#REF!,"AAAAADc2/3Q=")</f>
        <v>#REF!</v>
      </c>
      <c r="DN6" s="27" t="e">
        <f>AND('HepB 3-Dose Primary Series'!#REF!,"AAAAADc2/3U=")</f>
        <v>#REF!</v>
      </c>
      <c r="DO6" s="27" t="e">
        <f>AND('HepB 3-Dose Primary Series'!#REF!,"AAAAADc2/3Y=")</f>
        <v>#REF!</v>
      </c>
      <c r="DP6" s="27" t="e">
        <f>AND('HepB 3-Dose Primary Series'!#REF!,"AAAAADc2/3c=")</f>
        <v>#REF!</v>
      </c>
      <c r="DQ6" s="27" t="e">
        <f>AND('HepB 3-Dose Primary Series'!H77,"AAAAADc2/3g=")</f>
        <v>#VALUE!</v>
      </c>
      <c r="DR6" s="27" t="e">
        <f>AND('HepB 3-Dose Primary Series'!#REF!,"AAAAADc2/3k=")</f>
        <v>#REF!</v>
      </c>
      <c r="DS6" s="27">
        <v>0</v>
      </c>
      <c r="DT6" s="27" t="e">
        <f>AND('HepB 3-Dose Primary Series'!A78,"AAAAADc2/3s=")</f>
        <v>#VALUE!</v>
      </c>
      <c r="DU6" s="27" t="e">
        <f>AND('HepB 3-Dose Primary Series'!B78,"AAAAADc2/3w=")</f>
        <v>#VALUE!</v>
      </c>
      <c r="DV6" s="27" t="e">
        <f>AND('HepB 3-Dose Primary Series'!C78,"AAAAADc2/30=")</f>
        <v>#VALUE!</v>
      </c>
      <c r="DW6" s="27" t="e">
        <f>AND('HepB 3-Dose Primary Series'!D78,"AAAAADc2/34=")</f>
        <v>#VALUE!</v>
      </c>
      <c r="DX6" s="27" t="e">
        <f>AND('HepB 3-Dose Primary Series'!E78,"AAAAADc2/38=")</f>
        <v>#VALUE!</v>
      </c>
      <c r="DY6" s="27" t="e">
        <f>AND('HepB 3-Dose Primary Series'!F78,"AAAAADc2/4A=")</f>
        <v>#VALUE!</v>
      </c>
      <c r="DZ6" s="27" t="e">
        <f>AND('HepB 3-Dose Primary Series'!G78,"AAAAADc2/4E=")</f>
        <v>#VALUE!</v>
      </c>
      <c r="EA6" s="27" t="e">
        <f>AND('HepB 3-Dose Primary Series'!H78,"AAAAADc2/4I=")</f>
        <v>#VALUE!</v>
      </c>
      <c r="EB6" s="27" t="e">
        <f>AND('HepB 3-Dose Primary Series'!#REF!,"AAAAADc2/4M=")</f>
        <v>#REF!</v>
      </c>
      <c r="EC6" s="27">
        <v>0</v>
      </c>
      <c r="ED6" s="27" t="e">
        <f>AND('HepB 3-Dose Primary Series'!A79,"AAAAADc2/4U=")</f>
        <v>#VALUE!</v>
      </c>
      <c r="EE6" s="27" t="e">
        <f>AND('HepB 3-Dose Primary Series'!B79,"AAAAADc2/4Y=")</f>
        <v>#VALUE!</v>
      </c>
      <c r="EF6" s="27" t="e">
        <f>AND('HepB 3-Dose Primary Series'!C79,"AAAAADc2/4c=")</f>
        <v>#VALUE!</v>
      </c>
      <c r="EG6" s="27" t="e">
        <f>AND('HepB 3-Dose Primary Series'!D79,"AAAAADc2/4g=")</f>
        <v>#VALUE!</v>
      </c>
      <c r="EH6" s="27" t="e">
        <f>AND('HepB 3-Dose Primary Series'!E79,"AAAAADc2/4k=")</f>
        <v>#VALUE!</v>
      </c>
      <c r="EI6" s="27" t="e">
        <f>AND('HepB 3-Dose Primary Series'!F79,"AAAAADc2/4o=")</f>
        <v>#VALUE!</v>
      </c>
      <c r="EJ6" s="27" t="e">
        <f>AND('HepB 3-Dose Primary Series'!G79,"AAAAADc2/4s=")</f>
        <v>#VALUE!</v>
      </c>
      <c r="EK6" s="27" t="e">
        <f>AND('HepB 3-Dose Primary Series'!H79,"AAAAADc2/4w=")</f>
        <v>#VALUE!</v>
      </c>
      <c r="EL6" s="27" t="e">
        <f>AND('HepB 3-Dose Primary Series'!#REF!,"AAAAADc2/40=")</f>
        <v>#REF!</v>
      </c>
      <c r="EM6" s="27">
        <v>0</v>
      </c>
      <c r="EN6" s="27" t="e">
        <f>AND('HepB 3-Dose Primary Series'!A80,"AAAAADc2/48=")</f>
        <v>#VALUE!</v>
      </c>
      <c r="EO6" s="27" t="e">
        <f>AND('HepB 3-Dose Primary Series'!B80,"AAAAADc2/5A=")</f>
        <v>#VALUE!</v>
      </c>
      <c r="EP6" s="27" t="e">
        <f>AND('HepB 3-Dose Primary Series'!C80,"AAAAADc2/5E=")</f>
        <v>#VALUE!</v>
      </c>
      <c r="EQ6" s="27" t="e">
        <f>AND('HepB 3-Dose Primary Series'!D80,"AAAAADc2/5I=")</f>
        <v>#VALUE!</v>
      </c>
      <c r="ER6" s="27" t="e">
        <f>AND('HepB 3-Dose Primary Series'!E80,"AAAAADc2/5M=")</f>
        <v>#VALUE!</v>
      </c>
      <c r="ES6" s="27" t="e">
        <f>AND('HepB 3-Dose Primary Series'!F80,"AAAAADc2/5Q=")</f>
        <v>#VALUE!</v>
      </c>
      <c r="ET6" s="27" t="e">
        <f>AND('HepB 3-Dose Primary Series'!G80,"AAAAADc2/5U=")</f>
        <v>#VALUE!</v>
      </c>
      <c r="EU6" s="27" t="e">
        <f>AND('HepB 3-Dose Primary Series'!H80,"AAAAADc2/5Y=")</f>
        <v>#VALUE!</v>
      </c>
      <c r="EV6" s="27" t="e">
        <f>AND('HepB 3-Dose Primary Series'!#REF!,"AAAAADc2/5c=")</f>
        <v>#REF!</v>
      </c>
      <c r="EW6" s="27">
        <v>0</v>
      </c>
      <c r="EX6" s="27" t="e">
        <f>AND('HepB 3-Dose Primary Series'!A83,"AAAAADc2/5k=")</f>
        <v>#VALUE!</v>
      </c>
      <c r="EY6" s="27" t="e">
        <f>AND('HepB 3-Dose Primary Series'!B83,"AAAAADc2/5o=")</f>
        <v>#VALUE!</v>
      </c>
      <c r="EZ6" s="27" t="e">
        <f>AND('HepB 3-Dose Primary Series'!C83,"AAAAADc2/5s=")</f>
        <v>#VALUE!</v>
      </c>
      <c r="FA6" s="27" t="e">
        <f>AND('HepB 3-Dose Primary Series'!D83,"AAAAADc2/5w=")</f>
        <v>#VALUE!</v>
      </c>
      <c r="FB6" s="27" t="e">
        <f>AND('HepB 3-Dose Primary Series'!E83,"AAAAADc2/50=")</f>
        <v>#VALUE!</v>
      </c>
      <c r="FC6" s="27" t="e">
        <f>AND('HepB 3-Dose Primary Series'!F83,"AAAAADc2/54=")</f>
        <v>#VALUE!</v>
      </c>
      <c r="FD6" s="27" t="e">
        <f>AND('HepB 3-Dose Primary Series'!G83,"AAAAADc2/58=")</f>
        <v>#VALUE!</v>
      </c>
      <c r="FE6" s="27" t="e">
        <f>AND('HepB 3-Dose Primary Series'!H83,"AAAAADc2/6A=")</f>
        <v>#VALUE!</v>
      </c>
      <c r="FF6" s="27" t="e">
        <f>AND('HepB 3-Dose Primary Series'!#REF!,"AAAAADc2/6E=")</f>
        <v>#REF!</v>
      </c>
      <c r="FG6" s="27">
        <v>0</v>
      </c>
      <c r="FH6" s="27" t="e">
        <f>AND('HepB 3-Dose Primary Series'!A84,"AAAAADc2/6M=")</f>
        <v>#VALUE!</v>
      </c>
      <c r="FI6" s="27" t="e">
        <f>AND('HepB 3-Dose Primary Series'!B84,"AAAAADc2/6Q=")</f>
        <v>#VALUE!</v>
      </c>
      <c r="FJ6" s="27" t="e">
        <f>AND('HepB 3-Dose Primary Series'!C84,"AAAAADc2/6U=")</f>
        <v>#VALUE!</v>
      </c>
      <c r="FK6" s="27" t="e">
        <f>AND('HepB 3-Dose Primary Series'!D84,"AAAAADc2/6Y=")</f>
        <v>#VALUE!</v>
      </c>
      <c r="FL6" s="27" t="e">
        <f>AND('HepB 3-Dose Primary Series'!E84,"AAAAADc2/6c=")</f>
        <v>#VALUE!</v>
      </c>
      <c r="FM6" s="27" t="e">
        <f>AND('HepB 3-Dose Primary Series'!F84,"AAAAADc2/6g=")</f>
        <v>#VALUE!</v>
      </c>
      <c r="FN6" s="27" t="e">
        <f>AND('HepB 3-Dose Primary Series'!G84,"AAAAADc2/6k=")</f>
        <v>#VALUE!</v>
      </c>
      <c r="FO6" s="27" t="e">
        <f>AND('HepB 3-Dose Primary Series'!H84,"AAAAADc2/6o=")</f>
        <v>#VALUE!</v>
      </c>
      <c r="FP6" s="27" t="e">
        <f>AND('HepB 3-Dose Primary Series'!#REF!,"AAAAADc2/6s=")</f>
        <v>#REF!</v>
      </c>
      <c r="FQ6" s="27">
        <v>0</v>
      </c>
      <c r="FR6" s="27" t="e">
        <f>AND('HepB 3-Dose Primary Series'!A85,"AAAAADc2/60=")</f>
        <v>#VALUE!</v>
      </c>
      <c r="FS6" s="27" t="e">
        <f>AND('HepB 3-Dose Primary Series'!#REF!,"AAAAADc2/64=")</f>
        <v>#REF!</v>
      </c>
      <c r="FT6" s="27" t="e">
        <f>AND('HepB 3-Dose Primary Series'!#REF!,"AAAAADc2/68=")</f>
        <v>#REF!</v>
      </c>
      <c r="FU6" s="27" t="e">
        <f>AND('HepB 3-Dose Primary Series'!#REF!,"AAAAADc2/7A=")</f>
        <v>#REF!</v>
      </c>
      <c r="FV6" s="27" t="e">
        <f>AND('HepB 3-Dose Primary Series'!#REF!,"AAAAADc2/7E=")</f>
        <v>#REF!</v>
      </c>
      <c r="FW6" s="27" t="e">
        <f>AND('HepB 3-Dose Primary Series'!#REF!,"AAAAADc2/7I=")</f>
        <v>#REF!</v>
      </c>
      <c r="FX6" s="27" t="e">
        <f>AND('HepB 3-Dose Primary Series'!G85,"AAAAADc2/7M=")</f>
        <v>#VALUE!</v>
      </c>
      <c r="FY6" s="27" t="e">
        <f>AND('HepB 3-Dose Primary Series'!H85,"AAAAADc2/7Q=")</f>
        <v>#VALUE!</v>
      </c>
      <c r="FZ6" s="27" t="e">
        <f>AND('HepB 3-Dose Primary Series'!#REF!,"AAAAADc2/7U=")</f>
        <v>#REF!</v>
      </c>
      <c r="GA6" s="27">
        <v>0</v>
      </c>
      <c r="GB6" s="27" t="e">
        <f>AND('HepB 3-Dose Primary Series'!A86,"AAAAADc2/7c=")</f>
        <v>#VALUE!</v>
      </c>
      <c r="GC6" s="27" t="e">
        <f>AND('HepB 3-Dose Primary Series'!B85,"AAAAADc2/7g=")</f>
        <v>#VALUE!</v>
      </c>
      <c r="GD6" s="27" t="e">
        <f>AND('HepB 3-Dose Primary Series'!C85,"AAAAADc2/7k=")</f>
        <v>#VALUE!</v>
      </c>
      <c r="GE6" s="27" t="e">
        <f>AND('HepB 3-Dose Primary Series'!D85,"AAAAADc2/7o=")</f>
        <v>#VALUE!</v>
      </c>
      <c r="GF6" s="27" t="e">
        <f>AND('HepB 3-Dose Primary Series'!E85,"AAAAADc2/7s=")</f>
        <v>#VALUE!</v>
      </c>
      <c r="GG6" s="27" t="e">
        <f>AND('HepB 3-Dose Primary Series'!F85,"AAAAADc2/7w=")</f>
        <v>#VALUE!</v>
      </c>
      <c r="GH6" s="27" t="e">
        <f>AND('HepB 3-Dose Primary Series'!G86,"AAAAADc2/70=")</f>
        <v>#VALUE!</v>
      </c>
      <c r="GI6" s="27" t="e">
        <f>AND('HepB 3-Dose Primary Series'!H86,"AAAAADc2/74=")</f>
        <v>#VALUE!</v>
      </c>
      <c r="GJ6" s="27" t="e">
        <f>AND('HepB 3-Dose Primary Series'!#REF!,"AAAAADc2/78=")</f>
        <v>#REF!</v>
      </c>
      <c r="GK6" s="27">
        <v>0</v>
      </c>
      <c r="GL6" s="27" t="e">
        <f>AND('HepB 3-Dose Primary Series'!A87,"AAAAADc2/8E=")</f>
        <v>#VALUE!</v>
      </c>
      <c r="GM6" s="27" t="e">
        <f>AND('HepB 3-Dose Primary Series'!B86,"AAAAADc2/8I=")</f>
        <v>#VALUE!</v>
      </c>
      <c r="GN6" s="27" t="e">
        <f>AND('HepB 3-Dose Primary Series'!C86,"AAAAADc2/8M=")</f>
        <v>#VALUE!</v>
      </c>
      <c r="GO6" s="27" t="e">
        <f>AND('HepB 3-Dose Primary Series'!D86,"AAAAADc2/8Q=")</f>
        <v>#VALUE!</v>
      </c>
      <c r="GP6" s="27" t="e">
        <f>AND('HepB 3-Dose Primary Series'!E86,"AAAAADc2/8U=")</f>
        <v>#VALUE!</v>
      </c>
      <c r="GQ6" s="27" t="e">
        <f>AND('HepB 3-Dose Primary Series'!F86,"AAAAADc2/8Y=")</f>
        <v>#VALUE!</v>
      </c>
      <c r="GR6" s="27" t="e">
        <f>AND('HepB 3-Dose Primary Series'!G87,"AAAAADc2/8c=")</f>
        <v>#VALUE!</v>
      </c>
      <c r="GS6" s="27" t="e">
        <f>AND('HepB 3-Dose Primary Series'!H87,"AAAAADc2/8g=")</f>
        <v>#VALUE!</v>
      </c>
      <c r="GT6" s="27" t="e">
        <f>AND('HepB 3-Dose Primary Series'!#REF!,"AAAAADc2/8k=")</f>
        <v>#REF!</v>
      </c>
      <c r="GU6" s="27">
        <v>0</v>
      </c>
      <c r="GV6" s="27" t="e">
        <f>AND('HepB 3-Dose Primary Series'!A88,"AAAAADc2/8s=")</f>
        <v>#VALUE!</v>
      </c>
      <c r="GW6" s="27" t="e">
        <f>AND('HepB 3-Dose Primary Series'!B87,"AAAAADc2/8w=")</f>
        <v>#VALUE!</v>
      </c>
      <c r="GX6" s="27" t="e">
        <f>AND('HepB 3-Dose Primary Series'!C87,"AAAAADc2/80=")</f>
        <v>#VALUE!</v>
      </c>
      <c r="GY6" s="27" t="e">
        <f>AND('HepB 3-Dose Primary Series'!D87,"AAAAADc2/84=")</f>
        <v>#VALUE!</v>
      </c>
      <c r="GZ6" s="27" t="e">
        <f>AND('HepB 3-Dose Primary Series'!E87,"AAAAADc2/88=")</f>
        <v>#VALUE!</v>
      </c>
      <c r="HA6" s="27" t="e">
        <f>AND('HepB 3-Dose Primary Series'!F87,"AAAAADc2/9A=")</f>
        <v>#VALUE!</v>
      </c>
      <c r="HB6" s="27" t="e">
        <f>AND('HepB 3-Dose Primary Series'!G88,"AAAAADc2/9E=")</f>
        <v>#VALUE!</v>
      </c>
      <c r="HC6" s="27" t="e">
        <f>AND('HepB 3-Dose Primary Series'!H88,"AAAAADc2/9I=")</f>
        <v>#VALUE!</v>
      </c>
      <c r="HD6" s="27" t="e">
        <f>AND('HepB 3-Dose Primary Series'!#REF!,"AAAAADc2/9M=")</f>
        <v>#REF!</v>
      </c>
      <c r="HE6" s="27">
        <v>0</v>
      </c>
      <c r="HF6" s="27" t="e">
        <f>AND('HepB 3-Dose Primary Series'!#REF!,"AAAAADc2/9U=")</f>
        <v>#REF!</v>
      </c>
      <c r="HG6" s="27" t="e">
        <f>AND('HepB 3-Dose Primary Series'!B88,"AAAAADc2/9Y=")</f>
        <v>#VALUE!</v>
      </c>
      <c r="HH6" s="27" t="e">
        <f>AND('HepB 3-Dose Primary Series'!C88,"AAAAADc2/9c=")</f>
        <v>#VALUE!</v>
      </c>
      <c r="HI6" s="27" t="e">
        <f>AND('HepB 3-Dose Primary Series'!D88,"AAAAADc2/9g=")</f>
        <v>#VALUE!</v>
      </c>
      <c r="HJ6" s="27" t="e">
        <f>AND('HepB 3-Dose Primary Series'!E88,"AAAAADc2/9k=")</f>
        <v>#VALUE!</v>
      </c>
      <c r="HK6" s="27" t="e">
        <f>AND('HepB 3-Dose Primary Series'!F88,"AAAAADc2/9o=")</f>
        <v>#VALUE!</v>
      </c>
      <c r="HL6" s="27" t="e">
        <f>AND('HepB 3-Dose Primary Series'!#REF!,"AAAAADc2/9s=")</f>
        <v>#REF!</v>
      </c>
      <c r="HM6" s="27" t="e">
        <f>AND('HepB 3-Dose Primary Series'!#REF!,"AAAAADc2/9w=")</f>
        <v>#REF!</v>
      </c>
      <c r="HN6" s="27" t="e">
        <f>AND('HepB 3-Dose Primary Series'!#REF!,"AAAAADc2/90=")</f>
        <v>#REF!</v>
      </c>
      <c r="HO6" s="27">
        <v>0</v>
      </c>
      <c r="HP6" s="27" t="e">
        <f>AND('HepB 3-Dose Primary Series'!#REF!,"AAAAADc2/98=")</f>
        <v>#REF!</v>
      </c>
      <c r="HQ6" s="27" t="e">
        <f>AND('HepB 3-Dose Primary Series'!#REF!,"AAAAADc2/+A=")</f>
        <v>#REF!</v>
      </c>
      <c r="HR6" s="27" t="e">
        <f>AND('HepB 3-Dose Primary Series'!#REF!,"AAAAADc2/+E=")</f>
        <v>#REF!</v>
      </c>
      <c r="HS6" s="27" t="e">
        <f>AND('HepB 3-Dose Primary Series'!#REF!,"AAAAADc2/+I=")</f>
        <v>#REF!</v>
      </c>
      <c r="HT6" s="27" t="e">
        <f>AND('HepB 3-Dose Primary Series'!#REF!,"AAAAADc2/+M=")</f>
        <v>#REF!</v>
      </c>
      <c r="HU6" s="27" t="e">
        <f>AND('HepB 3-Dose Primary Series'!#REF!,"AAAAADc2/+Q=")</f>
        <v>#REF!</v>
      </c>
      <c r="HV6" s="27" t="e">
        <f>AND('HepB 3-Dose Primary Series'!#REF!,"AAAAADc2/+U=")</f>
        <v>#REF!</v>
      </c>
      <c r="HW6" s="27" t="e">
        <f>AND('HepB 3-Dose Primary Series'!#REF!,"AAAAADc2/+Y=")</f>
        <v>#REF!</v>
      </c>
      <c r="HX6" s="27" t="e">
        <f>AND('HepB 3-Dose Primary Series'!#REF!,"AAAAADc2/+c=")</f>
        <v>#REF!</v>
      </c>
      <c r="HY6" s="27">
        <v>0</v>
      </c>
      <c r="HZ6" s="27" t="e">
        <f>AND('HepB 3-Dose Primary Series'!#REF!,"AAAAADc2/+k=")</f>
        <v>#REF!</v>
      </c>
      <c r="IA6" s="27" t="e">
        <f>AND('HepB 3-Dose Primary Series'!#REF!,"AAAAADc2/+o=")</f>
        <v>#REF!</v>
      </c>
      <c r="IB6" s="27" t="e">
        <f>AND('HepB 3-Dose Primary Series'!#REF!,"AAAAADc2/+s=")</f>
        <v>#REF!</v>
      </c>
      <c r="IC6" s="27" t="e">
        <f>AND('HepB 3-Dose Primary Series'!#REF!,"AAAAADc2/+w=")</f>
        <v>#REF!</v>
      </c>
      <c r="ID6" s="27" t="e">
        <f>AND('HepB 3-Dose Primary Series'!#REF!,"AAAAADc2/+0=")</f>
        <v>#REF!</v>
      </c>
      <c r="IE6" s="27" t="e">
        <f>AND('HepB 3-Dose Primary Series'!#REF!,"AAAAADc2/+4=")</f>
        <v>#REF!</v>
      </c>
      <c r="IF6" s="27" t="e">
        <f>AND('HepB 3-Dose Primary Series'!#REF!,"AAAAADc2/+8=")</f>
        <v>#REF!</v>
      </c>
      <c r="IG6" s="27" t="e">
        <f>AND('HepB 3-Dose Primary Series'!#REF!,"AAAAADc2//A=")</f>
        <v>#REF!</v>
      </c>
      <c r="IH6" s="27" t="e">
        <f>AND('HepB 3-Dose Primary Series'!#REF!,"AAAAADc2//E=")</f>
        <v>#REF!</v>
      </c>
      <c r="II6" s="27">
        <v>0</v>
      </c>
      <c r="IJ6" s="27" t="e">
        <f>AND('HepB 3-Dose Primary Series'!#REF!,"AAAAADc2//M=")</f>
        <v>#REF!</v>
      </c>
      <c r="IK6" s="27" t="e">
        <f>AND('HepB 3-Dose Primary Series'!#REF!,"AAAAADc2//Q=")</f>
        <v>#REF!</v>
      </c>
      <c r="IL6" s="27" t="e">
        <f>AND('HepB 3-Dose Primary Series'!#REF!,"AAAAADc2//U=")</f>
        <v>#REF!</v>
      </c>
      <c r="IM6" s="27" t="e">
        <f>AND('HepB 3-Dose Primary Series'!#REF!,"AAAAADc2//Y=")</f>
        <v>#REF!</v>
      </c>
      <c r="IN6" s="27" t="e">
        <f>AND('HepB 3-Dose Primary Series'!#REF!,"AAAAADc2//c=")</f>
        <v>#REF!</v>
      </c>
      <c r="IO6" s="27" t="e">
        <f>AND('HepB 3-Dose Primary Series'!#REF!,"AAAAADc2//g=")</f>
        <v>#REF!</v>
      </c>
      <c r="IP6" s="27" t="e">
        <f>AND('HepB 3-Dose Primary Series'!#REF!,"AAAAADc2//k=")</f>
        <v>#REF!</v>
      </c>
      <c r="IQ6" s="27" t="e">
        <f>AND('HepB 3-Dose Primary Series'!#REF!,"AAAAADc2//o=")</f>
        <v>#REF!</v>
      </c>
      <c r="IR6" s="27" t="e">
        <f>AND('HepB 3-Dose Primary Series'!#REF!,"AAAAADc2//s=")</f>
        <v>#REF!</v>
      </c>
      <c r="IS6" s="27">
        <v>0</v>
      </c>
      <c r="IT6" s="27" t="e">
        <f>AND('HepB 3-Dose Primary Series'!A89,"AAAAADc2//0=")</f>
        <v>#VALUE!</v>
      </c>
      <c r="IU6" s="27" t="e">
        <f>AND('HepB 3-Dose Primary Series'!B89,"AAAAADc2//4=")</f>
        <v>#VALUE!</v>
      </c>
      <c r="IV6" s="27" t="e">
        <f>AND('HepB 3-Dose Primary Series'!C89,"AAAAADc2//8=")</f>
        <v>#VALUE!</v>
      </c>
    </row>
    <row r="7" spans="1:256" ht="12.75" customHeight="1" x14ac:dyDescent="0.2">
      <c r="A7" s="27" t="e">
        <f>AND('HepB 3-Dose Primary Series'!D89,"AAAAAFNv3wA=")</f>
        <v>#VALUE!</v>
      </c>
      <c r="B7" s="27" t="e">
        <f>AND('HepB 3-Dose Primary Series'!E89,"AAAAAFNv3wE=")</f>
        <v>#VALUE!</v>
      </c>
      <c r="C7" s="27" t="e">
        <f>AND('HepB 3-Dose Primary Series'!F89,"AAAAAFNv3wI=")</f>
        <v>#VALUE!</v>
      </c>
      <c r="D7" s="27" t="e">
        <f>AND('HepB 3-Dose Primary Series'!G89,"AAAAAFNv3wM=")</f>
        <v>#VALUE!</v>
      </c>
      <c r="E7" s="27" t="e">
        <f>AND('HepB 3-Dose Primary Series'!H89,"AAAAAFNv3wQ=")</f>
        <v>#VALUE!</v>
      </c>
      <c r="F7" s="27" t="e">
        <f>AND('HepB 3-Dose Primary Series'!#REF!,"AAAAAFNv3wU=")</f>
        <v>#REF!</v>
      </c>
      <c r="G7" s="27">
        <v>0</v>
      </c>
      <c r="H7" s="27" t="e">
        <f>AND('HepB 3-Dose Primary Series'!A90,"AAAAAFNv3wc=")</f>
        <v>#VALUE!</v>
      </c>
      <c r="I7" s="27" t="e">
        <f>AND('HepB 3-Dose Primary Series'!B90,"AAAAAFNv3wg=")</f>
        <v>#VALUE!</v>
      </c>
      <c r="J7" s="27" t="e">
        <f>AND('HepB 3-Dose Primary Series'!C90,"AAAAAFNv3wk=")</f>
        <v>#VALUE!</v>
      </c>
      <c r="K7" s="27" t="e">
        <f>AND('HepB 3-Dose Primary Series'!D90,"AAAAAFNv3wo=")</f>
        <v>#VALUE!</v>
      </c>
      <c r="L7" s="27" t="e">
        <f>AND('HepB 3-Dose Primary Series'!E90,"AAAAAFNv3ws=")</f>
        <v>#VALUE!</v>
      </c>
      <c r="M7" s="27" t="e">
        <f>AND('HepB 3-Dose Primary Series'!F90,"AAAAAFNv3ww=")</f>
        <v>#VALUE!</v>
      </c>
      <c r="N7" s="27" t="e">
        <f>AND('HepB 3-Dose Primary Series'!G90,"AAAAAFNv3w0=")</f>
        <v>#VALUE!</v>
      </c>
      <c r="O7" s="27" t="e">
        <f>AND('HepB 3-Dose Primary Series'!H90,"AAAAAFNv3w4=")</f>
        <v>#VALUE!</v>
      </c>
      <c r="P7" s="27" t="e">
        <f>AND('HepB 3-Dose Primary Series'!#REF!,"AAAAAFNv3w8=")</f>
        <v>#REF!</v>
      </c>
      <c r="Q7" s="27">
        <v>0</v>
      </c>
      <c r="R7" s="27" t="e">
        <f>AND('HepB 3-Dose Primary Series'!A91,"AAAAAFNv3xE=")</f>
        <v>#VALUE!</v>
      </c>
      <c r="S7" s="27" t="e">
        <f>AND('HepB 3-Dose Primary Series'!#REF!,"AAAAAFNv3xI=")</f>
        <v>#REF!</v>
      </c>
      <c r="T7" s="27" t="e">
        <f>AND('HepB 3-Dose Primary Series'!#REF!,"AAAAAFNv3xM=")</f>
        <v>#REF!</v>
      </c>
      <c r="U7" s="27" t="e">
        <f>AND('HepB 3-Dose Primary Series'!#REF!,"AAAAAFNv3xQ=")</f>
        <v>#REF!</v>
      </c>
      <c r="V7" s="27" t="e">
        <f>AND('HepB 3-Dose Primary Series'!E91,"AAAAAFNv3xU=")</f>
        <v>#VALUE!</v>
      </c>
      <c r="W7" s="27" t="e">
        <f>AND('HepB 3-Dose Primary Series'!F91,"AAAAAFNv3xY=")</f>
        <v>#VALUE!</v>
      </c>
      <c r="X7" s="27" t="e">
        <f>AND('HepB 3-Dose Primary Series'!G91,"AAAAAFNv3xc=")</f>
        <v>#VALUE!</v>
      </c>
      <c r="Y7" s="27" t="e">
        <f>AND('HepB 3-Dose Primary Series'!H91,"AAAAAFNv3xg=")</f>
        <v>#VALUE!</v>
      </c>
      <c r="Z7" s="27" t="e">
        <f>AND('HepB 3-Dose Primary Series'!#REF!,"AAAAAFNv3xk=")</f>
        <v>#REF!</v>
      </c>
      <c r="AA7" s="27">
        <v>0</v>
      </c>
      <c r="AB7" s="27" t="e">
        <f>AND('HepB 3-Dose Primary Series'!A92,"AAAAAFNv3xs=")</f>
        <v>#VALUE!</v>
      </c>
      <c r="AC7" s="27" t="e">
        <f>AND('HepB 3-Dose Primary Series'!B91,"AAAAAFNv3xw=")</f>
        <v>#VALUE!</v>
      </c>
      <c r="AD7" s="27" t="e">
        <f>AND('HepB 3-Dose Primary Series'!C91,"AAAAAFNv3x0=")</f>
        <v>#VALUE!</v>
      </c>
      <c r="AE7" s="27" t="e">
        <f>AND('HepB 3-Dose Primary Series'!D91,"AAAAAFNv3x4=")</f>
        <v>#VALUE!</v>
      </c>
      <c r="AF7" s="27" t="e">
        <f>AND('HepB 3-Dose Primary Series'!E92,"AAAAAFNv3x8=")</f>
        <v>#VALUE!</v>
      </c>
      <c r="AG7" s="27" t="e">
        <f>AND('HepB 3-Dose Primary Series'!F92,"AAAAAFNv3yA=")</f>
        <v>#VALUE!</v>
      </c>
      <c r="AH7" s="27" t="e">
        <f>AND('HepB 3-Dose Primary Series'!G92,"AAAAAFNv3yE=")</f>
        <v>#VALUE!</v>
      </c>
      <c r="AI7" s="27" t="e">
        <f>AND('HepB 3-Dose Primary Series'!H92,"AAAAAFNv3yI=")</f>
        <v>#VALUE!</v>
      </c>
      <c r="AJ7" s="27" t="e">
        <f>AND('HepB 3-Dose Primary Series'!#REF!,"AAAAAFNv3yM=")</f>
        <v>#REF!</v>
      </c>
      <c r="AK7" s="27">
        <v>0</v>
      </c>
      <c r="AL7" s="27" t="e">
        <f>AND('HepB 3-Dose Primary Series'!A93,"AAAAAFNv3yU=")</f>
        <v>#VALUE!</v>
      </c>
      <c r="AM7" s="27" t="e">
        <f>AND('HepB 3-Dose Primary Series'!B92,"AAAAAFNv3yY=")</f>
        <v>#VALUE!</v>
      </c>
      <c r="AN7" s="27" t="e">
        <f>AND('HepB 3-Dose Primary Series'!C92,"AAAAAFNv3yc=")</f>
        <v>#VALUE!</v>
      </c>
      <c r="AO7" s="27" t="e">
        <f>AND('HepB 3-Dose Primary Series'!D92,"AAAAAFNv3yg=")</f>
        <v>#VALUE!</v>
      </c>
      <c r="AP7" s="27" t="e">
        <f>AND('HepB 3-Dose Primary Series'!E93,"AAAAAFNv3yk=")</f>
        <v>#VALUE!</v>
      </c>
      <c r="AQ7" s="27" t="e">
        <f>AND('HepB 3-Dose Primary Series'!F93,"AAAAAFNv3yo=")</f>
        <v>#VALUE!</v>
      </c>
      <c r="AR7" s="27" t="e">
        <f>AND('HepB 3-Dose Primary Series'!G93,"AAAAAFNv3ys=")</f>
        <v>#VALUE!</v>
      </c>
      <c r="AS7" s="27" t="e">
        <f>AND('HepB 3-Dose Primary Series'!H93,"AAAAAFNv3yw=")</f>
        <v>#VALUE!</v>
      </c>
      <c r="AT7" s="27" t="e">
        <f>AND('HepB 3-Dose Primary Series'!#REF!,"AAAAAFNv3y0=")</f>
        <v>#REF!</v>
      </c>
      <c r="AU7" s="27">
        <v>0</v>
      </c>
      <c r="AV7" s="27" t="e">
        <f>AND('HepB 3-Dose Primary Series'!A94,"AAAAAFNv3y8=")</f>
        <v>#VALUE!</v>
      </c>
      <c r="AW7" s="27" t="e">
        <f>AND('HepB 3-Dose Primary Series'!B93,"AAAAAFNv3zA=")</f>
        <v>#VALUE!</v>
      </c>
      <c r="AX7" s="27" t="e">
        <f>AND('HepB 3-Dose Primary Series'!C93,"AAAAAFNv3zE=")</f>
        <v>#VALUE!</v>
      </c>
      <c r="AY7" s="27" t="e">
        <f>AND('HepB 3-Dose Primary Series'!D93,"AAAAAFNv3zI=")</f>
        <v>#VALUE!</v>
      </c>
      <c r="AZ7" s="27" t="e">
        <f>AND('HepB 3-Dose Primary Series'!E94,"AAAAAFNv3zM=")</f>
        <v>#VALUE!</v>
      </c>
      <c r="BA7" s="27" t="e">
        <f>AND('HepB 3-Dose Primary Series'!F94,"AAAAAFNv3zQ=")</f>
        <v>#VALUE!</v>
      </c>
      <c r="BB7" s="27" t="e">
        <f>AND('HepB 3-Dose Primary Series'!G94,"AAAAAFNv3zU=")</f>
        <v>#VALUE!</v>
      </c>
      <c r="BC7" s="27" t="e">
        <f>AND('HepB 3-Dose Primary Series'!H94,"AAAAAFNv3zY=")</f>
        <v>#VALUE!</v>
      </c>
      <c r="BD7" s="27" t="e">
        <f>AND('HepB 3-Dose Primary Series'!#REF!,"AAAAAFNv3zc=")</f>
        <v>#REF!</v>
      </c>
      <c r="BE7" s="27">
        <v>0</v>
      </c>
      <c r="BF7" s="27" t="e">
        <f>AND('HepB 3-Dose Primary Series'!A95,"AAAAAFNv3zk=")</f>
        <v>#VALUE!</v>
      </c>
      <c r="BG7" s="27" t="e">
        <f>AND('HepB 3-Dose Primary Series'!B94,"AAAAAFNv3zo=")</f>
        <v>#VALUE!</v>
      </c>
      <c r="BH7" s="27" t="e">
        <f>AND('HepB 3-Dose Primary Series'!C94,"AAAAAFNv3zs=")</f>
        <v>#VALUE!</v>
      </c>
      <c r="BI7" s="27" t="e">
        <f>AND('HepB 3-Dose Primary Series'!D94,"AAAAAFNv3zw=")</f>
        <v>#VALUE!</v>
      </c>
      <c r="BJ7" s="27" t="e">
        <f>AND('HepB 3-Dose Primary Series'!E95,"AAAAAFNv3z0=")</f>
        <v>#VALUE!</v>
      </c>
      <c r="BK7" s="27" t="e">
        <f>AND('HepB 3-Dose Primary Series'!F95,"AAAAAFNv3z4=")</f>
        <v>#VALUE!</v>
      </c>
      <c r="BL7" s="27" t="e">
        <f>AND('HepB 3-Dose Primary Series'!G95,"AAAAAFNv3z8=")</f>
        <v>#VALUE!</v>
      </c>
      <c r="BM7" s="27" t="e">
        <f>AND('HepB 3-Dose Primary Series'!H95,"AAAAAFNv30A=")</f>
        <v>#VALUE!</v>
      </c>
      <c r="BN7" s="27" t="e">
        <f>AND('HepB 3-Dose Primary Series'!#REF!,"AAAAAFNv30E=")</f>
        <v>#REF!</v>
      </c>
      <c r="BO7" s="27">
        <v>0</v>
      </c>
      <c r="BP7" s="27" t="e">
        <f>AND('HepB 3-Dose Primary Series'!A100,"AAAAAFNv30M=")</f>
        <v>#VALUE!</v>
      </c>
      <c r="BQ7" s="27" t="e">
        <f>AND('HepB 3-Dose Primary Series'!B95,"AAAAAFNv30Q=")</f>
        <v>#VALUE!</v>
      </c>
      <c r="BR7" s="27" t="e">
        <f>AND('HepB 3-Dose Primary Series'!C95,"AAAAAFNv30U=")</f>
        <v>#VALUE!</v>
      </c>
      <c r="BS7" s="27" t="e">
        <f>AND('HepB 3-Dose Primary Series'!D95,"AAAAAFNv30Y=")</f>
        <v>#VALUE!</v>
      </c>
      <c r="BT7" s="27" t="e">
        <f>AND('HepB 3-Dose Primary Series'!E100,"AAAAAFNv30c=")</f>
        <v>#VALUE!</v>
      </c>
      <c r="BU7" s="27" t="e">
        <f>AND('HepB 3-Dose Primary Series'!F100,"AAAAAFNv30g=")</f>
        <v>#VALUE!</v>
      </c>
      <c r="BV7" s="27" t="e">
        <f>AND('HepB 3-Dose Primary Series'!G100,"AAAAAFNv30k=")</f>
        <v>#VALUE!</v>
      </c>
      <c r="BW7" s="27" t="e">
        <f>AND('HepB 3-Dose Primary Series'!H100,"AAAAAFNv30o=")</f>
        <v>#VALUE!</v>
      </c>
      <c r="BX7" s="27" t="e">
        <f>AND('HepB 3-Dose Primary Series'!#REF!,"AAAAAFNv30s=")</f>
        <v>#REF!</v>
      </c>
      <c r="BY7" s="27">
        <v>0</v>
      </c>
      <c r="BZ7" s="27" t="e">
        <f>AND('HepB 3-Dose Primary Series'!#REF!,"AAAAAFNv300=")</f>
        <v>#REF!</v>
      </c>
      <c r="CA7" s="27" t="e">
        <f>AND('HepB 3-Dose Primary Series'!B100,"AAAAAFNv304=")</f>
        <v>#VALUE!</v>
      </c>
      <c r="CB7" s="27" t="e">
        <f>AND('HepB 3-Dose Primary Series'!C100,"AAAAAFNv308=")</f>
        <v>#VALUE!</v>
      </c>
      <c r="CC7" s="27" t="e">
        <f>AND('HepB 3-Dose Primary Series'!D100,"AAAAAFNv31A=")</f>
        <v>#VALUE!</v>
      </c>
      <c r="CD7" s="27" t="e">
        <f>AND('HepB 3-Dose Primary Series'!#REF!,"AAAAAFNv31E=")</f>
        <v>#REF!</v>
      </c>
      <c r="CE7" s="27" t="e">
        <f>AND('HepB 3-Dose Primary Series'!#REF!,"AAAAAFNv31I=")</f>
        <v>#REF!</v>
      </c>
      <c r="CF7" s="27" t="e">
        <f>AND('HepB 3-Dose Primary Series'!#REF!,"AAAAAFNv31M=")</f>
        <v>#REF!</v>
      </c>
      <c r="CG7" s="27" t="e">
        <f>AND('HepB 3-Dose Primary Series'!#REF!,"AAAAAFNv31Q=")</f>
        <v>#REF!</v>
      </c>
      <c r="CH7" s="27" t="e">
        <f>AND('HepB 3-Dose Primary Series'!#REF!,"AAAAAFNv31U=")</f>
        <v>#REF!</v>
      </c>
      <c r="CI7" s="27" t="e">
        <f>IF('HepB 3-Dose Primary Series'!#REF!,"AAAAAFNv31Y=",0)</f>
        <v>#REF!</v>
      </c>
      <c r="CJ7" s="27" t="e">
        <f>AND('HepB 3-Dose Primary Series'!#REF!,"AAAAAFNv31c=")</f>
        <v>#REF!</v>
      </c>
      <c r="CK7" s="27" t="e">
        <f>AND('HepB 3-Dose Primary Series'!#REF!,"AAAAAFNv31g=")</f>
        <v>#REF!</v>
      </c>
      <c r="CL7" s="27" t="e">
        <f>AND('HepB 3-Dose Primary Series'!#REF!,"AAAAAFNv31k=")</f>
        <v>#REF!</v>
      </c>
      <c r="CM7" s="27" t="e">
        <f>AND('HepB 3-Dose Primary Series'!#REF!,"AAAAAFNv31o=")</f>
        <v>#REF!</v>
      </c>
      <c r="CN7" s="27" t="e">
        <f>AND('HepB 3-Dose Primary Series'!#REF!,"AAAAAFNv31s=")</f>
        <v>#REF!</v>
      </c>
      <c r="CO7" s="27" t="e">
        <f>AND('HepB 3-Dose Primary Series'!#REF!,"AAAAAFNv31w=")</f>
        <v>#REF!</v>
      </c>
      <c r="CP7" s="27" t="e">
        <f>AND('HepB 3-Dose Primary Series'!#REF!,"AAAAAFNv310=")</f>
        <v>#REF!</v>
      </c>
      <c r="CQ7" s="27" t="e">
        <f>AND('HepB 3-Dose Primary Series'!#REF!,"AAAAAFNv314=")</f>
        <v>#REF!</v>
      </c>
      <c r="CR7" s="27" t="e">
        <f>AND('HepB 3-Dose Primary Series'!#REF!,"AAAAAFNv318=")</f>
        <v>#REF!</v>
      </c>
      <c r="CS7" s="27" t="e">
        <f>IF('HepB 3-Dose Primary Series'!#REF!,"AAAAAFNv32A=",0)</f>
        <v>#REF!</v>
      </c>
      <c r="CT7" s="27" t="e">
        <f>AND('HepB 3-Dose Primary Series'!#REF!,"AAAAAFNv32E=")</f>
        <v>#REF!</v>
      </c>
      <c r="CU7" s="27" t="e">
        <f>AND('HepB 3-Dose Primary Series'!#REF!,"AAAAAFNv32I=")</f>
        <v>#REF!</v>
      </c>
      <c r="CV7" s="27" t="e">
        <f>AND('HepB 3-Dose Primary Series'!#REF!,"AAAAAFNv32M=")</f>
        <v>#REF!</v>
      </c>
      <c r="CW7" s="27" t="e">
        <f>AND('HepB 3-Dose Primary Series'!#REF!,"AAAAAFNv32Q=")</f>
        <v>#REF!</v>
      </c>
      <c r="CX7" s="27" t="e">
        <f>AND('HepB 3-Dose Primary Series'!#REF!,"AAAAAFNv32U=")</f>
        <v>#REF!</v>
      </c>
      <c r="CY7" s="27" t="e">
        <f>AND('HepB 3-Dose Primary Series'!#REF!,"AAAAAFNv32Y=")</f>
        <v>#REF!</v>
      </c>
      <c r="CZ7" s="27" t="e">
        <f>AND('HepB 3-Dose Primary Series'!#REF!,"AAAAAFNv32c=")</f>
        <v>#REF!</v>
      </c>
      <c r="DA7" s="27" t="e">
        <f>AND('HepB 3-Dose Primary Series'!#REF!,"AAAAAFNv32g=")</f>
        <v>#REF!</v>
      </c>
      <c r="DB7" s="27" t="e">
        <f>AND('HepB 3-Dose Primary Series'!#REF!,"AAAAAFNv32k=")</f>
        <v>#REF!</v>
      </c>
      <c r="DC7" s="27" t="e">
        <f>IF('HepB 3-Dose Primary Series'!#REF!,"AAAAAFNv32o=",0)</f>
        <v>#REF!</v>
      </c>
      <c r="DD7" s="27" t="e">
        <f>AND('HepB 3-Dose Primary Series'!#REF!,"AAAAAFNv32s=")</f>
        <v>#REF!</v>
      </c>
      <c r="DE7" s="27" t="e">
        <f>AND('HepB 3-Dose Primary Series'!#REF!,"AAAAAFNv32w=")</f>
        <v>#REF!</v>
      </c>
      <c r="DF7" s="27" t="e">
        <f>AND('HepB 3-Dose Primary Series'!#REF!,"AAAAAFNv320=")</f>
        <v>#REF!</v>
      </c>
      <c r="DG7" s="27" t="e">
        <f>AND('HepB 3-Dose Primary Series'!#REF!,"AAAAAFNv324=")</f>
        <v>#REF!</v>
      </c>
      <c r="DH7" s="27" t="e">
        <f>AND('HepB 3-Dose Primary Series'!#REF!,"AAAAAFNv328=")</f>
        <v>#REF!</v>
      </c>
      <c r="DI7" s="27" t="e">
        <f>AND('HepB 3-Dose Primary Series'!#REF!,"AAAAAFNv33A=")</f>
        <v>#REF!</v>
      </c>
      <c r="DJ7" s="27" t="e">
        <f>AND('HepB 3-Dose Primary Series'!#REF!,"AAAAAFNv33E=")</f>
        <v>#REF!</v>
      </c>
      <c r="DK7" s="27" t="e">
        <f>AND('HepB 3-Dose Primary Series'!#REF!,"AAAAAFNv33I=")</f>
        <v>#REF!</v>
      </c>
      <c r="DL7" s="27" t="e">
        <f>AND('HepB 3-Dose Primary Series'!#REF!,"AAAAAFNv33M=")</f>
        <v>#REF!</v>
      </c>
      <c r="DM7" s="27" t="e">
        <f>IF('HepB 3-Dose Primary Series'!#REF!,"AAAAAFNv33Q=",0)</f>
        <v>#REF!</v>
      </c>
      <c r="DN7" s="27" t="e">
        <f>AND('HepB 3-Dose Primary Series'!#REF!,"AAAAAFNv33U=")</f>
        <v>#REF!</v>
      </c>
      <c r="DO7" s="27" t="e">
        <f>AND('HepB 3-Dose Primary Series'!#REF!,"AAAAAFNv33Y=")</f>
        <v>#REF!</v>
      </c>
      <c r="DP7" s="27" t="e">
        <f>AND('HepB 3-Dose Primary Series'!#REF!,"AAAAAFNv33c=")</f>
        <v>#REF!</v>
      </c>
      <c r="DQ7" s="27" t="e">
        <f>AND('HepB 3-Dose Primary Series'!#REF!,"AAAAAFNv33g=")</f>
        <v>#REF!</v>
      </c>
      <c r="DR7" s="27" t="e">
        <f>AND('HepB 3-Dose Primary Series'!#REF!,"AAAAAFNv33k=")</f>
        <v>#REF!</v>
      </c>
      <c r="DS7" s="27" t="e">
        <f>AND('HepB 3-Dose Primary Series'!#REF!,"AAAAAFNv33o=")</f>
        <v>#REF!</v>
      </c>
      <c r="DT7" s="27" t="e">
        <f>AND('HepB 3-Dose Primary Series'!#REF!,"AAAAAFNv33s=")</f>
        <v>#REF!</v>
      </c>
      <c r="DU7" s="27" t="e">
        <f>AND('HepB 3-Dose Primary Series'!#REF!,"AAAAAFNv33w=")</f>
        <v>#REF!</v>
      </c>
      <c r="DV7" s="27" t="e">
        <f>AND('HepB 3-Dose Primary Series'!#REF!,"AAAAAFNv330=")</f>
        <v>#REF!</v>
      </c>
      <c r="DW7" s="27">
        <v>0</v>
      </c>
      <c r="DX7" s="27" t="e">
        <f>AND('HepB 3-Dose Primary Series'!#REF!,"AAAAAFNv338=")</f>
        <v>#REF!</v>
      </c>
      <c r="DY7" s="27" t="e">
        <f>AND('HepB 3-Dose Primary Series'!#REF!,"AAAAAFNv34A=")</f>
        <v>#REF!</v>
      </c>
      <c r="DZ7" s="27" t="e">
        <f>AND('HepB 3-Dose Primary Series'!#REF!,"AAAAAFNv34E=")</f>
        <v>#REF!</v>
      </c>
      <c r="EA7" s="27" t="e">
        <f>AND('HepB 3-Dose Primary Series'!#REF!,"AAAAAFNv34I=")</f>
        <v>#REF!</v>
      </c>
      <c r="EB7" s="27" t="e">
        <f>AND('HepB 3-Dose Primary Series'!#REF!,"AAAAAFNv34M=")</f>
        <v>#REF!</v>
      </c>
      <c r="EC7" s="27" t="e">
        <f>AND('HepB 3-Dose Primary Series'!#REF!,"AAAAAFNv34Q=")</f>
        <v>#REF!</v>
      </c>
      <c r="ED7" s="27" t="e">
        <f>AND('HepB 3-Dose Primary Series'!#REF!,"AAAAAFNv34U=")</f>
        <v>#REF!</v>
      </c>
      <c r="EE7" s="27" t="e">
        <f>AND('HepB 3-Dose Primary Series'!#REF!,"AAAAAFNv34Y=")</f>
        <v>#REF!</v>
      </c>
      <c r="EF7" s="27" t="e">
        <f>AND('HepB 3-Dose Primary Series'!#REF!,"AAAAAFNv34c=")</f>
        <v>#REF!</v>
      </c>
      <c r="EG7" s="27">
        <v>0</v>
      </c>
      <c r="EH7" s="27" t="e">
        <f>AND('HepB 3-Dose Primary Series'!#REF!,"AAAAAFNv34k=")</f>
        <v>#REF!</v>
      </c>
      <c r="EI7" s="27" t="e">
        <f>AND('HepB 3-Dose Primary Series'!#REF!,"AAAAAFNv34o=")</f>
        <v>#REF!</v>
      </c>
      <c r="EJ7" s="27" t="e">
        <f>AND('HepB 3-Dose Primary Series'!#REF!,"AAAAAFNv34s=")</f>
        <v>#REF!</v>
      </c>
      <c r="EK7" s="27" t="e">
        <f>AND('HepB 3-Dose Primary Series'!#REF!,"AAAAAFNv34w=")</f>
        <v>#REF!</v>
      </c>
      <c r="EL7" s="27" t="e">
        <f>AND('HepB 3-Dose Primary Series'!#REF!,"AAAAAFNv340=")</f>
        <v>#REF!</v>
      </c>
      <c r="EM7" s="27" t="e">
        <f>AND('HepB 3-Dose Primary Series'!#REF!,"AAAAAFNv344=")</f>
        <v>#REF!</v>
      </c>
      <c r="EN7" s="27" t="e">
        <f>AND('HepB 3-Dose Primary Series'!#REF!,"AAAAAFNv348=")</f>
        <v>#REF!</v>
      </c>
      <c r="EO7" s="27" t="e">
        <f>AND('HepB 3-Dose Primary Series'!#REF!,"AAAAAFNv35A=")</f>
        <v>#REF!</v>
      </c>
      <c r="EP7" s="27" t="e">
        <f>AND('HepB 3-Dose Primary Series'!#REF!,"AAAAAFNv35E=")</f>
        <v>#REF!</v>
      </c>
      <c r="EQ7" s="27">
        <v>0</v>
      </c>
      <c r="ER7" s="27" t="e">
        <f>AND('HepB 3-Dose Primary Series'!A103,"AAAAAFNv35M=")</f>
        <v>#VALUE!</v>
      </c>
      <c r="ES7" s="27" t="e">
        <f>AND('HepB 3-Dose Primary Series'!B103,"AAAAAFNv35Q=")</f>
        <v>#VALUE!</v>
      </c>
      <c r="ET7" s="27" t="e">
        <f>AND('HepB 3-Dose Primary Series'!C103,"AAAAAFNv35U=")</f>
        <v>#VALUE!</v>
      </c>
      <c r="EU7" s="27" t="e">
        <f>AND('HepB 3-Dose Primary Series'!D103,"AAAAAFNv35Y=")</f>
        <v>#VALUE!</v>
      </c>
      <c r="EV7" s="27" t="e">
        <f>AND('HepB 3-Dose Primary Series'!E103,"AAAAAFNv35c=")</f>
        <v>#VALUE!</v>
      </c>
      <c r="EW7" s="27" t="e">
        <f>AND('HepB 3-Dose Primary Series'!F103,"AAAAAFNv35g=")</f>
        <v>#VALUE!</v>
      </c>
      <c r="EX7" s="27" t="e">
        <f>AND('HepB 3-Dose Primary Series'!G103,"AAAAAFNv35k=")</f>
        <v>#VALUE!</v>
      </c>
      <c r="EY7" s="27" t="e">
        <f>AND('HepB 3-Dose Primary Series'!H103,"AAAAAFNv35o=")</f>
        <v>#VALUE!</v>
      </c>
      <c r="EZ7" s="27" t="e">
        <f>AND('HepB 3-Dose Primary Series'!#REF!,"AAAAAFNv35s=")</f>
        <v>#REF!</v>
      </c>
      <c r="FA7" s="27">
        <v>0</v>
      </c>
      <c r="FB7" s="27" t="e">
        <f>AND('HepB 3-Dose Primary Series'!A104,"AAAAAFNv350=")</f>
        <v>#VALUE!</v>
      </c>
      <c r="FC7" s="27" t="e">
        <f>AND('HepB 3-Dose Primary Series'!B104,"AAAAAFNv354=")</f>
        <v>#VALUE!</v>
      </c>
      <c r="FD7" s="27" t="e">
        <f>AND('HepB 3-Dose Primary Series'!C104,"AAAAAFNv358=")</f>
        <v>#VALUE!</v>
      </c>
      <c r="FE7" s="27" t="e">
        <f>AND('HepB 3-Dose Primary Series'!D104,"AAAAAFNv36A=")</f>
        <v>#VALUE!</v>
      </c>
      <c r="FF7" s="27" t="e">
        <f>AND('HepB 3-Dose Primary Series'!E104,"AAAAAFNv36E=")</f>
        <v>#VALUE!</v>
      </c>
      <c r="FG7" s="27" t="e">
        <f>AND('HepB 3-Dose Primary Series'!F104,"AAAAAFNv36I=")</f>
        <v>#VALUE!</v>
      </c>
      <c r="FH7" s="27" t="e">
        <f>AND('HepB 3-Dose Primary Series'!G104,"AAAAAFNv36M=")</f>
        <v>#VALUE!</v>
      </c>
      <c r="FI7" s="27" t="e">
        <f>AND('HepB 3-Dose Primary Series'!H104,"AAAAAFNv36Q=")</f>
        <v>#VALUE!</v>
      </c>
      <c r="FJ7" s="27" t="e">
        <f>AND('HepB 3-Dose Primary Series'!#REF!,"AAAAAFNv36U=")</f>
        <v>#REF!</v>
      </c>
      <c r="FK7" s="27">
        <v>0</v>
      </c>
      <c r="FL7" s="27" t="e">
        <f>AND('HepB 3-Dose Primary Series'!#REF!,"AAAAAFNv36c=")</f>
        <v>#REF!</v>
      </c>
      <c r="FM7" s="27" t="e">
        <f>AND('HepB 3-Dose Primary Series'!#REF!,"AAAAAFNv36g=")</f>
        <v>#REF!</v>
      </c>
      <c r="FN7" s="27" t="e">
        <f>AND('HepB 3-Dose Primary Series'!#REF!,"AAAAAFNv36k=")</f>
        <v>#REF!</v>
      </c>
      <c r="FO7" s="27" t="e">
        <f>AND('HepB 3-Dose Primary Series'!#REF!,"AAAAAFNv36o=")</f>
        <v>#REF!</v>
      </c>
      <c r="FP7" s="27" t="e">
        <f>AND('HepB 3-Dose Primary Series'!#REF!,"AAAAAFNv36s=")</f>
        <v>#REF!</v>
      </c>
      <c r="FQ7" s="27" t="e">
        <f>AND('HepB 3-Dose Primary Series'!#REF!,"AAAAAFNv36w=")</f>
        <v>#REF!</v>
      </c>
      <c r="FR7" s="27" t="e">
        <f>AND('HepB 3-Dose Primary Series'!#REF!,"AAAAAFNv360=")</f>
        <v>#REF!</v>
      </c>
      <c r="FS7" s="27" t="e">
        <f>AND('HepB 3-Dose Primary Series'!#REF!,"AAAAAFNv364=")</f>
        <v>#REF!</v>
      </c>
      <c r="FT7" s="27" t="e">
        <f>AND('HepB 3-Dose Primary Series'!#REF!,"AAAAAFNv368=")</f>
        <v>#REF!</v>
      </c>
      <c r="FU7" s="27">
        <v>0</v>
      </c>
      <c r="FV7" s="27" t="e">
        <f>AND('HepB 3-Dose Primary Series'!#REF!,"AAAAAFNv37E=")</f>
        <v>#REF!</v>
      </c>
      <c r="FW7" s="27" t="e">
        <f>AND('HepB 3-Dose Primary Series'!#REF!,"AAAAAFNv37I=")</f>
        <v>#REF!</v>
      </c>
      <c r="FX7" s="27" t="e">
        <f>AND('HepB 3-Dose Primary Series'!#REF!,"AAAAAFNv37M=")</f>
        <v>#REF!</v>
      </c>
      <c r="FY7" s="27" t="e">
        <f>AND('HepB 3-Dose Primary Series'!#REF!,"AAAAAFNv37Q=")</f>
        <v>#REF!</v>
      </c>
      <c r="FZ7" s="27" t="e">
        <f>AND('HepB 3-Dose Primary Series'!#REF!,"AAAAAFNv37U=")</f>
        <v>#REF!</v>
      </c>
      <c r="GA7" s="27" t="e">
        <f>AND('HepB 3-Dose Primary Series'!#REF!,"AAAAAFNv37Y=")</f>
        <v>#REF!</v>
      </c>
      <c r="GB7" s="27" t="e">
        <f>AND('HepB 3-Dose Primary Series'!#REF!,"AAAAAFNv37c=")</f>
        <v>#REF!</v>
      </c>
      <c r="GC7" s="27" t="e">
        <f>AND('HepB 3-Dose Primary Series'!#REF!,"AAAAAFNv37g=")</f>
        <v>#REF!</v>
      </c>
      <c r="GD7" s="27" t="e">
        <f>AND('HepB 3-Dose Primary Series'!#REF!,"AAAAAFNv37k=")</f>
        <v>#REF!</v>
      </c>
      <c r="GE7" s="27">
        <v>0</v>
      </c>
      <c r="GF7" s="27" t="e">
        <f>AND('HepB 3-Dose Primary Series'!A105,"AAAAAFNv37s=")</f>
        <v>#VALUE!</v>
      </c>
      <c r="GG7" s="27" t="e">
        <f>AND('HepB 3-Dose Primary Series'!B105,"AAAAAFNv37w=")</f>
        <v>#VALUE!</v>
      </c>
      <c r="GH7" s="27" t="e">
        <f>AND('HepB 3-Dose Primary Series'!C105,"AAAAAFNv370=")</f>
        <v>#VALUE!</v>
      </c>
      <c r="GI7" s="27" t="e">
        <f>AND('HepB 3-Dose Primary Series'!D105,"AAAAAFNv374=")</f>
        <v>#VALUE!</v>
      </c>
      <c r="GJ7" s="27" t="e">
        <f>AND('HepB 3-Dose Primary Series'!E105,"AAAAAFNv378=")</f>
        <v>#VALUE!</v>
      </c>
      <c r="GK7" s="27" t="e">
        <f>AND('HepB 3-Dose Primary Series'!F105,"AAAAAFNv38A=")</f>
        <v>#VALUE!</v>
      </c>
      <c r="GL7" s="27" t="e">
        <f>AND('HepB 3-Dose Primary Series'!G105,"AAAAAFNv38E=")</f>
        <v>#VALUE!</v>
      </c>
      <c r="GM7" s="27" t="e">
        <f>AND('HepB 3-Dose Primary Series'!H105,"AAAAAFNv38I=")</f>
        <v>#VALUE!</v>
      </c>
      <c r="GN7" s="27" t="e">
        <f>AND('HepB 3-Dose Primary Series'!#REF!,"AAAAAFNv38M=")</f>
        <v>#REF!</v>
      </c>
      <c r="GO7" s="27">
        <v>0</v>
      </c>
      <c r="GP7" s="27" t="e">
        <f>AND('HepB 3-Dose Primary Series'!A106,"AAAAAFNv38U=")</f>
        <v>#VALUE!</v>
      </c>
      <c r="GQ7" s="27" t="e">
        <f>AND('HepB 3-Dose Primary Series'!B106,"AAAAAFNv38Y=")</f>
        <v>#VALUE!</v>
      </c>
      <c r="GR7" s="27" t="e">
        <f>AND('HepB 3-Dose Primary Series'!C106,"AAAAAFNv38c=")</f>
        <v>#VALUE!</v>
      </c>
      <c r="GS7" s="27" t="e">
        <f>AND('HepB 3-Dose Primary Series'!D106,"AAAAAFNv38g=")</f>
        <v>#VALUE!</v>
      </c>
      <c r="GT7" s="27" t="e">
        <f>AND('HepB 3-Dose Primary Series'!E106,"AAAAAFNv38k=")</f>
        <v>#VALUE!</v>
      </c>
      <c r="GU7" s="27" t="e">
        <f>AND('HepB 3-Dose Primary Series'!F106,"AAAAAFNv38o=")</f>
        <v>#VALUE!</v>
      </c>
      <c r="GV7" s="27" t="e">
        <f>AND('HepB 3-Dose Primary Series'!G106,"AAAAAFNv38s=")</f>
        <v>#VALUE!</v>
      </c>
      <c r="GW7" s="27" t="e">
        <f>AND('HepB 3-Dose Primary Series'!H106,"AAAAAFNv38w=")</f>
        <v>#VALUE!</v>
      </c>
      <c r="GX7" s="27" t="e">
        <f>AND('HepB 3-Dose Primary Series'!#REF!,"AAAAAFNv380=")</f>
        <v>#REF!</v>
      </c>
      <c r="GY7" s="27">
        <v>0</v>
      </c>
      <c r="GZ7" s="27" t="e">
        <f>AND('HepB 3-Dose Primary Series'!#REF!,"AAAAAFNv388=")</f>
        <v>#REF!</v>
      </c>
      <c r="HA7" s="27" t="e">
        <f>AND('HepB 3-Dose Primary Series'!#REF!,"AAAAAFNv39A=")</f>
        <v>#REF!</v>
      </c>
      <c r="HB7" s="27" t="e">
        <f>AND('HepB 3-Dose Primary Series'!#REF!,"AAAAAFNv39E=")</f>
        <v>#REF!</v>
      </c>
      <c r="HC7" s="27" t="e">
        <f>AND('HepB 3-Dose Primary Series'!#REF!,"AAAAAFNv39I=")</f>
        <v>#REF!</v>
      </c>
      <c r="HD7" s="27" t="e">
        <f>AND('HepB 3-Dose Primary Series'!#REF!,"AAAAAFNv39M=")</f>
        <v>#REF!</v>
      </c>
      <c r="HE7" s="27" t="e">
        <f>AND('HepB 3-Dose Primary Series'!#REF!,"AAAAAFNv39Q=")</f>
        <v>#REF!</v>
      </c>
      <c r="HF7" s="27" t="e">
        <f>AND('HepB 3-Dose Primary Series'!#REF!,"AAAAAFNv39U=")</f>
        <v>#REF!</v>
      </c>
      <c r="HG7" s="27" t="e">
        <f>AND('HepB 3-Dose Primary Series'!#REF!,"AAAAAFNv39Y=")</f>
        <v>#REF!</v>
      </c>
      <c r="HH7" s="27" t="e">
        <f>AND('HepB 3-Dose Primary Series'!#REF!,"AAAAAFNv39c=")</f>
        <v>#REF!</v>
      </c>
      <c r="HI7" s="27">
        <v>0</v>
      </c>
      <c r="HJ7" s="27" t="e">
        <f>AND('HepB 3-Dose Primary Series'!#REF!,"AAAAAFNv39k=")</f>
        <v>#REF!</v>
      </c>
      <c r="HK7" s="27" t="e">
        <f>AND('HepB 3-Dose Primary Series'!#REF!,"AAAAAFNv39o=")</f>
        <v>#REF!</v>
      </c>
      <c r="HL7" s="27" t="e">
        <f>AND('HepB 3-Dose Primary Series'!#REF!,"AAAAAFNv39s=")</f>
        <v>#REF!</v>
      </c>
      <c r="HM7" s="27" t="e">
        <f>AND('HepB 3-Dose Primary Series'!#REF!,"AAAAAFNv39w=")</f>
        <v>#REF!</v>
      </c>
      <c r="HN7" s="27" t="e">
        <f>AND('HepB 3-Dose Primary Series'!#REF!,"AAAAAFNv390=")</f>
        <v>#REF!</v>
      </c>
      <c r="HO7" s="27" t="e">
        <f>AND('HepB 3-Dose Primary Series'!#REF!,"AAAAAFNv394=")</f>
        <v>#REF!</v>
      </c>
      <c r="HP7" s="27" t="e">
        <f>AND('HepB 3-Dose Primary Series'!#REF!,"AAAAAFNv398=")</f>
        <v>#REF!</v>
      </c>
      <c r="HQ7" s="27" t="e">
        <f>AND('HepB 3-Dose Primary Series'!#REF!,"AAAAAFNv3+A=")</f>
        <v>#REF!</v>
      </c>
      <c r="HR7" s="27" t="e">
        <f>AND('HepB 3-Dose Primary Series'!#REF!,"AAAAAFNv3+E=")</f>
        <v>#REF!</v>
      </c>
      <c r="HS7" s="27">
        <v>0</v>
      </c>
      <c r="HT7" s="27" t="e">
        <f>AND('HepB 3-Dose Primary Series'!A107,"AAAAAFNv3+M=")</f>
        <v>#VALUE!</v>
      </c>
      <c r="HU7" s="27" t="e">
        <f>AND('HepB 3-Dose Primary Series'!B107,"AAAAAFNv3+Q=")</f>
        <v>#VALUE!</v>
      </c>
      <c r="HV7" s="27" t="e">
        <f>AND('HepB 3-Dose Primary Series'!C107,"AAAAAFNv3+U=")</f>
        <v>#VALUE!</v>
      </c>
      <c r="HW7" s="27" t="e">
        <f>AND('HepB 3-Dose Primary Series'!D107,"AAAAAFNv3+Y=")</f>
        <v>#VALUE!</v>
      </c>
      <c r="HX7" s="27" t="e">
        <f>AND('HepB 3-Dose Primary Series'!E107,"AAAAAFNv3+c=")</f>
        <v>#VALUE!</v>
      </c>
      <c r="HY7" s="27" t="e">
        <f>AND('HepB 3-Dose Primary Series'!F107,"AAAAAFNv3+g=")</f>
        <v>#VALUE!</v>
      </c>
      <c r="HZ7" s="27" t="e">
        <f>AND('HepB 3-Dose Primary Series'!G107,"AAAAAFNv3+k=")</f>
        <v>#VALUE!</v>
      </c>
      <c r="IA7" s="27" t="e">
        <f>AND('HepB 3-Dose Primary Series'!H107,"AAAAAFNv3+o=")</f>
        <v>#VALUE!</v>
      </c>
      <c r="IB7" s="27" t="e">
        <f>AND('HepB 3-Dose Primary Series'!#REF!,"AAAAAFNv3+s=")</f>
        <v>#REF!</v>
      </c>
      <c r="IC7" s="27">
        <v>0</v>
      </c>
      <c r="ID7" s="27" t="e">
        <f>AND('HepB 3-Dose Primary Series'!A108,"AAAAAFNv3+0=")</f>
        <v>#VALUE!</v>
      </c>
      <c r="IE7" s="27" t="e">
        <f>AND('HepB 3-Dose Primary Series'!B108,"AAAAAFNv3+4=")</f>
        <v>#VALUE!</v>
      </c>
      <c r="IF7" s="27" t="e">
        <f>AND('HepB 3-Dose Primary Series'!C108,"AAAAAFNv3+8=")</f>
        <v>#VALUE!</v>
      </c>
      <c r="IG7" s="27" t="e">
        <f>AND('HepB 3-Dose Primary Series'!D108,"AAAAAFNv3/A=")</f>
        <v>#VALUE!</v>
      </c>
      <c r="IH7" s="27" t="e">
        <f>AND('HepB 3-Dose Primary Series'!E108,"AAAAAFNv3/E=")</f>
        <v>#VALUE!</v>
      </c>
      <c r="II7" s="27" t="e">
        <f>AND('HepB 3-Dose Primary Series'!F108,"AAAAAFNv3/I=")</f>
        <v>#VALUE!</v>
      </c>
      <c r="IJ7" s="27" t="e">
        <f>AND('HepB 3-Dose Primary Series'!G108,"AAAAAFNv3/M=")</f>
        <v>#VALUE!</v>
      </c>
      <c r="IK7" s="27" t="e">
        <f>AND('HepB 3-Dose Primary Series'!H108,"AAAAAFNv3/Q=")</f>
        <v>#VALUE!</v>
      </c>
      <c r="IL7" s="27" t="e">
        <f>AND('HepB 3-Dose Primary Series'!#REF!,"AAAAAFNv3/U=")</f>
        <v>#REF!</v>
      </c>
      <c r="IM7" s="27">
        <v>0</v>
      </c>
      <c r="IN7" s="27" t="e">
        <f>AND('HepB 3-Dose Primary Series'!#REF!,"AAAAAFNv3/c=")</f>
        <v>#REF!</v>
      </c>
      <c r="IO7" s="27" t="e">
        <f>AND('HepB 3-Dose Primary Series'!#REF!,"AAAAAFNv3/g=")</f>
        <v>#REF!</v>
      </c>
      <c r="IP7" s="27" t="e">
        <f>AND('HepB 3-Dose Primary Series'!#REF!,"AAAAAFNv3/k=")</f>
        <v>#REF!</v>
      </c>
      <c r="IQ7" s="27" t="e">
        <f>AND('HepB 3-Dose Primary Series'!#REF!,"AAAAAFNv3/o=")</f>
        <v>#REF!</v>
      </c>
      <c r="IR7" s="27" t="e">
        <f>AND('HepB 3-Dose Primary Series'!#REF!,"AAAAAFNv3/s=")</f>
        <v>#REF!</v>
      </c>
      <c r="IS7" s="27" t="e">
        <f>AND('HepB 3-Dose Primary Series'!#REF!,"AAAAAFNv3/w=")</f>
        <v>#REF!</v>
      </c>
      <c r="IT7" s="27" t="e">
        <f>AND('HepB 3-Dose Primary Series'!#REF!,"AAAAAFNv3/0=")</f>
        <v>#REF!</v>
      </c>
      <c r="IU7" s="27" t="e">
        <f>AND('HepB 3-Dose Primary Series'!#REF!,"AAAAAFNv3/4=")</f>
        <v>#REF!</v>
      </c>
      <c r="IV7" s="27" t="e">
        <f>AND('HepB 3-Dose Primary Series'!#REF!,"AAAAAFNv3/8=")</f>
        <v>#REF!</v>
      </c>
    </row>
    <row r="8" spans="1:256" ht="12.75" customHeight="1" x14ac:dyDescent="0.2">
      <c r="A8" s="27" t="e">
        <f>IF('HepB 3-Dose Primary Series'!#REF!,"AAAAAC/93wA=",0)</f>
        <v>#REF!</v>
      </c>
      <c r="B8" s="27" t="e">
        <f>AND('HepB 3-Dose Primary Series'!#REF!,"AAAAAC/93wE=")</f>
        <v>#REF!</v>
      </c>
      <c r="C8" s="27" t="e">
        <f>AND('HepB 3-Dose Primary Series'!#REF!,"AAAAAC/93wI=")</f>
        <v>#REF!</v>
      </c>
      <c r="D8" s="27" t="e">
        <f>AND('HepB 3-Dose Primary Series'!#REF!,"AAAAAC/93wM=")</f>
        <v>#REF!</v>
      </c>
      <c r="E8" s="27" t="e">
        <f>AND('HepB 3-Dose Primary Series'!#REF!,"AAAAAC/93wQ=")</f>
        <v>#REF!</v>
      </c>
      <c r="F8" s="27" t="e">
        <f>AND('HepB 3-Dose Primary Series'!#REF!,"AAAAAC/93wU=")</f>
        <v>#REF!</v>
      </c>
      <c r="G8" s="27" t="e">
        <f>AND('HepB 3-Dose Primary Series'!#REF!,"AAAAAC/93wY=")</f>
        <v>#REF!</v>
      </c>
      <c r="H8" s="27" t="e">
        <f>AND('HepB 3-Dose Primary Series'!#REF!,"AAAAAC/93wc=")</f>
        <v>#REF!</v>
      </c>
      <c r="I8" s="27" t="e">
        <f>AND('HepB 3-Dose Primary Series'!#REF!,"AAAAAC/93wg=")</f>
        <v>#REF!</v>
      </c>
      <c r="J8" s="27" t="e">
        <f>AND('HepB 3-Dose Primary Series'!#REF!,"AAAAAC/93wk=")</f>
        <v>#REF!</v>
      </c>
      <c r="K8" s="27" t="e">
        <f>IF('HepB 3-Dose Primary Series'!#REF!,"AAAAAC/93wo=",0)</f>
        <v>#REF!</v>
      </c>
      <c r="L8" s="27" t="e">
        <f>AND('HepB 3-Dose Primary Series'!#REF!,"AAAAAC/93ws=")</f>
        <v>#REF!</v>
      </c>
      <c r="M8" s="27" t="e">
        <f>AND('HepB 3-Dose Primary Series'!#REF!,"AAAAAC/93ww=")</f>
        <v>#REF!</v>
      </c>
      <c r="N8" s="27" t="e">
        <f>AND('HepB 3-Dose Primary Series'!#REF!,"AAAAAC/93w0=")</f>
        <v>#REF!</v>
      </c>
      <c r="O8" s="27" t="e">
        <f>AND('HepB 3-Dose Primary Series'!#REF!,"AAAAAC/93w4=")</f>
        <v>#REF!</v>
      </c>
      <c r="P8" s="27" t="e">
        <f>AND('HepB 3-Dose Primary Series'!#REF!,"AAAAAC/93w8=")</f>
        <v>#REF!</v>
      </c>
      <c r="Q8" s="27" t="e">
        <f>AND('HepB 3-Dose Primary Series'!#REF!,"AAAAAC/93xA=")</f>
        <v>#REF!</v>
      </c>
      <c r="R8" s="27" t="e">
        <f>AND('HepB 3-Dose Primary Series'!#REF!,"AAAAAC/93xE=")</f>
        <v>#REF!</v>
      </c>
      <c r="S8" s="27" t="e">
        <f>AND('HepB 3-Dose Primary Series'!#REF!,"AAAAAC/93xI=")</f>
        <v>#REF!</v>
      </c>
      <c r="T8" s="27" t="e">
        <f>AND('HepB 3-Dose Primary Series'!#REF!,"AAAAAC/93xM=")</f>
        <v>#REF!</v>
      </c>
      <c r="U8" s="27" t="e">
        <f>IF('HepB 3-Dose Primary Series'!#REF!,"AAAAAC/93xQ=",0)</f>
        <v>#REF!</v>
      </c>
      <c r="V8" s="27" t="e">
        <f>AND('HepB 3-Dose Primary Series'!#REF!,"AAAAAC/93xU=")</f>
        <v>#REF!</v>
      </c>
      <c r="W8" s="27" t="e">
        <f>AND('HepB 3-Dose Primary Series'!#REF!,"AAAAAC/93xY=")</f>
        <v>#REF!</v>
      </c>
      <c r="X8" s="27" t="e">
        <f>AND('HepB 3-Dose Primary Series'!#REF!,"AAAAAC/93xc=")</f>
        <v>#REF!</v>
      </c>
      <c r="Y8" s="27" t="e">
        <f>AND('HepB 3-Dose Primary Series'!#REF!,"AAAAAC/93xg=")</f>
        <v>#REF!</v>
      </c>
      <c r="Z8" s="27" t="e">
        <f>AND('HepB 3-Dose Primary Series'!#REF!,"AAAAAC/93xk=")</f>
        <v>#REF!</v>
      </c>
      <c r="AA8" s="27" t="e">
        <f>AND('HepB 3-Dose Primary Series'!#REF!,"AAAAAC/93xo=")</f>
        <v>#REF!</v>
      </c>
      <c r="AB8" s="27" t="e">
        <f>AND('HepB 3-Dose Primary Series'!#REF!,"AAAAAC/93xs=")</f>
        <v>#REF!</v>
      </c>
      <c r="AC8" s="27" t="e">
        <f>AND('HepB 3-Dose Primary Series'!#REF!,"AAAAAC/93xw=")</f>
        <v>#REF!</v>
      </c>
      <c r="AD8" s="27" t="e">
        <f>AND('HepB 3-Dose Primary Series'!#REF!,"AAAAAC/93x0=")</f>
        <v>#REF!</v>
      </c>
      <c r="AE8" s="27" t="e">
        <f>IF('HepB 3-Dose Primary Series'!#REF!,"AAAAAC/93x4=",0)</f>
        <v>#REF!</v>
      </c>
      <c r="AF8" s="27" t="e">
        <f>AND('HepB 3-Dose Primary Series'!#REF!,"AAAAAC/93x8=")</f>
        <v>#REF!</v>
      </c>
      <c r="AG8" s="27" t="e">
        <f>AND('HepB 3-Dose Primary Series'!#REF!,"AAAAAC/93yA=")</f>
        <v>#REF!</v>
      </c>
      <c r="AH8" s="27" t="e">
        <f>AND('HepB 3-Dose Primary Series'!#REF!,"AAAAAC/93yE=")</f>
        <v>#REF!</v>
      </c>
      <c r="AI8" s="27" t="e">
        <f>AND('HepB 3-Dose Primary Series'!#REF!,"AAAAAC/93yI=")</f>
        <v>#REF!</v>
      </c>
      <c r="AJ8" s="27" t="e">
        <f>AND('HepB 3-Dose Primary Series'!#REF!,"AAAAAC/93yM=")</f>
        <v>#REF!</v>
      </c>
      <c r="AK8" s="27" t="e">
        <f>AND('HepB 3-Dose Primary Series'!#REF!,"AAAAAC/93yQ=")</f>
        <v>#REF!</v>
      </c>
      <c r="AL8" s="27" t="e">
        <f>AND('HepB 3-Dose Primary Series'!#REF!,"AAAAAC/93yU=")</f>
        <v>#REF!</v>
      </c>
      <c r="AM8" s="27" t="e">
        <f>AND('HepB 3-Dose Primary Series'!#REF!,"AAAAAC/93yY=")</f>
        <v>#REF!</v>
      </c>
      <c r="AN8" s="27" t="e">
        <f>AND('HepB 3-Dose Primary Series'!#REF!,"AAAAAC/93yc=")</f>
        <v>#REF!</v>
      </c>
      <c r="AO8" s="27" t="e">
        <f>IF('HepB 3-Dose Primary Series'!#REF!,"AAAAAC/93yg=",0)</f>
        <v>#REF!</v>
      </c>
      <c r="AP8" s="27" t="e">
        <f>AND('HepB 3-Dose Primary Series'!#REF!,"AAAAAC/93yk=")</f>
        <v>#REF!</v>
      </c>
      <c r="AQ8" s="27" t="e">
        <f>AND('HepB 3-Dose Primary Series'!#REF!,"AAAAAC/93yo=")</f>
        <v>#REF!</v>
      </c>
      <c r="AR8" s="27" t="e">
        <f>AND('HepB 3-Dose Primary Series'!#REF!,"AAAAAC/93ys=")</f>
        <v>#REF!</v>
      </c>
      <c r="AS8" s="27" t="e">
        <f>AND('HepB 3-Dose Primary Series'!#REF!,"AAAAAC/93yw=")</f>
        <v>#REF!</v>
      </c>
      <c r="AT8" s="27" t="e">
        <f>AND('HepB 3-Dose Primary Series'!#REF!,"AAAAAC/93y0=")</f>
        <v>#REF!</v>
      </c>
      <c r="AU8" s="27" t="e">
        <f>AND('HepB 3-Dose Primary Series'!#REF!,"AAAAAC/93y4=")</f>
        <v>#REF!</v>
      </c>
      <c r="AV8" s="27" t="e">
        <f>AND('HepB 3-Dose Primary Series'!#REF!,"AAAAAC/93y8=")</f>
        <v>#REF!</v>
      </c>
      <c r="AW8" s="27" t="e">
        <f>AND('HepB 3-Dose Primary Series'!#REF!,"AAAAAC/93zA=")</f>
        <v>#REF!</v>
      </c>
      <c r="AX8" s="27" t="e">
        <f>AND('HepB 3-Dose Primary Series'!#REF!,"AAAAAC/93zE=")</f>
        <v>#REF!</v>
      </c>
      <c r="AY8" s="27" t="e">
        <f>IF('HepB 3-Dose Primary Series'!#REF!,"AAAAAC/93zI=",0)</f>
        <v>#REF!</v>
      </c>
      <c r="AZ8" s="27" t="e">
        <f>AND('HepB 3-Dose Primary Series'!#REF!,"AAAAAC/93zM=")</f>
        <v>#REF!</v>
      </c>
      <c r="BA8" s="27" t="e">
        <f>AND('HepB 3-Dose Primary Series'!#REF!,"AAAAAC/93zQ=")</f>
        <v>#REF!</v>
      </c>
      <c r="BB8" s="27" t="e">
        <f>AND('HepB 3-Dose Primary Series'!#REF!,"AAAAAC/93zU=")</f>
        <v>#REF!</v>
      </c>
      <c r="BC8" s="27" t="e">
        <f>AND('HepB 3-Dose Primary Series'!#REF!,"AAAAAC/93zY=")</f>
        <v>#REF!</v>
      </c>
      <c r="BD8" s="27" t="e">
        <f>AND('HepB 3-Dose Primary Series'!#REF!,"AAAAAC/93zc=")</f>
        <v>#REF!</v>
      </c>
      <c r="BE8" s="27" t="e">
        <f>AND('HepB 3-Dose Primary Series'!#REF!,"AAAAAC/93zg=")</f>
        <v>#REF!</v>
      </c>
      <c r="BF8" s="27" t="e">
        <f>AND('HepB 3-Dose Primary Series'!#REF!,"AAAAAC/93zk=")</f>
        <v>#REF!</v>
      </c>
      <c r="BG8" s="27" t="e">
        <f>AND('HepB 3-Dose Primary Series'!#REF!,"AAAAAC/93zo=")</f>
        <v>#REF!</v>
      </c>
      <c r="BH8" s="27" t="e">
        <f>AND('HepB 3-Dose Primary Series'!#REF!,"AAAAAC/93zs=")</f>
        <v>#REF!</v>
      </c>
      <c r="BI8" s="27" t="e">
        <f>IF('HepB 3-Dose Primary Series'!#REF!,"AAAAAC/93zw=",0)</f>
        <v>#REF!</v>
      </c>
      <c r="BJ8" s="27" t="e">
        <f>AND('HepB 3-Dose Primary Series'!#REF!,"AAAAAC/93z0=")</f>
        <v>#REF!</v>
      </c>
      <c r="BK8" s="27" t="e">
        <f>AND('HepB 3-Dose Primary Series'!#REF!,"AAAAAC/93z4=")</f>
        <v>#REF!</v>
      </c>
      <c r="BL8" s="27" t="e">
        <f>AND('HepB 3-Dose Primary Series'!#REF!,"AAAAAC/93z8=")</f>
        <v>#REF!</v>
      </c>
      <c r="BM8" s="27" t="e">
        <f>AND('HepB 3-Dose Primary Series'!#REF!,"AAAAAC/930A=")</f>
        <v>#REF!</v>
      </c>
      <c r="BN8" s="27" t="e">
        <f>AND('HepB 3-Dose Primary Series'!#REF!,"AAAAAC/930E=")</f>
        <v>#REF!</v>
      </c>
      <c r="BO8" s="27" t="e">
        <f>AND('HepB 3-Dose Primary Series'!#REF!,"AAAAAC/930I=")</f>
        <v>#REF!</v>
      </c>
      <c r="BP8" s="27" t="e">
        <f>AND('HepB 3-Dose Primary Series'!#REF!,"AAAAAC/930M=")</f>
        <v>#REF!</v>
      </c>
      <c r="BQ8" s="27" t="e">
        <f>AND('HepB 3-Dose Primary Series'!#REF!,"AAAAAC/930Q=")</f>
        <v>#REF!</v>
      </c>
      <c r="BR8" s="27" t="e">
        <f>AND('HepB 3-Dose Primary Series'!#REF!,"AAAAAC/930U=")</f>
        <v>#REF!</v>
      </c>
      <c r="BS8" s="27" t="e">
        <f>IF('HepB 3-Dose Primary Series'!#REF!,"AAAAAC/930Y=",0)</f>
        <v>#REF!</v>
      </c>
      <c r="BT8" s="27" t="e">
        <f>AND('HepB 3-Dose Primary Series'!#REF!,"AAAAAC/930c=")</f>
        <v>#REF!</v>
      </c>
      <c r="BU8" s="27" t="e">
        <f>AND('HepB 3-Dose Primary Series'!#REF!,"AAAAAC/930g=")</f>
        <v>#REF!</v>
      </c>
      <c r="BV8" s="27" t="e">
        <f>AND('HepB 3-Dose Primary Series'!#REF!,"AAAAAC/930k=")</f>
        <v>#REF!</v>
      </c>
      <c r="BW8" s="27" t="e">
        <f>AND('HepB 3-Dose Primary Series'!#REF!,"AAAAAC/930o=")</f>
        <v>#REF!</v>
      </c>
      <c r="BX8" s="27" t="e">
        <f>AND('HepB 3-Dose Primary Series'!#REF!,"AAAAAC/930s=")</f>
        <v>#REF!</v>
      </c>
      <c r="BY8" s="27" t="e">
        <f>AND('HepB 3-Dose Primary Series'!#REF!,"AAAAAC/930w=")</f>
        <v>#REF!</v>
      </c>
      <c r="BZ8" s="27" t="e">
        <f>AND('HepB 3-Dose Primary Series'!#REF!,"AAAAAC/9300=")</f>
        <v>#REF!</v>
      </c>
      <c r="CA8" s="27" t="e">
        <f>AND('HepB 3-Dose Primary Series'!#REF!,"AAAAAC/9304=")</f>
        <v>#REF!</v>
      </c>
      <c r="CB8" s="27" t="e">
        <f>AND('HepB 3-Dose Primary Series'!#REF!,"AAAAAC/9308=")</f>
        <v>#REF!</v>
      </c>
      <c r="CC8" s="27" t="e">
        <f>IF('HepB 3-Dose Primary Series'!#REF!,"AAAAAC/931A=",0)</f>
        <v>#REF!</v>
      </c>
      <c r="CD8" s="27" t="e">
        <f>AND('HepB 3-Dose Primary Series'!#REF!,"AAAAAC/931E=")</f>
        <v>#REF!</v>
      </c>
      <c r="CE8" s="27" t="e">
        <f>AND('HepB 3-Dose Primary Series'!#REF!,"AAAAAC/931I=")</f>
        <v>#REF!</v>
      </c>
      <c r="CF8" s="27" t="e">
        <f>AND('HepB 3-Dose Primary Series'!#REF!,"AAAAAC/931M=")</f>
        <v>#REF!</v>
      </c>
      <c r="CG8" s="27" t="e">
        <f>AND('HepB 3-Dose Primary Series'!#REF!,"AAAAAC/931Q=")</f>
        <v>#REF!</v>
      </c>
      <c r="CH8" s="27" t="e">
        <f>AND('HepB 3-Dose Primary Series'!#REF!,"AAAAAC/931U=")</f>
        <v>#REF!</v>
      </c>
      <c r="CI8" s="27" t="e">
        <f>AND('HepB 3-Dose Primary Series'!#REF!,"AAAAAC/931Y=")</f>
        <v>#REF!</v>
      </c>
      <c r="CJ8" s="27" t="e">
        <f>AND('HepB 3-Dose Primary Series'!#REF!,"AAAAAC/931c=")</f>
        <v>#REF!</v>
      </c>
      <c r="CK8" s="27" t="e">
        <f>AND('HepB 3-Dose Primary Series'!#REF!,"AAAAAC/931g=")</f>
        <v>#REF!</v>
      </c>
      <c r="CL8" s="27" t="e">
        <f>AND('HepB 3-Dose Primary Series'!#REF!,"AAAAAC/931k=")</f>
        <v>#REF!</v>
      </c>
      <c r="CM8" s="27" t="e">
        <f>IF('HepB 3-Dose Primary Series'!#REF!,"AAAAAC/931o=",0)</f>
        <v>#REF!</v>
      </c>
      <c r="CN8" s="27" t="e">
        <f>AND('HepB 3-Dose Primary Series'!#REF!,"AAAAAC/931s=")</f>
        <v>#REF!</v>
      </c>
      <c r="CO8" s="27" t="e">
        <f>AND('HepB 3-Dose Primary Series'!#REF!,"AAAAAC/931w=")</f>
        <v>#REF!</v>
      </c>
      <c r="CP8" s="27" t="e">
        <f>AND('HepB 3-Dose Primary Series'!#REF!,"AAAAAC/9310=")</f>
        <v>#REF!</v>
      </c>
      <c r="CQ8" s="27" t="e">
        <f>AND('HepB 3-Dose Primary Series'!#REF!,"AAAAAC/9314=")</f>
        <v>#REF!</v>
      </c>
      <c r="CR8" s="27" t="e">
        <f>AND('HepB 3-Dose Primary Series'!#REF!,"AAAAAC/9318=")</f>
        <v>#REF!</v>
      </c>
      <c r="CS8" s="27" t="e">
        <f>AND('HepB 3-Dose Primary Series'!#REF!,"AAAAAC/932A=")</f>
        <v>#REF!</v>
      </c>
      <c r="CT8" s="27" t="e">
        <f>AND('HepB 3-Dose Primary Series'!#REF!,"AAAAAC/932E=")</f>
        <v>#REF!</v>
      </c>
      <c r="CU8" s="27" t="e">
        <f>AND('HepB 3-Dose Primary Series'!#REF!,"AAAAAC/932I=")</f>
        <v>#REF!</v>
      </c>
      <c r="CV8" s="27" t="e">
        <f>AND('HepB 3-Dose Primary Series'!#REF!,"AAAAAC/932M=")</f>
        <v>#REF!</v>
      </c>
      <c r="CW8" s="27" t="e">
        <f>IF('HepB 3-Dose Primary Series'!#REF!,"AAAAAC/932Q=",0)</f>
        <v>#REF!</v>
      </c>
      <c r="CX8" s="27" t="e">
        <f>AND('HepB 3-Dose Primary Series'!#REF!,"AAAAAC/932U=")</f>
        <v>#REF!</v>
      </c>
      <c r="CY8" s="27" t="e">
        <f>AND('HepB 3-Dose Primary Series'!#REF!,"AAAAAC/932Y=")</f>
        <v>#REF!</v>
      </c>
      <c r="CZ8" s="27" t="e">
        <f>AND('HepB 3-Dose Primary Series'!#REF!,"AAAAAC/932c=")</f>
        <v>#REF!</v>
      </c>
      <c r="DA8" s="27" t="e">
        <f>AND('HepB 3-Dose Primary Series'!#REF!,"AAAAAC/932g=")</f>
        <v>#REF!</v>
      </c>
      <c r="DB8" s="27" t="e">
        <f>AND('HepB 3-Dose Primary Series'!#REF!,"AAAAAC/932k=")</f>
        <v>#REF!</v>
      </c>
      <c r="DC8" s="27" t="e">
        <f>AND('HepB 3-Dose Primary Series'!#REF!,"AAAAAC/932o=")</f>
        <v>#REF!</v>
      </c>
      <c r="DD8" s="27" t="e">
        <f>AND('HepB 3-Dose Primary Series'!#REF!,"AAAAAC/932s=")</f>
        <v>#REF!</v>
      </c>
      <c r="DE8" s="27" t="e">
        <f>AND('HepB 3-Dose Primary Series'!#REF!,"AAAAAC/932w=")</f>
        <v>#REF!</v>
      </c>
      <c r="DF8" s="27" t="e">
        <f>AND('HepB 3-Dose Primary Series'!#REF!,"AAAAAC/9320=")</f>
        <v>#REF!</v>
      </c>
      <c r="DG8" s="27" t="e">
        <f>IF('HepB 3-Dose Primary Series'!#REF!,"AAAAAC/9324=",0)</f>
        <v>#REF!</v>
      </c>
      <c r="DH8" s="27" t="e">
        <f>AND('HepB 3-Dose Primary Series'!#REF!,"AAAAAC/9328=")</f>
        <v>#REF!</v>
      </c>
      <c r="DI8" s="27" t="e">
        <f>AND('HepB 3-Dose Primary Series'!#REF!,"AAAAAC/933A=")</f>
        <v>#REF!</v>
      </c>
      <c r="DJ8" s="27" t="e">
        <f>AND('HepB 3-Dose Primary Series'!#REF!,"AAAAAC/933E=")</f>
        <v>#REF!</v>
      </c>
      <c r="DK8" s="27" t="e">
        <f>AND('HepB 3-Dose Primary Series'!#REF!,"AAAAAC/933I=")</f>
        <v>#REF!</v>
      </c>
      <c r="DL8" s="27" t="e">
        <f>AND('HepB 3-Dose Primary Series'!#REF!,"AAAAAC/933M=")</f>
        <v>#REF!</v>
      </c>
      <c r="DM8" s="27" t="e">
        <f>AND('HepB 3-Dose Primary Series'!#REF!,"AAAAAC/933Q=")</f>
        <v>#REF!</v>
      </c>
      <c r="DN8" s="27" t="e">
        <f>AND('HepB 3-Dose Primary Series'!#REF!,"AAAAAC/933U=")</f>
        <v>#REF!</v>
      </c>
      <c r="DO8" s="27" t="e">
        <f>AND('HepB 3-Dose Primary Series'!#REF!,"AAAAAC/933Y=")</f>
        <v>#REF!</v>
      </c>
      <c r="DP8" s="27" t="e">
        <f>AND('HepB 3-Dose Primary Series'!#REF!,"AAAAAC/933c=")</f>
        <v>#REF!</v>
      </c>
      <c r="DQ8" s="27" t="e">
        <f>IF('HepB 3-Dose Primary Series'!#REF!,"AAAAAC/933g=",0)</f>
        <v>#REF!</v>
      </c>
      <c r="DR8" s="27" t="e">
        <f>AND('HepB 3-Dose Primary Series'!#REF!,"AAAAAC/933k=")</f>
        <v>#REF!</v>
      </c>
      <c r="DS8" s="27" t="e">
        <f>AND('HepB 3-Dose Primary Series'!#REF!,"AAAAAC/933o=")</f>
        <v>#REF!</v>
      </c>
      <c r="DT8" s="27" t="e">
        <f>AND('HepB 3-Dose Primary Series'!#REF!,"AAAAAC/933s=")</f>
        <v>#REF!</v>
      </c>
      <c r="DU8" s="27" t="e">
        <f>AND('HepB 3-Dose Primary Series'!#REF!,"AAAAAC/933w=")</f>
        <v>#REF!</v>
      </c>
      <c r="DV8" s="27" t="e">
        <f>AND('HepB 3-Dose Primary Series'!#REF!,"AAAAAC/9330=")</f>
        <v>#REF!</v>
      </c>
      <c r="DW8" s="27" t="e">
        <f>AND('HepB 3-Dose Primary Series'!#REF!,"AAAAAC/9334=")</f>
        <v>#REF!</v>
      </c>
      <c r="DX8" s="27" t="e">
        <f>AND('HepB 3-Dose Primary Series'!#REF!,"AAAAAC/9338=")</f>
        <v>#REF!</v>
      </c>
      <c r="DY8" s="27" t="e">
        <f>AND('HepB 3-Dose Primary Series'!#REF!,"AAAAAC/934A=")</f>
        <v>#REF!</v>
      </c>
      <c r="DZ8" s="27" t="e">
        <f>AND('HepB 3-Dose Primary Series'!#REF!,"AAAAAC/934E=")</f>
        <v>#REF!</v>
      </c>
      <c r="EA8" s="27" t="e">
        <f>IF('HepB 3-Dose Primary Series'!#REF!,"AAAAAC/934I=",0)</f>
        <v>#REF!</v>
      </c>
      <c r="EB8" s="27" t="e">
        <f>AND('HepB 3-Dose Primary Series'!#REF!,"AAAAAC/934M=")</f>
        <v>#REF!</v>
      </c>
      <c r="EC8" s="27" t="e">
        <f>AND('HepB 3-Dose Primary Series'!#REF!,"AAAAAC/934Q=")</f>
        <v>#REF!</v>
      </c>
      <c r="ED8" s="27" t="e">
        <f>AND('HepB 3-Dose Primary Series'!#REF!,"AAAAAC/934U=")</f>
        <v>#REF!</v>
      </c>
      <c r="EE8" s="27" t="e">
        <f>AND('HepB 3-Dose Primary Series'!#REF!,"AAAAAC/934Y=")</f>
        <v>#REF!</v>
      </c>
      <c r="EF8" s="27" t="e">
        <f>AND('HepB 3-Dose Primary Series'!#REF!,"AAAAAC/934c=")</f>
        <v>#REF!</v>
      </c>
      <c r="EG8" s="27" t="e">
        <f>AND('HepB 3-Dose Primary Series'!#REF!,"AAAAAC/934g=")</f>
        <v>#REF!</v>
      </c>
      <c r="EH8" s="27" t="e">
        <f>AND('HepB 3-Dose Primary Series'!#REF!,"AAAAAC/934k=")</f>
        <v>#REF!</v>
      </c>
      <c r="EI8" s="27" t="e">
        <f>AND('HepB 3-Dose Primary Series'!#REF!,"AAAAAC/934o=")</f>
        <v>#REF!</v>
      </c>
      <c r="EJ8" s="27" t="e">
        <f>AND('HepB 3-Dose Primary Series'!#REF!,"AAAAAC/934s=")</f>
        <v>#REF!</v>
      </c>
      <c r="EK8" s="27" t="e">
        <f>IF('HepB 3-Dose Primary Series'!#REF!,"AAAAAC/934w=",0)</f>
        <v>#REF!</v>
      </c>
      <c r="EL8" s="27" t="e">
        <f>AND('HepB 3-Dose Primary Series'!#REF!,"AAAAAC/9340=")</f>
        <v>#REF!</v>
      </c>
      <c r="EM8" s="27" t="e">
        <f>AND('HepB 3-Dose Primary Series'!#REF!,"AAAAAC/9344=")</f>
        <v>#REF!</v>
      </c>
      <c r="EN8" s="27" t="e">
        <f>AND('HepB 3-Dose Primary Series'!#REF!,"AAAAAC/9348=")</f>
        <v>#REF!</v>
      </c>
      <c r="EO8" s="27" t="e">
        <f>AND('HepB 3-Dose Primary Series'!#REF!,"AAAAAC/935A=")</f>
        <v>#REF!</v>
      </c>
      <c r="EP8" s="27" t="e">
        <f>AND('HepB 3-Dose Primary Series'!#REF!,"AAAAAC/935E=")</f>
        <v>#REF!</v>
      </c>
      <c r="EQ8" s="27" t="e">
        <f>AND('HepB 3-Dose Primary Series'!#REF!,"AAAAAC/935I=")</f>
        <v>#REF!</v>
      </c>
      <c r="ER8" s="27" t="e">
        <f>AND('HepB 3-Dose Primary Series'!#REF!,"AAAAAC/935M=")</f>
        <v>#REF!</v>
      </c>
      <c r="ES8" s="27" t="e">
        <f>AND('HepB 3-Dose Primary Series'!#REF!,"AAAAAC/935Q=")</f>
        <v>#REF!</v>
      </c>
      <c r="ET8" s="27" t="e">
        <f>AND('HepB 3-Dose Primary Series'!#REF!,"AAAAAC/935U=")</f>
        <v>#REF!</v>
      </c>
      <c r="EU8" s="27" t="e">
        <f>IF('HepB 3-Dose Primary Series'!#REF!,"AAAAAC/935Y=",0)</f>
        <v>#REF!</v>
      </c>
      <c r="EV8" s="27" t="e">
        <f>AND('HepB 3-Dose Primary Series'!#REF!,"AAAAAC/935c=")</f>
        <v>#REF!</v>
      </c>
      <c r="EW8" s="27" t="e">
        <f>AND('HepB 3-Dose Primary Series'!#REF!,"AAAAAC/935g=")</f>
        <v>#REF!</v>
      </c>
      <c r="EX8" s="27" t="e">
        <f>AND('HepB 3-Dose Primary Series'!#REF!,"AAAAAC/935k=")</f>
        <v>#REF!</v>
      </c>
      <c r="EY8" s="27" t="e">
        <f>AND('HepB 3-Dose Primary Series'!#REF!,"AAAAAC/935o=")</f>
        <v>#REF!</v>
      </c>
      <c r="EZ8" s="27" t="e">
        <f>AND('HepB 3-Dose Primary Series'!#REF!,"AAAAAC/935s=")</f>
        <v>#REF!</v>
      </c>
      <c r="FA8" s="27" t="e">
        <f>AND('HepB 3-Dose Primary Series'!#REF!,"AAAAAC/935w=")</f>
        <v>#REF!</v>
      </c>
      <c r="FB8" s="27" t="e">
        <f>AND('HepB 3-Dose Primary Series'!#REF!,"AAAAAC/9350=")</f>
        <v>#REF!</v>
      </c>
      <c r="FC8" s="27" t="e">
        <f>AND('HepB 3-Dose Primary Series'!#REF!,"AAAAAC/9354=")</f>
        <v>#REF!</v>
      </c>
      <c r="FD8" s="27" t="e">
        <f>AND('HepB 3-Dose Primary Series'!#REF!,"AAAAAC/9358=")</f>
        <v>#REF!</v>
      </c>
      <c r="FE8" s="27" t="e">
        <f>IF('HepB 3-Dose Primary Series'!#REF!,"AAAAAC/936A=",0)</f>
        <v>#REF!</v>
      </c>
      <c r="FF8" s="27" t="e">
        <f>AND('HepB 3-Dose Primary Series'!#REF!,"AAAAAC/936E=")</f>
        <v>#REF!</v>
      </c>
      <c r="FG8" s="27" t="e">
        <f>AND('HepB 3-Dose Primary Series'!#REF!,"AAAAAC/936I=")</f>
        <v>#REF!</v>
      </c>
      <c r="FH8" s="27" t="e">
        <f>AND('HepB 3-Dose Primary Series'!#REF!,"AAAAAC/936M=")</f>
        <v>#REF!</v>
      </c>
      <c r="FI8" s="27" t="e">
        <f>AND('HepB 3-Dose Primary Series'!#REF!,"AAAAAC/936Q=")</f>
        <v>#REF!</v>
      </c>
      <c r="FJ8" s="27" t="e">
        <f>AND('HepB 3-Dose Primary Series'!#REF!,"AAAAAC/936U=")</f>
        <v>#REF!</v>
      </c>
      <c r="FK8" s="27" t="e">
        <f>AND('HepB 3-Dose Primary Series'!#REF!,"AAAAAC/936Y=")</f>
        <v>#REF!</v>
      </c>
      <c r="FL8" s="27" t="e">
        <f>AND('HepB 3-Dose Primary Series'!#REF!,"AAAAAC/936c=")</f>
        <v>#REF!</v>
      </c>
      <c r="FM8" s="27" t="e">
        <f>AND('HepB 3-Dose Primary Series'!#REF!,"AAAAAC/936g=")</f>
        <v>#REF!</v>
      </c>
      <c r="FN8" s="27" t="e">
        <f>AND('HepB 3-Dose Primary Series'!#REF!,"AAAAAC/936k=")</f>
        <v>#REF!</v>
      </c>
      <c r="FO8" s="27" t="e">
        <f>IF('HepB 3-Dose Primary Series'!#REF!,"AAAAAC/936o=",0)</f>
        <v>#REF!</v>
      </c>
      <c r="FP8" s="27" t="e">
        <f>AND('HepB 3-Dose Primary Series'!#REF!,"AAAAAC/936s=")</f>
        <v>#REF!</v>
      </c>
      <c r="FQ8" s="27" t="e">
        <f>AND('HepB 3-Dose Primary Series'!#REF!,"AAAAAC/936w=")</f>
        <v>#REF!</v>
      </c>
      <c r="FR8" s="27" t="e">
        <f>AND('HepB 3-Dose Primary Series'!#REF!,"AAAAAC/9360=")</f>
        <v>#REF!</v>
      </c>
      <c r="FS8" s="27" t="e">
        <f>AND('HepB 3-Dose Primary Series'!#REF!,"AAAAAC/9364=")</f>
        <v>#REF!</v>
      </c>
      <c r="FT8" s="27" t="e">
        <f>AND('HepB 3-Dose Primary Series'!#REF!,"AAAAAC/9368=")</f>
        <v>#REF!</v>
      </c>
      <c r="FU8" s="27" t="e">
        <f>AND('HepB 3-Dose Primary Series'!#REF!,"AAAAAC/937A=")</f>
        <v>#REF!</v>
      </c>
      <c r="FV8" s="27" t="e">
        <f>AND('HepB 3-Dose Primary Series'!#REF!,"AAAAAC/937E=")</f>
        <v>#REF!</v>
      </c>
      <c r="FW8" s="27" t="e">
        <f>AND('HepB 3-Dose Primary Series'!#REF!,"AAAAAC/937I=")</f>
        <v>#REF!</v>
      </c>
      <c r="FX8" s="27" t="e">
        <f>AND('HepB 3-Dose Primary Series'!#REF!,"AAAAAC/937M=")</f>
        <v>#REF!</v>
      </c>
      <c r="FY8" s="27" t="e">
        <f>IF('HepB 3-Dose Primary Series'!#REF!,"AAAAAC/937Q=",0)</f>
        <v>#REF!</v>
      </c>
      <c r="FZ8" s="27" t="e">
        <f>AND('HepB 3-Dose Primary Series'!#REF!,"AAAAAC/937U=")</f>
        <v>#REF!</v>
      </c>
      <c r="GA8" s="27" t="e">
        <f>AND('HepB 3-Dose Primary Series'!#REF!,"AAAAAC/937Y=")</f>
        <v>#REF!</v>
      </c>
      <c r="GB8" s="27" t="e">
        <f>AND('HepB 3-Dose Primary Series'!#REF!,"AAAAAC/937c=")</f>
        <v>#REF!</v>
      </c>
      <c r="GC8" s="27" t="e">
        <f>AND('HepB 3-Dose Primary Series'!#REF!,"AAAAAC/937g=")</f>
        <v>#REF!</v>
      </c>
      <c r="GD8" s="27" t="e">
        <f>AND('HepB 3-Dose Primary Series'!#REF!,"AAAAAC/937k=")</f>
        <v>#REF!</v>
      </c>
      <c r="GE8" s="27" t="e">
        <f>AND('HepB 3-Dose Primary Series'!#REF!,"AAAAAC/937o=")</f>
        <v>#REF!</v>
      </c>
      <c r="GF8" s="27" t="e">
        <f>AND('HepB 3-Dose Primary Series'!#REF!,"AAAAAC/937s=")</f>
        <v>#REF!</v>
      </c>
      <c r="GG8" s="27" t="e">
        <f>AND('HepB 3-Dose Primary Series'!#REF!,"AAAAAC/937w=")</f>
        <v>#REF!</v>
      </c>
      <c r="GH8" s="27" t="e">
        <f>AND('HepB 3-Dose Primary Series'!#REF!,"AAAAAC/9370=")</f>
        <v>#REF!</v>
      </c>
      <c r="GI8" s="27" t="e">
        <f>IF('HepB 3-Dose Primary Series'!#REF!,"AAAAAC/9374=",0)</f>
        <v>#REF!</v>
      </c>
      <c r="GJ8" s="27" t="e">
        <f>AND('HepB 3-Dose Primary Series'!#REF!,"AAAAAC/9378=")</f>
        <v>#REF!</v>
      </c>
      <c r="GK8" s="27" t="e">
        <f>AND('HepB 3-Dose Primary Series'!#REF!,"AAAAAC/938A=")</f>
        <v>#REF!</v>
      </c>
      <c r="GL8" s="27" t="e">
        <f>AND('HepB 3-Dose Primary Series'!#REF!,"AAAAAC/938E=")</f>
        <v>#REF!</v>
      </c>
      <c r="GM8" s="27" t="e">
        <f>AND('HepB 3-Dose Primary Series'!#REF!,"AAAAAC/938I=")</f>
        <v>#REF!</v>
      </c>
      <c r="GN8" s="27" t="e">
        <f>AND('HepB 3-Dose Primary Series'!#REF!,"AAAAAC/938M=")</f>
        <v>#REF!</v>
      </c>
      <c r="GO8" s="27" t="e">
        <f>AND('HepB 3-Dose Primary Series'!#REF!,"AAAAAC/938Q=")</f>
        <v>#REF!</v>
      </c>
      <c r="GP8" s="27" t="e">
        <f>AND('HepB 3-Dose Primary Series'!#REF!,"AAAAAC/938U=")</f>
        <v>#REF!</v>
      </c>
      <c r="GQ8" s="27" t="e">
        <f>AND('HepB 3-Dose Primary Series'!#REF!,"AAAAAC/938Y=")</f>
        <v>#REF!</v>
      </c>
      <c r="GR8" s="27" t="e">
        <f>AND('HepB 3-Dose Primary Series'!#REF!,"AAAAAC/938c=")</f>
        <v>#REF!</v>
      </c>
      <c r="GS8" s="27" t="e">
        <f>IF('HepB 3-Dose Primary Series'!#REF!,"AAAAAC/938g=",0)</f>
        <v>#REF!</v>
      </c>
      <c r="GT8" s="27" t="e">
        <f>AND('HepB 3-Dose Primary Series'!#REF!,"AAAAAC/938k=")</f>
        <v>#REF!</v>
      </c>
      <c r="GU8" s="27" t="e">
        <f>AND('HepB 3-Dose Primary Series'!#REF!,"AAAAAC/938o=")</f>
        <v>#REF!</v>
      </c>
      <c r="GV8" s="27" t="e">
        <f>AND('HepB 3-Dose Primary Series'!#REF!,"AAAAAC/938s=")</f>
        <v>#REF!</v>
      </c>
      <c r="GW8" s="27" t="e">
        <f>AND('HepB 3-Dose Primary Series'!#REF!,"AAAAAC/938w=")</f>
        <v>#REF!</v>
      </c>
      <c r="GX8" s="27" t="e">
        <f>AND('HepB 3-Dose Primary Series'!#REF!,"AAAAAC/9380=")</f>
        <v>#REF!</v>
      </c>
      <c r="GY8" s="27" t="e">
        <f>AND('HepB 3-Dose Primary Series'!#REF!,"AAAAAC/9384=")</f>
        <v>#REF!</v>
      </c>
      <c r="GZ8" s="27" t="e">
        <f>AND('HepB 3-Dose Primary Series'!#REF!,"AAAAAC/9388=")</f>
        <v>#REF!</v>
      </c>
      <c r="HA8" s="27" t="e">
        <f>AND('HepB 3-Dose Primary Series'!#REF!,"AAAAAC/939A=")</f>
        <v>#REF!</v>
      </c>
      <c r="HB8" s="27" t="e">
        <f>AND('HepB 3-Dose Primary Series'!#REF!,"AAAAAC/939E=")</f>
        <v>#REF!</v>
      </c>
      <c r="HC8" s="27" t="e">
        <f>IF('HepB 3-Dose Primary Series'!#REF!,"AAAAAC/939I=",0)</f>
        <v>#REF!</v>
      </c>
      <c r="HD8" s="27" t="e">
        <f>AND('HepB 3-Dose Primary Series'!#REF!,"AAAAAC/939M=")</f>
        <v>#REF!</v>
      </c>
      <c r="HE8" s="27" t="e">
        <f>AND('HepB 3-Dose Primary Series'!#REF!,"AAAAAC/939Q=")</f>
        <v>#REF!</v>
      </c>
      <c r="HF8" s="27" t="e">
        <f>AND('HepB 3-Dose Primary Series'!#REF!,"AAAAAC/939U=")</f>
        <v>#REF!</v>
      </c>
      <c r="HG8" s="27" t="e">
        <f>AND('HepB 3-Dose Primary Series'!#REF!,"AAAAAC/939Y=")</f>
        <v>#REF!</v>
      </c>
      <c r="HH8" s="27" t="e">
        <f>AND('HepB 3-Dose Primary Series'!#REF!,"AAAAAC/939c=")</f>
        <v>#REF!</v>
      </c>
      <c r="HI8" s="27" t="e">
        <f>AND('HepB 3-Dose Primary Series'!#REF!,"AAAAAC/939g=")</f>
        <v>#REF!</v>
      </c>
      <c r="HJ8" s="27" t="e">
        <f>AND('HepB 3-Dose Primary Series'!#REF!,"AAAAAC/939k=")</f>
        <v>#REF!</v>
      </c>
      <c r="HK8" s="27" t="e">
        <f>AND('HepB 3-Dose Primary Series'!#REF!,"AAAAAC/939o=")</f>
        <v>#REF!</v>
      </c>
      <c r="HL8" s="27" t="e">
        <f>AND('HepB 3-Dose Primary Series'!#REF!,"AAAAAC/939s=")</f>
        <v>#REF!</v>
      </c>
      <c r="HM8" s="27" t="e">
        <f>IF('HepB 3-Dose Primary Series'!#REF!,"AAAAAC/939w=",0)</f>
        <v>#REF!</v>
      </c>
      <c r="HN8" s="27" t="e">
        <f>AND('HepB 3-Dose Primary Series'!#REF!,"AAAAAC/9390=")</f>
        <v>#REF!</v>
      </c>
      <c r="HO8" s="27" t="e">
        <f>AND('HepB 3-Dose Primary Series'!#REF!,"AAAAAC/9394=")</f>
        <v>#REF!</v>
      </c>
      <c r="HP8" s="27" t="e">
        <f>AND('HepB 3-Dose Primary Series'!#REF!,"AAAAAC/9398=")</f>
        <v>#REF!</v>
      </c>
      <c r="HQ8" s="27" t="e">
        <f>AND('HepB 3-Dose Primary Series'!#REF!,"AAAAAC/93+A=")</f>
        <v>#REF!</v>
      </c>
      <c r="HR8" s="27" t="e">
        <f>AND('HepB 3-Dose Primary Series'!#REF!,"AAAAAC/93+E=")</f>
        <v>#REF!</v>
      </c>
      <c r="HS8" s="27" t="e">
        <f>AND('HepB 3-Dose Primary Series'!#REF!,"AAAAAC/93+I=")</f>
        <v>#REF!</v>
      </c>
      <c r="HT8" s="27" t="e">
        <f>AND('HepB 3-Dose Primary Series'!#REF!,"AAAAAC/93+M=")</f>
        <v>#REF!</v>
      </c>
      <c r="HU8" s="27" t="e">
        <f>AND('HepB 3-Dose Primary Series'!#REF!,"AAAAAC/93+Q=")</f>
        <v>#REF!</v>
      </c>
      <c r="HV8" s="27" t="e">
        <f>AND('HepB 3-Dose Primary Series'!#REF!,"AAAAAC/93+U=")</f>
        <v>#REF!</v>
      </c>
      <c r="HW8" s="27" t="e">
        <f>IF('HepB 3-Dose Primary Series'!#REF!,"AAAAAC/93+Y=",0)</f>
        <v>#REF!</v>
      </c>
      <c r="HX8" s="27" t="e">
        <f>AND('HepB 3-Dose Primary Series'!#REF!,"AAAAAC/93+c=")</f>
        <v>#REF!</v>
      </c>
      <c r="HY8" s="27" t="e">
        <f>AND('HepB 3-Dose Primary Series'!#REF!,"AAAAAC/93+g=")</f>
        <v>#REF!</v>
      </c>
      <c r="HZ8" s="27" t="e">
        <f>AND('HepB 3-Dose Primary Series'!#REF!,"AAAAAC/93+k=")</f>
        <v>#REF!</v>
      </c>
      <c r="IA8" s="27" t="e">
        <f>AND('HepB 3-Dose Primary Series'!#REF!,"AAAAAC/93+o=")</f>
        <v>#REF!</v>
      </c>
      <c r="IB8" s="27" t="e">
        <f>AND('HepB 3-Dose Primary Series'!#REF!,"AAAAAC/93+s=")</f>
        <v>#REF!</v>
      </c>
      <c r="IC8" s="27" t="e">
        <f>AND('HepB 3-Dose Primary Series'!#REF!,"AAAAAC/93+w=")</f>
        <v>#REF!</v>
      </c>
      <c r="ID8" s="27" t="e">
        <f>AND('HepB 3-Dose Primary Series'!#REF!,"AAAAAC/93+0=")</f>
        <v>#REF!</v>
      </c>
      <c r="IE8" s="27" t="e">
        <f>AND('HepB 3-Dose Primary Series'!#REF!,"AAAAAC/93+4=")</f>
        <v>#REF!</v>
      </c>
      <c r="IF8" s="27" t="e">
        <f>AND('HepB 3-Dose Primary Series'!#REF!,"AAAAAC/93+8=")</f>
        <v>#REF!</v>
      </c>
      <c r="IG8" s="27" t="e">
        <f>IF('HepB 3-Dose Primary Series'!#REF!,"AAAAAC/93/A=",0)</f>
        <v>#REF!</v>
      </c>
      <c r="IH8" s="27" t="e">
        <f>AND('HepB 3-Dose Primary Series'!#REF!,"AAAAAC/93/E=")</f>
        <v>#REF!</v>
      </c>
      <c r="II8" s="27" t="e">
        <f>AND('HepB 3-Dose Primary Series'!#REF!,"AAAAAC/93/I=")</f>
        <v>#REF!</v>
      </c>
      <c r="IJ8" s="27" t="e">
        <f>AND('HepB 3-Dose Primary Series'!#REF!,"AAAAAC/93/M=")</f>
        <v>#REF!</v>
      </c>
      <c r="IK8" s="27" t="e">
        <f>AND('HepB 3-Dose Primary Series'!#REF!,"AAAAAC/93/Q=")</f>
        <v>#REF!</v>
      </c>
      <c r="IL8" s="27" t="e">
        <f>AND('HepB 3-Dose Primary Series'!#REF!,"AAAAAC/93/U=")</f>
        <v>#REF!</v>
      </c>
      <c r="IM8" s="27" t="e">
        <f>AND('HepB 3-Dose Primary Series'!#REF!,"AAAAAC/93/Y=")</f>
        <v>#REF!</v>
      </c>
      <c r="IN8" s="27" t="e">
        <f>AND('HepB 3-Dose Primary Series'!#REF!,"AAAAAC/93/c=")</f>
        <v>#REF!</v>
      </c>
      <c r="IO8" s="27" t="e">
        <f>AND('HepB 3-Dose Primary Series'!#REF!,"AAAAAC/93/g=")</f>
        <v>#REF!</v>
      </c>
      <c r="IP8" s="27" t="e">
        <f>AND('HepB 3-Dose Primary Series'!#REF!,"AAAAAC/93/k=")</f>
        <v>#REF!</v>
      </c>
      <c r="IQ8" s="27" t="e">
        <f>IF('HepB 3-Dose Primary Series'!#REF!,"AAAAAC/93/o=",0)</f>
        <v>#REF!</v>
      </c>
      <c r="IR8" s="27" t="e">
        <f>AND('HepB 3-Dose Primary Series'!#REF!,"AAAAAC/93/s=")</f>
        <v>#REF!</v>
      </c>
      <c r="IS8" s="27" t="e">
        <f>AND('HepB 3-Dose Primary Series'!#REF!,"AAAAAC/93/w=")</f>
        <v>#REF!</v>
      </c>
      <c r="IT8" s="27" t="e">
        <f>AND('HepB 3-Dose Primary Series'!#REF!,"AAAAAC/93/0=")</f>
        <v>#REF!</v>
      </c>
      <c r="IU8" s="27" t="e">
        <f>AND('HepB 3-Dose Primary Series'!#REF!,"AAAAAC/93/4=")</f>
        <v>#REF!</v>
      </c>
      <c r="IV8" s="27" t="e">
        <f>AND('HepB 3-Dose Primary Series'!#REF!,"AAAAAC/93/8=")</f>
        <v>#REF!</v>
      </c>
    </row>
    <row r="9" spans="1:256" ht="12.75" customHeight="1" x14ac:dyDescent="0.2">
      <c r="A9" s="27" t="e">
        <f>AND('HepB 3-Dose Primary Series'!#REF!,"AAAAAHb/8QA=")</f>
        <v>#REF!</v>
      </c>
      <c r="B9" s="27" t="e">
        <f>AND('HepB 3-Dose Primary Series'!#REF!,"AAAAAHb/8QE=")</f>
        <v>#REF!</v>
      </c>
      <c r="C9" s="27" t="e">
        <f>AND('HepB 3-Dose Primary Series'!#REF!,"AAAAAHb/8QI=")</f>
        <v>#REF!</v>
      </c>
      <c r="D9" s="27" t="e">
        <f>AND('HepB 3-Dose Primary Series'!#REF!,"AAAAAHb/8QM=")</f>
        <v>#REF!</v>
      </c>
      <c r="E9" s="27" t="e">
        <f>IF('HepB 3-Dose Primary Series'!#REF!,"AAAAAHb/8QQ=",0)</f>
        <v>#REF!</v>
      </c>
      <c r="F9" s="27" t="e">
        <f>AND('HepB 3-Dose Primary Series'!#REF!,"AAAAAHb/8QU=")</f>
        <v>#REF!</v>
      </c>
      <c r="G9" s="27" t="e">
        <f>AND('HepB 3-Dose Primary Series'!#REF!,"AAAAAHb/8QY=")</f>
        <v>#REF!</v>
      </c>
      <c r="H9" s="27" t="e">
        <f>AND('HepB 3-Dose Primary Series'!#REF!,"AAAAAHb/8Qc=")</f>
        <v>#REF!</v>
      </c>
      <c r="I9" s="27" t="e">
        <f>AND('HepB 3-Dose Primary Series'!#REF!,"AAAAAHb/8Qg=")</f>
        <v>#REF!</v>
      </c>
      <c r="J9" s="27" t="e">
        <f>AND('HepB 3-Dose Primary Series'!#REF!,"AAAAAHb/8Qk=")</f>
        <v>#REF!</v>
      </c>
      <c r="K9" s="27" t="e">
        <f>AND('HepB 3-Dose Primary Series'!#REF!,"AAAAAHb/8Qo=")</f>
        <v>#REF!</v>
      </c>
      <c r="L9" s="27" t="e">
        <f>AND('HepB 3-Dose Primary Series'!#REF!,"AAAAAHb/8Qs=")</f>
        <v>#REF!</v>
      </c>
      <c r="M9" s="27" t="e">
        <f>AND('HepB 3-Dose Primary Series'!#REF!,"AAAAAHb/8Qw=")</f>
        <v>#REF!</v>
      </c>
      <c r="N9" s="27" t="e">
        <f>AND('HepB 3-Dose Primary Series'!#REF!,"AAAAAHb/8Q0=")</f>
        <v>#REF!</v>
      </c>
      <c r="O9" s="27" t="e">
        <f>IF('HepB 3-Dose Primary Series'!#REF!,"AAAAAHb/8Q4=",0)</f>
        <v>#REF!</v>
      </c>
      <c r="P9" s="27" t="e">
        <f>AND('HepB 3-Dose Primary Series'!#REF!,"AAAAAHb/8Q8=")</f>
        <v>#REF!</v>
      </c>
      <c r="Q9" s="27" t="e">
        <f>AND('HepB 3-Dose Primary Series'!#REF!,"AAAAAHb/8RA=")</f>
        <v>#REF!</v>
      </c>
      <c r="R9" s="27" t="e">
        <f>AND('HepB 3-Dose Primary Series'!#REF!,"AAAAAHb/8RE=")</f>
        <v>#REF!</v>
      </c>
      <c r="S9" s="27" t="e">
        <f>AND('HepB 3-Dose Primary Series'!#REF!,"AAAAAHb/8RI=")</f>
        <v>#REF!</v>
      </c>
      <c r="T9" s="27" t="e">
        <f>AND('HepB 3-Dose Primary Series'!#REF!,"AAAAAHb/8RM=")</f>
        <v>#REF!</v>
      </c>
      <c r="U9" s="27" t="e">
        <f>AND('HepB 3-Dose Primary Series'!#REF!,"AAAAAHb/8RQ=")</f>
        <v>#REF!</v>
      </c>
      <c r="V9" s="27" t="e">
        <f>AND('HepB 3-Dose Primary Series'!#REF!,"AAAAAHb/8RU=")</f>
        <v>#REF!</v>
      </c>
      <c r="W9" s="27" t="e">
        <f>AND('HepB 3-Dose Primary Series'!#REF!,"AAAAAHb/8RY=")</f>
        <v>#REF!</v>
      </c>
      <c r="X9" s="27" t="e">
        <f>AND('HepB 3-Dose Primary Series'!#REF!,"AAAAAHb/8Rc=")</f>
        <v>#REF!</v>
      </c>
      <c r="Y9" s="27" t="e">
        <f>IF('HepB 3-Dose Primary Series'!#REF!,"AAAAAHb/8Rg=",0)</f>
        <v>#REF!</v>
      </c>
      <c r="Z9" s="27" t="e">
        <f>AND('HepB 3-Dose Primary Series'!#REF!,"AAAAAHb/8Rk=")</f>
        <v>#REF!</v>
      </c>
      <c r="AA9" s="27" t="e">
        <f>AND('HepB 3-Dose Primary Series'!#REF!,"AAAAAHb/8Ro=")</f>
        <v>#REF!</v>
      </c>
      <c r="AB9" s="27" t="e">
        <f>AND('HepB 3-Dose Primary Series'!#REF!,"AAAAAHb/8Rs=")</f>
        <v>#REF!</v>
      </c>
      <c r="AC9" s="27" t="e">
        <f>AND('HepB 3-Dose Primary Series'!#REF!,"AAAAAHb/8Rw=")</f>
        <v>#REF!</v>
      </c>
      <c r="AD9" s="27" t="e">
        <f>AND('HepB 3-Dose Primary Series'!#REF!,"AAAAAHb/8R0=")</f>
        <v>#REF!</v>
      </c>
      <c r="AE9" s="27" t="e">
        <f>AND('HepB 3-Dose Primary Series'!#REF!,"AAAAAHb/8R4=")</f>
        <v>#REF!</v>
      </c>
      <c r="AF9" s="27" t="e">
        <f>AND('HepB 3-Dose Primary Series'!#REF!,"AAAAAHb/8R8=")</f>
        <v>#REF!</v>
      </c>
      <c r="AG9" s="27" t="e">
        <f>AND('HepB 3-Dose Primary Series'!#REF!,"AAAAAHb/8SA=")</f>
        <v>#REF!</v>
      </c>
      <c r="AH9" s="27" t="e">
        <f>AND('HepB 3-Dose Primary Series'!#REF!,"AAAAAHb/8SE=")</f>
        <v>#REF!</v>
      </c>
      <c r="AI9" s="27" t="e">
        <f>IF('HepB 3-Dose Primary Series'!#REF!,"AAAAAHb/8SI=",0)</f>
        <v>#REF!</v>
      </c>
      <c r="AJ9" s="27" t="e">
        <f>AND('HepB 3-Dose Primary Series'!#REF!,"AAAAAHb/8SM=")</f>
        <v>#REF!</v>
      </c>
      <c r="AK9" s="27" t="e">
        <f>AND('HepB 3-Dose Primary Series'!#REF!,"AAAAAHb/8SQ=")</f>
        <v>#REF!</v>
      </c>
      <c r="AL9" s="27" t="e">
        <f>AND('HepB 3-Dose Primary Series'!#REF!,"AAAAAHb/8SU=")</f>
        <v>#REF!</v>
      </c>
      <c r="AM9" s="27" t="e">
        <f>AND('HepB 3-Dose Primary Series'!#REF!,"AAAAAHb/8SY=")</f>
        <v>#REF!</v>
      </c>
      <c r="AN9" s="27" t="e">
        <f>AND('HepB 3-Dose Primary Series'!#REF!,"AAAAAHb/8Sc=")</f>
        <v>#REF!</v>
      </c>
      <c r="AO9" s="27" t="e">
        <f>AND('HepB 3-Dose Primary Series'!#REF!,"AAAAAHb/8Sg=")</f>
        <v>#REF!</v>
      </c>
      <c r="AP9" s="27" t="e">
        <f>AND('HepB 3-Dose Primary Series'!#REF!,"AAAAAHb/8Sk=")</f>
        <v>#REF!</v>
      </c>
      <c r="AQ9" s="27" t="e">
        <f>AND('HepB 3-Dose Primary Series'!#REF!,"AAAAAHb/8So=")</f>
        <v>#REF!</v>
      </c>
      <c r="AR9" s="27" t="e">
        <f>AND('HepB 3-Dose Primary Series'!#REF!,"AAAAAHb/8Ss=")</f>
        <v>#REF!</v>
      </c>
      <c r="AS9" s="27" t="e">
        <f>IF('HepB 3-Dose Primary Series'!#REF!,"AAAAAHb/8Sw=",0)</f>
        <v>#REF!</v>
      </c>
      <c r="AT9" s="27" t="e">
        <f>AND('HepB 3-Dose Primary Series'!#REF!,"AAAAAHb/8S0=")</f>
        <v>#REF!</v>
      </c>
      <c r="AU9" s="27" t="e">
        <f>AND('HepB 3-Dose Primary Series'!#REF!,"AAAAAHb/8S4=")</f>
        <v>#REF!</v>
      </c>
      <c r="AV9" s="27" t="e">
        <f>AND('HepB 3-Dose Primary Series'!#REF!,"AAAAAHb/8S8=")</f>
        <v>#REF!</v>
      </c>
      <c r="AW9" s="27" t="e">
        <f>AND('HepB 3-Dose Primary Series'!#REF!,"AAAAAHb/8TA=")</f>
        <v>#REF!</v>
      </c>
      <c r="AX9" s="27" t="e">
        <f>AND('HepB 3-Dose Primary Series'!#REF!,"AAAAAHb/8TE=")</f>
        <v>#REF!</v>
      </c>
      <c r="AY9" s="27" t="e">
        <f>AND('HepB 3-Dose Primary Series'!#REF!,"AAAAAHb/8TI=")</f>
        <v>#REF!</v>
      </c>
      <c r="AZ9" s="27" t="e">
        <f>AND('HepB 3-Dose Primary Series'!#REF!,"AAAAAHb/8TM=")</f>
        <v>#REF!</v>
      </c>
      <c r="BA9" s="27" t="e">
        <f>AND('HepB 3-Dose Primary Series'!#REF!,"AAAAAHb/8TQ=")</f>
        <v>#REF!</v>
      </c>
      <c r="BB9" s="27" t="e">
        <f>AND('HepB 3-Dose Primary Series'!#REF!,"AAAAAHb/8TU=")</f>
        <v>#REF!</v>
      </c>
      <c r="BC9" s="27" t="e">
        <f>IF('HepB 3-Dose Primary Series'!#REF!,"AAAAAHb/8TY=",0)</f>
        <v>#REF!</v>
      </c>
      <c r="BD9" s="27" t="e">
        <f>AND('HepB 3-Dose Primary Series'!#REF!,"AAAAAHb/8Tc=")</f>
        <v>#REF!</v>
      </c>
      <c r="BE9" s="27" t="e">
        <f>AND('HepB 3-Dose Primary Series'!#REF!,"AAAAAHb/8Tg=")</f>
        <v>#REF!</v>
      </c>
      <c r="BF9" s="27" t="e">
        <f>AND('HepB 3-Dose Primary Series'!#REF!,"AAAAAHb/8Tk=")</f>
        <v>#REF!</v>
      </c>
      <c r="BG9" s="27" t="e">
        <f>AND('HepB 3-Dose Primary Series'!#REF!,"AAAAAHb/8To=")</f>
        <v>#REF!</v>
      </c>
      <c r="BH9" s="27" t="e">
        <f>AND('HepB 3-Dose Primary Series'!#REF!,"AAAAAHb/8Ts=")</f>
        <v>#REF!</v>
      </c>
      <c r="BI9" s="27" t="e">
        <f>AND('HepB 3-Dose Primary Series'!#REF!,"AAAAAHb/8Tw=")</f>
        <v>#REF!</v>
      </c>
      <c r="BJ9" s="27" t="e">
        <f>AND('HepB 3-Dose Primary Series'!#REF!,"AAAAAHb/8T0=")</f>
        <v>#REF!</v>
      </c>
      <c r="BK9" s="27" t="e">
        <f>AND('HepB 3-Dose Primary Series'!#REF!,"AAAAAHb/8T4=")</f>
        <v>#REF!</v>
      </c>
      <c r="BL9" s="27" t="e">
        <f>AND('HepB 3-Dose Primary Series'!#REF!,"AAAAAHb/8T8=")</f>
        <v>#REF!</v>
      </c>
      <c r="BM9" s="27" t="e">
        <f>IF('HepB 3-Dose Primary Series'!#REF!,"AAAAAHb/8UA=",0)</f>
        <v>#REF!</v>
      </c>
      <c r="BN9" s="27" t="e">
        <f>AND('HepB 3-Dose Primary Series'!#REF!,"AAAAAHb/8UE=")</f>
        <v>#REF!</v>
      </c>
      <c r="BO9" s="27" t="e">
        <f>AND('HepB 3-Dose Primary Series'!#REF!,"AAAAAHb/8UI=")</f>
        <v>#REF!</v>
      </c>
      <c r="BP9" s="27" t="e">
        <f>AND('HepB 3-Dose Primary Series'!#REF!,"AAAAAHb/8UM=")</f>
        <v>#REF!</v>
      </c>
      <c r="BQ9" s="27" t="e">
        <f>AND('HepB 3-Dose Primary Series'!#REF!,"AAAAAHb/8UQ=")</f>
        <v>#REF!</v>
      </c>
      <c r="BR9" s="27" t="e">
        <f>AND('HepB 3-Dose Primary Series'!#REF!,"AAAAAHb/8UU=")</f>
        <v>#REF!</v>
      </c>
      <c r="BS9" s="27" t="e">
        <f>AND('HepB 3-Dose Primary Series'!#REF!,"AAAAAHb/8UY=")</f>
        <v>#REF!</v>
      </c>
      <c r="BT9" s="27" t="e">
        <f>AND('HepB 3-Dose Primary Series'!#REF!,"AAAAAHb/8Uc=")</f>
        <v>#REF!</v>
      </c>
      <c r="BU9" s="27" t="e">
        <f>AND('HepB 3-Dose Primary Series'!#REF!,"AAAAAHb/8Ug=")</f>
        <v>#REF!</v>
      </c>
      <c r="BV9" s="27" t="e">
        <f>AND('HepB 3-Dose Primary Series'!#REF!,"AAAAAHb/8Uk=")</f>
        <v>#REF!</v>
      </c>
      <c r="BW9" s="27" t="e">
        <f>IF('HepB 3-Dose Primary Series'!#REF!,"AAAAAHb/8Uo=",0)</f>
        <v>#REF!</v>
      </c>
      <c r="BX9" s="27" t="e">
        <f>AND('HepB 3-Dose Primary Series'!#REF!,"AAAAAHb/8Us=")</f>
        <v>#REF!</v>
      </c>
      <c r="BY9" s="27" t="e">
        <f>AND('HepB 3-Dose Primary Series'!#REF!,"AAAAAHb/8Uw=")</f>
        <v>#REF!</v>
      </c>
      <c r="BZ9" s="27" t="e">
        <f>AND('HepB 3-Dose Primary Series'!#REF!,"AAAAAHb/8U0=")</f>
        <v>#REF!</v>
      </c>
      <c r="CA9" s="27" t="e">
        <f>AND('HepB 3-Dose Primary Series'!#REF!,"AAAAAHb/8U4=")</f>
        <v>#REF!</v>
      </c>
      <c r="CB9" s="27" t="e">
        <f>AND('HepB 3-Dose Primary Series'!#REF!,"AAAAAHb/8U8=")</f>
        <v>#REF!</v>
      </c>
      <c r="CC9" s="27" t="e">
        <f>AND('HepB 3-Dose Primary Series'!#REF!,"AAAAAHb/8VA=")</f>
        <v>#REF!</v>
      </c>
      <c r="CD9" s="27" t="e">
        <f>AND('HepB 3-Dose Primary Series'!#REF!,"AAAAAHb/8VE=")</f>
        <v>#REF!</v>
      </c>
      <c r="CE9" s="27" t="e">
        <f>AND('HepB 3-Dose Primary Series'!#REF!,"AAAAAHb/8VI=")</f>
        <v>#REF!</v>
      </c>
      <c r="CF9" s="27" t="e">
        <f>AND('HepB 3-Dose Primary Series'!#REF!,"AAAAAHb/8VM=")</f>
        <v>#REF!</v>
      </c>
      <c r="CG9" s="27" t="e">
        <f>IF('HepB 3-Dose Primary Series'!#REF!,"AAAAAHb/8VQ=",0)</f>
        <v>#REF!</v>
      </c>
      <c r="CH9" s="27" t="e">
        <f>AND('HepB 3-Dose Primary Series'!#REF!,"AAAAAHb/8VU=")</f>
        <v>#REF!</v>
      </c>
      <c r="CI9" s="27" t="e">
        <f>AND('HepB 3-Dose Primary Series'!#REF!,"AAAAAHb/8VY=")</f>
        <v>#REF!</v>
      </c>
      <c r="CJ9" s="27" t="e">
        <f>AND('HepB 3-Dose Primary Series'!#REF!,"AAAAAHb/8Vc=")</f>
        <v>#REF!</v>
      </c>
      <c r="CK9" s="27" t="e">
        <f>AND('HepB 3-Dose Primary Series'!#REF!,"AAAAAHb/8Vg=")</f>
        <v>#REF!</v>
      </c>
      <c r="CL9" s="27" t="e">
        <f>AND('HepB 3-Dose Primary Series'!#REF!,"AAAAAHb/8Vk=")</f>
        <v>#REF!</v>
      </c>
      <c r="CM9" s="27" t="e">
        <f>AND('HepB 3-Dose Primary Series'!#REF!,"AAAAAHb/8Vo=")</f>
        <v>#REF!</v>
      </c>
      <c r="CN9" s="27" t="e">
        <f>AND('HepB 3-Dose Primary Series'!#REF!,"AAAAAHb/8Vs=")</f>
        <v>#REF!</v>
      </c>
      <c r="CO9" s="27" t="e">
        <f>AND('HepB 3-Dose Primary Series'!#REF!,"AAAAAHb/8Vw=")</f>
        <v>#REF!</v>
      </c>
      <c r="CP9" s="27" t="e">
        <f>AND('HepB 3-Dose Primary Series'!#REF!,"AAAAAHb/8V0=")</f>
        <v>#REF!</v>
      </c>
      <c r="CQ9" s="27" t="e">
        <f>IF('HepB 3-Dose Primary Series'!#REF!,"AAAAAHb/8V4=",0)</f>
        <v>#REF!</v>
      </c>
      <c r="CR9" s="27" t="e">
        <f>AND('HepB 3-Dose Primary Series'!#REF!,"AAAAAHb/8V8=")</f>
        <v>#REF!</v>
      </c>
      <c r="CS9" s="27" t="e">
        <f>AND('HepB 3-Dose Primary Series'!#REF!,"AAAAAHb/8WA=")</f>
        <v>#REF!</v>
      </c>
      <c r="CT9" s="27" t="e">
        <f>AND('HepB 3-Dose Primary Series'!#REF!,"AAAAAHb/8WE=")</f>
        <v>#REF!</v>
      </c>
      <c r="CU9" s="27" t="e">
        <f>AND('HepB 3-Dose Primary Series'!#REF!,"AAAAAHb/8WI=")</f>
        <v>#REF!</v>
      </c>
      <c r="CV9" s="27" t="e">
        <f>AND('HepB 3-Dose Primary Series'!#REF!,"AAAAAHb/8WM=")</f>
        <v>#REF!</v>
      </c>
      <c r="CW9" s="27" t="e">
        <f>AND('HepB 3-Dose Primary Series'!#REF!,"AAAAAHb/8WQ=")</f>
        <v>#REF!</v>
      </c>
      <c r="CX9" s="27" t="e">
        <f>AND('HepB 3-Dose Primary Series'!#REF!,"AAAAAHb/8WU=")</f>
        <v>#REF!</v>
      </c>
      <c r="CY9" s="27" t="e">
        <f>AND('HepB 3-Dose Primary Series'!#REF!,"AAAAAHb/8WY=")</f>
        <v>#REF!</v>
      </c>
      <c r="CZ9" s="27" t="e">
        <f>AND('HepB 3-Dose Primary Series'!#REF!,"AAAAAHb/8Wc=")</f>
        <v>#REF!</v>
      </c>
      <c r="DA9" s="27" t="e">
        <f>IF('HepB 3-Dose Primary Series'!#REF!,"AAAAAHb/8Wg=",0)</f>
        <v>#REF!</v>
      </c>
      <c r="DB9" s="27" t="e">
        <f>AND('HepB 3-Dose Primary Series'!#REF!,"AAAAAHb/8Wk=")</f>
        <v>#REF!</v>
      </c>
      <c r="DC9" s="27" t="e">
        <f>AND('HepB 3-Dose Primary Series'!#REF!,"AAAAAHb/8Wo=")</f>
        <v>#REF!</v>
      </c>
      <c r="DD9" s="27" t="e">
        <f>AND('HepB 3-Dose Primary Series'!#REF!,"AAAAAHb/8Ws=")</f>
        <v>#REF!</v>
      </c>
      <c r="DE9" s="27" t="e">
        <f>AND('HepB 3-Dose Primary Series'!#REF!,"AAAAAHb/8Ww=")</f>
        <v>#REF!</v>
      </c>
      <c r="DF9" s="27" t="e">
        <f>AND('HepB 3-Dose Primary Series'!#REF!,"AAAAAHb/8W0=")</f>
        <v>#REF!</v>
      </c>
      <c r="DG9" s="27" t="e">
        <f>AND('HepB 3-Dose Primary Series'!#REF!,"AAAAAHb/8W4=")</f>
        <v>#REF!</v>
      </c>
      <c r="DH9" s="27" t="e">
        <f>AND('HepB 3-Dose Primary Series'!#REF!,"AAAAAHb/8W8=")</f>
        <v>#REF!</v>
      </c>
      <c r="DI9" s="27" t="e">
        <f>AND('HepB 3-Dose Primary Series'!#REF!,"AAAAAHb/8XA=")</f>
        <v>#REF!</v>
      </c>
      <c r="DJ9" s="27" t="e">
        <f>AND('HepB 3-Dose Primary Series'!#REF!,"AAAAAHb/8XE=")</f>
        <v>#REF!</v>
      </c>
      <c r="DK9" s="27" t="e">
        <f>IF('HepB 3-Dose Primary Series'!#REF!,"AAAAAHb/8XI=",0)</f>
        <v>#REF!</v>
      </c>
      <c r="DL9" s="27" t="e">
        <f>AND('HepB 3-Dose Primary Series'!#REF!,"AAAAAHb/8XM=")</f>
        <v>#REF!</v>
      </c>
      <c r="DM9" s="27" t="e">
        <f>AND('HepB 3-Dose Primary Series'!#REF!,"AAAAAHb/8XQ=")</f>
        <v>#REF!</v>
      </c>
      <c r="DN9" s="27" t="e">
        <f>AND('HepB 3-Dose Primary Series'!#REF!,"AAAAAHb/8XU=")</f>
        <v>#REF!</v>
      </c>
      <c r="DO9" s="27" t="e">
        <f>AND('HepB 3-Dose Primary Series'!#REF!,"AAAAAHb/8XY=")</f>
        <v>#REF!</v>
      </c>
      <c r="DP9" s="27" t="e">
        <f>AND('HepB 3-Dose Primary Series'!#REF!,"AAAAAHb/8Xc=")</f>
        <v>#REF!</v>
      </c>
      <c r="DQ9" s="27" t="e">
        <f>AND('HepB 3-Dose Primary Series'!#REF!,"AAAAAHb/8Xg=")</f>
        <v>#REF!</v>
      </c>
      <c r="DR9" s="27" t="e">
        <f>AND('HepB 3-Dose Primary Series'!#REF!,"AAAAAHb/8Xk=")</f>
        <v>#REF!</v>
      </c>
      <c r="DS9" s="27" t="e">
        <f>AND('HepB 3-Dose Primary Series'!#REF!,"AAAAAHb/8Xo=")</f>
        <v>#REF!</v>
      </c>
      <c r="DT9" s="27" t="e">
        <f>AND('HepB 3-Dose Primary Series'!#REF!,"AAAAAHb/8Xs=")</f>
        <v>#REF!</v>
      </c>
      <c r="DU9" s="27" t="e">
        <f>IF('HepB 3-Dose Primary Series'!#REF!,"AAAAAHb/8Xw=",0)</f>
        <v>#REF!</v>
      </c>
      <c r="DV9" s="27" t="e">
        <f>AND('HepB 3-Dose Primary Series'!#REF!,"AAAAAHb/8X0=")</f>
        <v>#REF!</v>
      </c>
      <c r="DW9" s="27" t="e">
        <f>AND('HepB 3-Dose Primary Series'!#REF!,"AAAAAHb/8X4=")</f>
        <v>#REF!</v>
      </c>
      <c r="DX9" s="27" t="e">
        <f>AND('HepB 3-Dose Primary Series'!#REF!,"AAAAAHb/8X8=")</f>
        <v>#REF!</v>
      </c>
      <c r="DY9" s="27" t="e">
        <f>AND('HepB 3-Dose Primary Series'!#REF!,"AAAAAHb/8YA=")</f>
        <v>#REF!</v>
      </c>
      <c r="DZ9" s="27" t="e">
        <f>AND('HepB 3-Dose Primary Series'!#REF!,"AAAAAHb/8YE=")</f>
        <v>#REF!</v>
      </c>
      <c r="EA9" s="27" t="e">
        <f>AND('HepB 3-Dose Primary Series'!#REF!,"AAAAAHb/8YI=")</f>
        <v>#REF!</v>
      </c>
      <c r="EB9" s="27" t="e">
        <f>AND('HepB 3-Dose Primary Series'!#REF!,"AAAAAHb/8YM=")</f>
        <v>#REF!</v>
      </c>
      <c r="EC9" s="27" t="e">
        <f>AND('HepB 3-Dose Primary Series'!#REF!,"AAAAAHb/8YQ=")</f>
        <v>#REF!</v>
      </c>
      <c r="ED9" s="27" t="e">
        <f>AND('HepB 3-Dose Primary Series'!#REF!,"AAAAAHb/8YU=")</f>
        <v>#REF!</v>
      </c>
      <c r="EE9" s="27" t="e">
        <f>IF('HepB 3-Dose Primary Series'!#REF!,"AAAAAHb/8YY=",0)</f>
        <v>#REF!</v>
      </c>
      <c r="EF9" s="27" t="e">
        <f>AND('HepB 3-Dose Primary Series'!#REF!,"AAAAAHb/8Yc=")</f>
        <v>#REF!</v>
      </c>
      <c r="EG9" s="27" t="e">
        <f>AND('HepB 3-Dose Primary Series'!#REF!,"AAAAAHb/8Yg=")</f>
        <v>#REF!</v>
      </c>
      <c r="EH9" s="27" t="e">
        <f>AND('HepB 3-Dose Primary Series'!#REF!,"AAAAAHb/8Yk=")</f>
        <v>#REF!</v>
      </c>
      <c r="EI9" s="27" t="e">
        <f>AND('HepB 3-Dose Primary Series'!#REF!,"AAAAAHb/8Yo=")</f>
        <v>#REF!</v>
      </c>
      <c r="EJ9" s="27" t="e">
        <f>AND('HepB 3-Dose Primary Series'!#REF!,"AAAAAHb/8Ys=")</f>
        <v>#REF!</v>
      </c>
      <c r="EK9" s="27" t="e">
        <f>AND('HepB 3-Dose Primary Series'!#REF!,"AAAAAHb/8Yw=")</f>
        <v>#REF!</v>
      </c>
      <c r="EL9" s="27" t="e">
        <f>AND('HepB 3-Dose Primary Series'!#REF!,"AAAAAHb/8Y0=")</f>
        <v>#REF!</v>
      </c>
      <c r="EM9" s="27" t="e">
        <f>AND('HepB 3-Dose Primary Series'!#REF!,"AAAAAHb/8Y4=")</f>
        <v>#REF!</v>
      </c>
      <c r="EN9" s="27" t="e">
        <f>AND('HepB 3-Dose Primary Series'!#REF!,"AAAAAHb/8Y8=")</f>
        <v>#REF!</v>
      </c>
      <c r="EO9" s="27" t="e">
        <f>IF('HepB 3-Dose Primary Series'!#REF!,"AAAAAHb/8ZA=",0)</f>
        <v>#REF!</v>
      </c>
      <c r="EP9" s="27" t="e">
        <f>AND('HepB 3-Dose Primary Series'!#REF!,"AAAAAHb/8ZE=")</f>
        <v>#REF!</v>
      </c>
      <c r="EQ9" s="27" t="e">
        <f>AND('HepB 3-Dose Primary Series'!#REF!,"AAAAAHb/8ZI=")</f>
        <v>#REF!</v>
      </c>
      <c r="ER9" s="27" t="e">
        <f>AND('HepB 3-Dose Primary Series'!#REF!,"AAAAAHb/8ZM=")</f>
        <v>#REF!</v>
      </c>
      <c r="ES9" s="27" t="e">
        <f>AND('HepB 3-Dose Primary Series'!#REF!,"AAAAAHb/8ZQ=")</f>
        <v>#REF!</v>
      </c>
      <c r="ET9" s="27" t="e">
        <f>AND('HepB 3-Dose Primary Series'!#REF!,"AAAAAHb/8ZU=")</f>
        <v>#REF!</v>
      </c>
      <c r="EU9" s="27" t="e">
        <f>AND('HepB 3-Dose Primary Series'!#REF!,"AAAAAHb/8ZY=")</f>
        <v>#REF!</v>
      </c>
      <c r="EV9" s="27" t="e">
        <f>AND('HepB 3-Dose Primary Series'!#REF!,"AAAAAHb/8Zc=")</f>
        <v>#REF!</v>
      </c>
      <c r="EW9" s="27" t="e">
        <f>AND('HepB 3-Dose Primary Series'!#REF!,"AAAAAHb/8Zg=")</f>
        <v>#REF!</v>
      </c>
      <c r="EX9" s="27" t="e">
        <f>AND('HepB 3-Dose Primary Series'!#REF!,"AAAAAHb/8Zk=")</f>
        <v>#REF!</v>
      </c>
      <c r="EY9" s="27" t="e">
        <f>IF('HepB 3-Dose Primary Series'!#REF!,"AAAAAHb/8Zo=",0)</f>
        <v>#REF!</v>
      </c>
      <c r="EZ9" s="27" t="e">
        <f>AND('HepB 3-Dose Primary Series'!#REF!,"AAAAAHb/8Zs=")</f>
        <v>#REF!</v>
      </c>
      <c r="FA9" s="27" t="e">
        <f>AND('HepB 3-Dose Primary Series'!#REF!,"AAAAAHb/8Zw=")</f>
        <v>#REF!</v>
      </c>
      <c r="FB9" s="27" t="e">
        <f>AND('HepB 3-Dose Primary Series'!#REF!,"AAAAAHb/8Z0=")</f>
        <v>#REF!</v>
      </c>
      <c r="FC9" s="27" t="e">
        <f>AND('HepB 3-Dose Primary Series'!#REF!,"AAAAAHb/8Z4=")</f>
        <v>#REF!</v>
      </c>
      <c r="FD9" s="27" t="e">
        <f>AND('HepB 3-Dose Primary Series'!#REF!,"AAAAAHb/8Z8=")</f>
        <v>#REF!</v>
      </c>
      <c r="FE9" s="27" t="e">
        <f>AND('HepB 3-Dose Primary Series'!#REF!,"AAAAAHb/8aA=")</f>
        <v>#REF!</v>
      </c>
      <c r="FF9" s="27" t="e">
        <f>AND('HepB 3-Dose Primary Series'!#REF!,"AAAAAHb/8aE=")</f>
        <v>#REF!</v>
      </c>
      <c r="FG9" s="27" t="e">
        <f>AND('HepB 3-Dose Primary Series'!#REF!,"AAAAAHb/8aI=")</f>
        <v>#REF!</v>
      </c>
      <c r="FH9" s="27" t="e">
        <f>AND('HepB 3-Dose Primary Series'!#REF!,"AAAAAHb/8aM=")</f>
        <v>#REF!</v>
      </c>
      <c r="FI9" s="27" t="e">
        <f>IF('HepB 3-Dose Primary Series'!#REF!,"AAAAAHb/8aQ=",0)</f>
        <v>#REF!</v>
      </c>
      <c r="FJ9" s="27" t="e">
        <f>AND('HepB 3-Dose Primary Series'!#REF!,"AAAAAHb/8aU=")</f>
        <v>#REF!</v>
      </c>
      <c r="FK9" s="27" t="e">
        <f>AND('HepB 3-Dose Primary Series'!#REF!,"AAAAAHb/8aY=")</f>
        <v>#REF!</v>
      </c>
      <c r="FL9" s="27" t="e">
        <f>AND('HepB 3-Dose Primary Series'!#REF!,"AAAAAHb/8ac=")</f>
        <v>#REF!</v>
      </c>
      <c r="FM9" s="27" t="e">
        <f>AND('HepB 3-Dose Primary Series'!#REF!,"AAAAAHb/8ag=")</f>
        <v>#REF!</v>
      </c>
      <c r="FN9" s="27" t="e">
        <f>AND('HepB 3-Dose Primary Series'!#REF!,"AAAAAHb/8ak=")</f>
        <v>#REF!</v>
      </c>
      <c r="FO9" s="27" t="e">
        <f>AND('HepB 3-Dose Primary Series'!#REF!,"AAAAAHb/8ao=")</f>
        <v>#REF!</v>
      </c>
      <c r="FP9" s="27" t="e">
        <f>AND('HepB 3-Dose Primary Series'!#REF!,"AAAAAHb/8as=")</f>
        <v>#REF!</v>
      </c>
      <c r="FQ9" s="27" t="e">
        <f>AND('HepB 3-Dose Primary Series'!#REF!,"AAAAAHb/8aw=")</f>
        <v>#REF!</v>
      </c>
      <c r="FR9" s="27" t="e">
        <f>AND('HepB 3-Dose Primary Series'!#REF!,"AAAAAHb/8a0=")</f>
        <v>#REF!</v>
      </c>
      <c r="FS9" s="27" t="e">
        <f>IF('HepB 3-Dose Primary Series'!#REF!,"AAAAAHb/8a4=",0)</f>
        <v>#REF!</v>
      </c>
      <c r="FT9" s="27">
        <v>0</v>
      </c>
      <c r="FU9" s="27" t="s">
        <v>100</v>
      </c>
      <c r="FV9" s="27" t="s">
        <v>100</v>
      </c>
      <c r="FW9" s="27" t="s">
        <v>100</v>
      </c>
      <c r="FX9" s="27" t="s">
        <v>100</v>
      </c>
      <c r="FY9" s="27" t="s">
        <v>100</v>
      </c>
      <c r="FZ9" s="27">
        <v>0</v>
      </c>
      <c r="GA9" s="27">
        <v>0</v>
      </c>
      <c r="GB9" s="27">
        <v>0</v>
      </c>
      <c r="GC9" s="27">
        <v>0</v>
      </c>
      <c r="GD9" s="27" t="e">
        <f>AND(#REF!,"AAAAAHb/8bk=")</f>
        <v>#REF!</v>
      </c>
      <c r="GE9" s="27" t="e">
        <f>AND(#REF!,"AAAAAHb/8bo=")</f>
        <v>#REF!</v>
      </c>
      <c r="GF9" s="27" t="e">
        <f>AND(#REF!,"AAAAAHb/8bs=")</f>
        <v>#REF!</v>
      </c>
      <c r="GG9" s="27" t="e">
        <f>AND(#REF!,"AAAAAHb/8bw=")</f>
        <v>#REF!</v>
      </c>
      <c r="GH9" s="27" t="e">
        <f>AND(#REF!,"AAAAAHb/8b0=")</f>
        <v>#REF!</v>
      </c>
      <c r="GI9" s="27" t="e">
        <f>AND(#REF!,"AAAAAHb/8b4=")</f>
        <v>#REF!</v>
      </c>
      <c r="GJ9" s="27" t="e">
        <f>AND(#REF!,"AAAAAHb/8b8=")</f>
        <v>#REF!</v>
      </c>
      <c r="GK9" s="27" t="e">
        <f>AND(#REF!,"AAAAAHb/8cA=")</f>
        <v>#REF!</v>
      </c>
      <c r="GL9" s="27" t="e">
        <f>AND(#REF!,"AAAAAHb/8cE=")</f>
        <v>#REF!</v>
      </c>
      <c r="GM9" s="27">
        <v>0</v>
      </c>
      <c r="GN9" s="27" t="e">
        <f>AND(#REF!,"AAAAAHb/8cM=")</f>
        <v>#REF!</v>
      </c>
      <c r="GO9" s="27" t="e">
        <f>AND(#REF!,"AAAAAHb/8cQ=")</f>
        <v>#REF!</v>
      </c>
      <c r="GP9" s="27" t="e">
        <f>AND(#REF!,"AAAAAHb/8cU=")</f>
        <v>#REF!</v>
      </c>
      <c r="GQ9" s="27" t="e">
        <f>AND(#REF!,"AAAAAHb/8cY=")</f>
        <v>#REF!</v>
      </c>
      <c r="GR9" s="27" t="e">
        <f>AND(#REF!,"AAAAAHb/8cc=")</f>
        <v>#REF!</v>
      </c>
      <c r="GS9" s="27" t="e">
        <f>AND(#REF!,"AAAAAHb/8cg=")</f>
        <v>#REF!</v>
      </c>
      <c r="GT9" s="27" t="e">
        <f>AND(#REF!,"AAAAAHb/8ck=")</f>
        <v>#REF!</v>
      </c>
      <c r="GU9" s="27" t="e">
        <f>AND(#REF!,"AAAAAHb/8co=")</f>
        <v>#REF!</v>
      </c>
      <c r="GV9" s="27" t="e">
        <f>AND(#REF!,"AAAAAHb/8cs=")</f>
        <v>#REF!</v>
      </c>
      <c r="GW9" s="27">
        <v>0</v>
      </c>
      <c r="GX9" s="27" t="e">
        <f>AND(#REF!,"AAAAAHb/8c0=")</f>
        <v>#REF!</v>
      </c>
      <c r="GY9" s="27" t="e">
        <f>AND(#REF!,"AAAAAHb/8c4=")</f>
        <v>#REF!</v>
      </c>
      <c r="GZ9" s="27" t="e">
        <f>AND(#REF!,"AAAAAHb/8c8=")</f>
        <v>#REF!</v>
      </c>
      <c r="HA9" s="27" t="e">
        <f>AND(#REF!,"AAAAAHb/8dA=")</f>
        <v>#REF!</v>
      </c>
      <c r="HB9" s="27" t="e">
        <f>AND(#REF!,"AAAAAHb/8dE=")</f>
        <v>#REF!</v>
      </c>
      <c r="HC9" s="27" t="e">
        <f>AND(#REF!,"AAAAAHb/8dI=")</f>
        <v>#REF!</v>
      </c>
      <c r="HD9" s="27" t="e">
        <f>AND(#REF!,"AAAAAHb/8dM=")</f>
        <v>#REF!</v>
      </c>
      <c r="HE9" s="27" t="e">
        <f>AND(#REF!,"AAAAAHb/8dQ=")</f>
        <v>#REF!</v>
      </c>
      <c r="HF9" s="27" t="e">
        <f>AND(#REF!,"AAAAAHb/8dU=")</f>
        <v>#REF!</v>
      </c>
      <c r="HG9" s="27">
        <v>0</v>
      </c>
      <c r="HH9" s="27" t="e">
        <f>AND(#REF!,"AAAAAHb/8dc=")</f>
        <v>#REF!</v>
      </c>
      <c r="HI9" s="27" t="e">
        <f>AND(#REF!,"AAAAAHb/8dg=")</f>
        <v>#REF!</v>
      </c>
      <c r="HJ9" s="27" t="e">
        <f>AND(#REF!,"AAAAAHb/8dk=")</f>
        <v>#REF!</v>
      </c>
      <c r="HK9" s="27" t="e">
        <f>AND(#REF!,"AAAAAHb/8do=")</f>
        <v>#REF!</v>
      </c>
      <c r="HL9" s="27" t="e">
        <f>AND(#REF!,"AAAAAHb/8ds=")</f>
        <v>#REF!</v>
      </c>
      <c r="HM9" s="27" t="e">
        <f>AND(#REF!,"AAAAAHb/8dw=")</f>
        <v>#REF!</v>
      </c>
      <c r="HN9" s="27" t="e">
        <f>AND(#REF!,"AAAAAHb/8d0=")</f>
        <v>#REF!</v>
      </c>
      <c r="HO9" s="27" t="e">
        <f>AND(#REF!,"AAAAAHb/8d4=")</f>
        <v>#REF!</v>
      </c>
      <c r="HP9" s="27" t="e">
        <f>AND(#REF!,"AAAAAHb/8d8=")</f>
        <v>#REF!</v>
      </c>
      <c r="HQ9" s="27">
        <v>0</v>
      </c>
      <c r="HR9" s="27" t="e">
        <f>AND(#REF!,"AAAAAHb/8eE=")</f>
        <v>#REF!</v>
      </c>
      <c r="HS9" s="27" t="e">
        <f>AND(#REF!,"AAAAAHb/8eI=")</f>
        <v>#REF!</v>
      </c>
      <c r="HT9" s="27" t="e">
        <f>AND(#REF!,"AAAAAHb/8eM=")</f>
        <v>#REF!</v>
      </c>
      <c r="HU9" s="27" t="e">
        <f>AND(#REF!,"AAAAAHb/8eQ=")</f>
        <v>#REF!</v>
      </c>
      <c r="HV9" s="27" t="e">
        <f>AND(#REF!,"AAAAAHb/8eU=")</f>
        <v>#REF!</v>
      </c>
      <c r="HW9" s="27" t="e">
        <f>AND(#REF!,"AAAAAHb/8eY=")</f>
        <v>#REF!</v>
      </c>
      <c r="HX9" s="27" t="e">
        <f>AND(#REF!,"AAAAAHb/8ec=")</f>
        <v>#REF!</v>
      </c>
      <c r="HY9" s="27" t="e">
        <f>AND(#REF!,"AAAAAHb/8eg=")</f>
        <v>#REF!</v>
      </c>
      <c r="HZ9" s="27" t="e">
        <f>AND(#REF!,"AAAAAHb/8ek=")</f>
        <v>#REF!</v>
      </c>
      <c r="IA9" s="27">
        <v>0</v>
      </c>
      <c r="IB9" s="27" t="e">
        <f>AND(#REF!,"AAAAAHb/8es=")</f>
        <v>#REF!</v>
      </c>
      <c r="IC9" s="27" t="e">
        <f>AND(#REF!,"AAAAAHb/8ew=")</f>
        <v>#REF!</v>
      </c>
      <c r="ID9" s="27" t="e">
        <f>AND(#REF!,"AAAAAHb/8e0=")</f>
        <v>#REF!</v>
      </c>
      <c r="IE9" s="27" t="e">
        <f>AND(#REF!,"AAAAAHb/8e4=")</f>
        <v>#REF!</v>
      </c>
      <c r="IF9" s="27" t="e">
        <f>AND(#REF!,"AAAAAHb/8e8=")</f>
        <v>#REF!</v>
      </c>
      <c r="IG9" s="27" t="e">
        <f>AND(#REF!,"AAAAAHb/8fA=")</f>
        <v>#REF!</v>
      </c>
      <c r="IH9" s="27" t="e">
        <f>AND(#REF!,"AAAAAHb/8fE=")</f>
        <v>#REF!</v>
      </c>
      <c r="II9" s="27" t="e">
        <f>AND(#REF!,"AAAAAHb/8fI=")</f>
        <v>#REF!</v>
      </c>
      <c r="IJ9" s="27" t="e">
        <f>AND(#REF!,"AAAAAHb/8fM=")</f>
        <v>#REF!</v>
      </c>
      <c r="IK9" s="27">
        <v>0</v>
      </c>
      <c r="IL9" s="27" t="e">
        <f>AND(#REF!,"AAAAAHb/8fU=")</f>
        <v>#REF!</v>
      </c>
      <c r="IM9" s="27" t="e">
        <f>AND(#REF!,"AAAAAHb/8fY=")</f>
        <v>#REF!</v>
      </c>
      <c r="IN9" s="27" t="e">
        <f>AND(#REF!,"AAAAAHb/8fc=")</f>
        <v>#REF!</v>
      </c>
      <c r="IO9" s="27" t="e">
        <f>AND(#REF!,"AAAAAHb/8fg=")</f>
        <v>#REF!</v>
      </c>
      <c r="IP9" s="27" t="e">
        <f>AND(#REF!,"AAAAAHb/8fk=")</f>
        <v>#REF!</v>
      </c>
      <c r="IQ9" s="27" t="e">
        <f>AND(#REF!,"AAAAAHb/8fo=")</f>
        <v>#REF!</v>
      </c>
      <c r="IR9" s="27" t="e">
        <f>AND(#REF!,"AAAAAHb/8fs=")</f>
        <v>#REF!</v>
      </c>
      <c r="IS9" s="27" t="e">
        <f>AND(#REF!,"AAAAAHb/8fw=")</f>
        <v>#REF!</v>
      </c>
      <c r="IT9" s="27" t="e">
        <f>AND(#REF!,"AAAAAHb/8f0=")</f>
        <v>#REF!</v>
      </c>
      <c r="IU9" s="27">
        <v>0</v>
      </c>
      <c r="IV9" s="27" t="e">
        <f>AND(#REF!,"AAAAAHb/8f8=")</f>
        <v>#REF!</v>
      </c>
    </row>
    <row r="10" spans="1:256" ht="12.75" customHeight="1" x14ac:dyDescent="0.2">
      <c r="A10" s="27" t="e">
        <f>AND(#REF!,"AAAAACsf7gA=")</f>
        <v>#REF!</v>
      </c>
      <c r="B10" s="27" t="e">
        <f>AND(#REF!,"AAAAACsf7gE=")</f>
        <v>#REF!</v>
      </c>
      <c r="C10" s="27" t="e">
        <f>AND(#REF!,"AAAAACsf7gI=")</f>
        <v>#REF!</v>
      </c>
      <c r="D10" s="27" t="e">
        <f>AND(#REF!,"AAAAACsf7gM=")</f>
        <v>#REF!</v>
      </c>
      <c r="E10" s="27" t="e">
        <f>AND(#REF!,"AAAAACsf7gQ=")</f>
        <v>#REF!</v>
      </c>
      <c r="F10" s="27" t="e">
        <f>AND(#REF!,"AAAAACsf7gU=")</f>
        <v>#REF!</v>
      </c>
      <c r="G10" s="27" t="e">
        <f>AND(#REF!,"AAAAACsf7gY=")</f>
        <v>#REF!</v>
      </c>
      <c r="H10" s="27" t="e">
        <f>AND(#REF!,"AAAAACsf7gc=")</f>
        <v>#REF!</v>
      </c>
      <c r="I10" s="27">
        <v>0</v>
      </c>
      <c r="J10" s="27" t="e">
        <f>AND(#REF!,"AAAAACsf7gk=")</f>
        <v>#REF!</v>
      </c>
      <c r="K10" s="27" t="e">
        <f>AND(#REF!,"AAAAACsf7go=")</f>
        <v>#REF!</v>
      </c>
      <c r="L10" s="27" t="e">
        <f>AND(#REF!,"AAAAACsf7gs=")</f>
        <v>#REF!</v>
      </c>
      <c r="M10" s="27" t="e">
        <f>AND(#REF!,"AAAAACsf7gw=")</f>
        <v>#REF!</v>
      </c>
      <c r="N10" s="27" t="e">
        <f>AND(#REF!,"AAAAACsf7g0=")</f>
        <v>#REF!</v>
      </c>
      <c r="O10" s="27" t="e">
        <f>AND(#REF!,"AAAAACsf7g4=")</f>
        <v>#REF!</v>
      </c>
      <c r="P10" s="27" t="e">
        <f>AND(#REF!,"AAAAACsf7g8=")</f>
        <v>#REF!</v>
      </c>
      <c r="Q10" s="27" t="e">
        <f>AND(#REF!,"AAAAACsf7hA=")</f>
        <v>#REF!</v>
      </c>
      <c r="R10" s="27" t="e">
        <f>AND(#REF!,"AAAAACsf7hE=")</f>
        <v>#REF!</v>
      </c>
      <c r="S10" s="27">
        <v>0</v>
      </c>
      <c r="T10" s="27" t="e">
        <f>AND(#REF!,"AAAAACsf7hM=")</f>
        <v>#REF!</v>
      </c>
      <c r="U10" s="27" t="e">
        <f>AND(#REF!,"AAAAACsf7hQ=")</f>
        <v>#REF!</v>
      </c>
      <c r="V10" s="27" t="e">
        <f>AND(#REF!,"AAAAACsf7hU=")</f>
        <v>#REF!</v>
      </c>
      <c r="W10" s="27" t="e">
        <f>AND(#REF!,"AAAAACsf7hY=")</f>
        <v>#REF!</v>
      </c>
      <c r="X10" s="27" t="e">
        <f>AND(#REF!,"AAAAACsf7hc=")</f>
        <v>#REF!</v>
      </c>
      <c r="Y10" s="27" t="e">
        <f>AND(#REF!,"AAAAACsf7hg=")</f>
        <v>#REF!</v>
      </c>
      <c r="Z10" s="27" t="e">
        <f>AND(#REF!,"AAAAACsf7hk=")</f>
        <v>#REF!</v>
      </c>
      <c r="AA10" s="27" t="e">
        <f>AND(#REF!,"AAAAACsf7ho=")</f>
        <v>#REF!</v>
      </c>
      <c r="AB10" s="27" t="e">
        <f>AND(#REF!,"AAAAACsf7hs=")</f>
        <v>#REF!</v>
      </c>
      <c r="AC10" s="27">
        <v>0</v>
      </c>
      <c r="AD10" s="27" t="e">
        <f>AND(#REF!,"AAAAACsf7h0=")</f>
        <v>#REF!</v>
      </c>
      <c r="AE10" s="27" t="e">
        <f>AND(#REF!,"AAAAACsf7h4=")</f>
        <v>#REF!</v>
      </c>
      <c r="AF10" s="27" t="e">
        <f>AND(#REF!,"AAAAACsf7h8=")</f>
        <v>#REF!</v>
      </c>
      <c r="AG10" s="27" t="e">
        <f>AND(#REF!,"AAAAACsf7iA=")</f>
        <v>#REF!</v>
      </c>
      <c r="AH10" s="27" t="e">
        <f>AND(#REF!,"AAAAACsf7iE=")</f>
        <v>#REF!</v>
      </c>
      <c r="AI10" s="27" t="e">
        <f>AND(#REF!,"AAAAACsf7iI=")</f>
        <v>#REF!</v>
      </c>
      <c r="AJ10" s="27" t="e">
        <f>AND(#REF!,"AAAAACsf7iM=")</f>
        <v>#REF!</v>
      </c>
      <c r="AK10" s="27" t="e">
        <f>AND(#REF!,"AAAAACsf7iQ=")</f>
        <v>#REF!</v>
      </c>
      <c r="AL10" s="27" t="e">
        <f>AND(#REF!,"AAAAACsf7iU=")</f>
        <v>#REF!</v>
      </c>
      <c r="AM10" s="27">
        <v>0</v>
      </c>
      <c r="AN10" s="27" t="e">
        <f>AND(#REF!,"AAAAACsf7ic=")</f>
        <v>#REF!</v>
      </c>
      <c r="AO10" s="27" t="e">
        <f>AND(#REF!,"AAAAACsf7ig=")</f>
        <v>#REF!</v>
      </c>
      <c r="AP10" s="27" t="e">
        <f>AND(#REF!,"AAAAACsf7ik=")</f>
        <v>#REF!</v>
      </c>
      <c r="AQ10" s="27" t="e">
        <f>AND(#REF!,"AAAAACsf7io=")</f>
        <v>#REF!</v>
      </c>
      <c r="AR10" s="27" t="e">
        <f>AND(#REF!,"AAAAACsf7is=")</f>
        <v>#REF!</v>
      </c>
      <c r="AS10" s="27" t="e">
        <f>AND(#REF!,"AAAAACsf7iw=")</f>
        <v>#REF!</v>
      </c>
      <c r="AT10" s="27" t="e">
        <f>AND(#REF!,"AAAAACsf7i0=")</f>
        <v>#REF!</v>
      </c>
      <c r="AU10" s="27" t="e">
        <f>AND(#REF!,"AAAAACsf7i4=")</f>
        <v>#REF!</v>
      </c>
      <c r="AV10" s="27" t="e">
        <f>AND(#REF!,"AAAAACsf7i8=")</f>
        <v>#REF!</v>
      </c>
      <c r="AW10" s="27">
        <v>0</v>
      </c>
      <c r="AX10" s="27" t="e">
        <f>AND(#REF!,"AAAAACsf7jE=")</f>
        <v>#REF!</v>
      </c>
      <c r="AY10" s="27" t="e">
        <f>AND(#REF!,"AAAAACsf7jI=")</f>
        <v>#REF!</v>
      </c>
      <c r="AZ10" s="27" t="e">
        <f>AND(#REF!,"AAAAACsf7jM=")</f>
        <v>#REF!</v>
      </c>
      <c r="BA10" s="27" t="e">
        <f>AND(#REF!,"AAAAACsf7jQ=")</f>
        <v>#REF!</v>
      </c>
      <c r="BB10" s="27" t="e">
        <f>AND(#REF!,"AAAAACsf7jU=")</f>
        <v>#REF!</v>
      </c>
      <c r="BC10" s="27" t="e">
        <f>AND(#REF!,"AAAAACsf7jY=")</f>
        <v>#REF!</v>
      </c>
      <c r="BD10" s="27" t="e">
        <f>AND(#REF!,"AAAAACsf7jc=")</f>
        <v>#REF!</v>
      </c>
      <c r="BE10" s="27" t="e">
        <f>AND(#REF!,"AAAAACsf7jg=")</f>
        <v>#REF!</v>
      </c>
      <c r="BF10" s="27" t="e">
        <f>AND(#REF!,"AAAAACsf7jk=")</f>
        <v>#REF!</v>
      </c>
      <c r="BG10" s="27">
        <v>0</v>
      </c>
      <c r="BH10" s="27" t="e">
        <f>AND(#REF!,"AAAAACsf7js=")</f>
        <v>#REF!</v>
      </c>
      <c r="BI10" s="27" t="e">
        <f>AND(#REF!,"AAAAACsf7jw=")</f>
        <v>#REF!</v>
      </c>
      <c r="BJ10" s="27" t="e">
        <f>AND(#REF!,"AAAAACsf7j0=")</f>
        <v>#REF!</v>
      </c>
      <c r="BK10" s="27" t="e">
        <f>AND(#REF!,"AAAAACsf7j4=")</f>
        <v>#REF!</v>
      </c>
      <c r="BL10" s="27" t="e">
        <f>AND(#REF!,"AAAAACsf7j8=")</f>
        <v>#REF!</v>
      </c>
      <c r="BM10" s="27" t="e">
        <f>AND(#REF!,"AAAAACsf7kA=")</f>
        <v>#REF!</v>
      </c>
      <c r="BN10" s="27" t="e">
        <f>AND(#REF!,"AAAAACsf7kE=")</f>
        <v>#REF!</v>
      </c>
      <c r="BO10" s="27" t="e">
        <f>AND(#REF!,"AAAAACsf7kI=")</f>
        <v>#REF!</v>
      </c>
      <c r="BP10" s="27" t="e">
        <f>AND(#REF!,"AAAAACsf7kM=")</f>
        <v>#REF!</v>
      </c>
      <c r="BQ10" s="27">
        <v>0</v>
      </c>
      <c r="BR10" s="27" t="e">
        <f>AND(#REF!,"AAAAACsf7kU=")</f>
        <v>#REF!</v>
      </c>
      <c r="BS10" s="27" t="e">
        <f>AND(#REF!,"AAAAACsf7kY=")</f>
        <v>#REF!</v>
      </c>
      <c r="BT10" s="27" t="e">
        <f>AND(#REF!,"AAAAACsf7kc=")</f>
        <v>#REF!</v>
      </c>
      <c r="BU10" s="27" t="e">
        <f>AND(#REF!,"AAAAACsf7kg=")</f>
        <v>#REF!</v>
      </c>
      <c r="BV10" s="27" t="e">
        <f>AND(#REF!,"AAAAACsf7kk=")</f>
        <v>#REF!</v>
      </c>
      <c r="BW10" s="27" t="e">
        <f>AND(#REF!,"AAAAACsf7ko=")</f>
        <v>#REF!</v>
      </c>
      <c r="BX10" s="27" t="e">
        <f>AND(#REF!,"AAAAACsf7ks=")</f>
        <v>#REF!</v>
      </c>
      <c r="BY10" s="27" t="e">
        <f>AND(#REF!,"AAAAACsf7kw=")</f>
        <v>#REF!</v>
      </c>
      <c r="BZ10" s="27" t="e">
        <f>AND(#REF!,"AAAAACsf7k0=")</f>
        <v>#REF!</v>
      </c>
      <c r="CA10" s="27">
        <v>0</v>
      </c>
      <c r="CB10" s="27" t="e">
        <f>AND(#REF!,"AAAAACsf7k8=")</f>
        <v>#REF!</v>
      </c>
      <c r="CC10" s="27" t="e">
        <f>AND(#REF!,"AAAAACsf7lA=")</f>
        <v>#REF!</v>
      </c>
      <c r="CD10" s="27" t="e">
        <f>AND(#REF!,"AAAAACsf7lE=")</f>
        <v>#REF!</v>
      </c>
      <c r="CE10" s="27" t="e">
        <f>AND(#REF!,"AAAAACsf7lI=")</f>
        <v>#REF!</v>
      </c>
      <c r="CF10" s="27" t="e">
        <f>AND(#REF!,"AAAAACsf7lM=")</f>
        <v>#REF!</v>
      </c>
      <c r="CG10" s="27" t="e">
        <f>AND(#REF!,"AAAAACsf7lQ=")</f>
        <v>#REF!</v>
      </c>
      <c r="CH10" s="27" t="e">
        <f>AND(#REF!,"AAAAACsf7lU=")</f>
        <v>#REF!</v>
      </c>
      <c r="CI10" s="27" t="e">
        <f>AND(#REF!,"AAAAACsf7lY=")</f>
        <v>#REF!</v>
      </c>
      <c r="CJ10" s="27" t="e">
        <f>AND(#REF!,"AAAAACsf7lc=")</f>
        <v>#REF!</v>
      </c>
      <c r="CK10" s="27">
        <v>0</v>
      </c>
      <c r="CL10" s="27" t="e">
        <f>AND(#REF!,"AAAAACsf7lk=")</f>
        <v>#REF!</v>
      </c>
      <c r="CM10" s="27" t="e">
        <f>AND(#REF!,"AAAAACsf7lo=")</f>
        <v>#REF!</v>
      </c>
      <c r="CN10" s="27" t="e">
        <f>AND(#REF!,"AAAAACsf7ls=")</f>
        <v>#REF!</v>
      </c>
      <c r="CO10" s="27" t="e">
        <f>AND(#REF!,"AAAAACsf7lw=")</f>
        <v>#REF!</v>
      </c>
      <c r="CP10" s="27" t="e">
        <f>AND(#REF!,"AAAAACsf7l0=")</f>
        <v>#REF!</v>
      </c>
      <c r="CQ10" s="27" t="e">
        <f>AND(#REF!,"AAAAACsf7l4=")</f>
        <v>#REF!</v>
      </c>
      <c r="CR10" s="27" t="e">
        <f>AND(#REF!,"AAAAACsf7l8=")</f>
        <v>#REF!</v>
      </c>
      <c r="CS10" s="27" t="e">
        <f>AND(#REF!,"AAAAACsf7mA=")</f>
        <v>#REF!</v>
      </c>
      <c r="CT10" s="27" t="e">
        <f>AND(#REF!,"AAAAACsf7mE=")</f>
        <v>#REF!</v>
      </c>
      <c r="CU10" s="27">
        <v>0</v>
      </c>
      <c r="CV10" s="27" t="e">
        <f>AND(#REF!,"AAAAACsf7mM=")</f>
        <v>#REF!</v>
      </c>
      <c r="CW10" s="27" t="e">
        <f>AND(#REF!,"AAAAACsf7mQ=")</f>
        <v>#REF!</v>
      </c>
      <c r="CX10" s="27" t="e">
        <f>AND(#REF!,"AAAAACsf7mU=")</f>
        <v>#REF!</v>
      </c>
      <c r="CY10" s="27" t="e">
        <f>AND(#REF!,"AAAAACsf7mY=")</f>
        <v>#REF!</v>
      </c>
      <c r="CZ10" s="27" t="e">
        <f>AND(#REF!,"AAAAACsf7mc=")</f>
        <v>#REF!</v>
      </c>
      <c r="DA10" s="27" t="e">
        <f>AND(#REF!,"AAAAACsf7mg=")</f>
        <v>#REF!</v>
      </c>
      <c r="DB10" s="27" t="e">
        <f>AND(#REF!,"AAAAACsf7mk=")</f>
        <v>#REF!</v>
      </c>
      <c r="DC10" s="27" t="e">
        <f>AND(#REF!,"AAAAACsf7mo=")</f>
        <v>#REF!</v>
      </c>
      <c r="DD10" s="27" t="e">
        <f>AND(#REF!,"AAAAACsf7ms=")</f>
        <v>#REF!</v>
      </c>
      <c r="DE10" s="27">
        <v>0</v>
      </c>
      <c r="DF10" s="27" t="e">
        <f>AND(#REF!,"AAAAACsf7m0=")</f>
        <v>#REF!</v>
      </c>
      <c r="DG10" s="27" t="e">
        <f>AND(#REF!,"AAAAACsf7m4=")</f>
        <v>#REF!</v>
      </c>
      <c r="DH10" s="27" t="e">
        <f>AND(#REF!,"AAAAACsf7m8=")</f>
        <v>#REF!</v>
      </c>
      <c r="DI10" s="27" t="e">
        <f>AND(#REF!,"AAAAACsf7nA=")</f>
        <v>#REF!</v>
      </c>
      <c r="DJ10" s="27" t="e">
        <f>AND(#REF!,"AAAAACsf7nE=")</f>
        <v>#REF!</v>
      </c>
      <c r="DK10" s="27" t="e">
        <f>AND(#REF!,"AAAAACsf7nI=")</f>
        <v>#REF!</v>
      </c>
      <c r="DL10" s="27" t="e">
        <f>AND(#REF!,"AAAAACsf7nM=")</f>
        <v>#REF!</v>
      </c>
      <c r="DM10" s="27" t="e">
        <f>AND(#REF!,"AAAAACsf7nQ=")</f>
        <v>#REF!</v>
      </c>
      <c r="DN10" s="27" t="e">
        <f>AND(#REF!,"AAAAACsf7nU=")</f>
        <v>#REF!</v>
      </c>
      <c r="DO10" s="27">
        <v>0</v>
      </c>
      <c r="DP10" s="27" t="e">
        <f>AND(#REF!,"AAAAACsf7nc=")</f>
        <v>#REF!</v>
      </c>
      <c r="DQ10" s="27" t="e">
        <f>AND(#REF!,"AAAAACsf7ng=")</f>
        <v>#REF!</v>
      </c>
      <c r="DR10" s="27" t="e">
        <f>AND(#REF!,"AAAAACsf7nk=")</f>
        <v>#REF!</v>
      </c>
      <c r="DS10" s="27" t="e">
        <f>AND(#REF!,"AAAAACsf7no=")</f>
        <v>#REF!</v>
      </c>
      <c r="DT10" s="27" t="e">
        <f>AND(#REF!,"AAAAACsf7ns=")</f>
        <v>#REF!</v>
      </c>
      <c r="DU10" s="27" t="e">
        <f>AND(#REF!,"AAAAACsf7nw=")</f>
        <v>#REF!</v>
      </c>
      <c r="DV10" s="27" t="e">
        <f>AND(#REF!,"AAAAACsf7n0=")</f>
        <v>#REF!</v>
      </c>
      <c r="DW10" s="27" t="e">
        <f>AND(#REF!,"AAAAACsf7n4=")</f>
        <v>#REF!</v>
      </c>
      <c r="DX10" s="27" t="e">
        <f>AND(#REF!,"AAAAACsf7n8=")</f>
        <v>#REF!</v>
      </c>
      <c r="DY10" s="27">
        <v>0</v>
      </c>
      <c r="DZ10" s="27" t="e">
        <f>AND(#REF!,"AAAAACsf7oE=")</f>
        <v>#REF!</v>
      </c>
      <c r="EA10" s="27" t="e">
        <f>AND(#REF!,"AAAAACsf7oI=")</f>
        <v>#REF!</v>
      </c>
      <c r="EB10" s="27" t="e">
        <f>AND(#REF!,"AAAAACsf7oM=")</f>
        <v>#REF!</v>
      </c>
      <c r="EC10" s="27" t="e">
        <f>AND(#REF!,"AAAAACsf7oQ=")</f>
        <v>#REF!</v>
      </c>
      <c r="ED10" s="27" t="e">
        <f>AND(#REF!,"AAAAACsf7oU=")</f>
        <v>#REF!</v>
      </c>
      <c r="EE10" s="27" t="e">
        <f>AND(#REF!,"AAAAACsf7oY=")</f>
        <v>#REF!</v>
      </c>
      <c r="EF10" s="27" t="e">
        <f>AND(#REF!,"AAAAACsf7oc=")</f>
        <v>#REF!</v>
      </c>
      <c r="EG10" s="27" t="e">
        <f>AND(#REF!,"AAAAACsf7og=")</f>
        <v>#REF!</v>
      </c>
      <c r="EH10" s="27" t="e">
        <f>AND(#REF!,"AAAAACsf7ok=")</f>
        <v>#REF!</v>
      </c>
      <c r="EI10" s="27">
        <v>0</v>
      </c>
      <c r="EJ10" s="27" t="e">
        <f>AND(#REF!,"AAAAACsf7os=")</f>
        <v>#REF!</v>
      </c>
      <c r="EK10" s="27" t="e">
        <f>AND(#REF!,"AAAAACsf7ow=")</f>
        <v>#REF!</v>
      </c>
      <c r="EL10" s="27" t="e">
        <f>AND(#REF!,"AAAAACsf7o0=")</f>
        <v>#REF!</v>
      </c>
      <c r="EM10" s="27" t="e">
        <f>AND(#REF!,"AAAAACsf7o4=")</f>
        <v>#REF!</v>
      </c>
      <c r="EN10" s="27" t="e">
        <f>AND(#REF!,"AAAAACsf7o8=")</f>
        <v>#REF!</v>
      </c>
      <c r="EO10" s="27" t="e">
        <f>AND(#REF!,"AAAAACsf7pA=")</f>
        <v>#REF!</v>
      </c>
      <c r="EP10" s="27" t="e">
        <f>AND(#REF!,"AAAAACsf7pE=")</f>
        <v>#REF!</v>
      </c>
      <c r="EQ10" s="27" t="e">
        <f>AND(#REF!,"AAAAACsf7pI=")</f>
        <v>#REF!</v>
      </c>
      <c r="ER10" s="27" t="e">
        <f>AND(#REF!,"AAAAACsf7pM=")</f>
        <v>#REF!</v>
      </c>
      <c r="ES10" s="27">
        <v>0</v>
      </c>
      <c r="ET10" s="27" t="e">
        <f>AND(#REF!,"AAAAACsf7pU=")</f>
        <v>#REF!</v>
      </c>
      <c r="EU10" s="27" t="e">
        <f>AND(#REF!,"AAAAACsf7pY=")</f>
        <v>#REF!</v>
      </c>
      <c r="EV10" s="27" t="e">
        <f>AND(#REF!,"AAAAACsf7pc=")</f>
        <v>#REF!</v>
      </c>
      <c r="EW10" s="27" t="e">
        <f>AND(#REF!,"AAAAACsf7pg=")</f>
        <v>#REF!</v>
      </c>
      <c r="EX10" s="27" t="e">
        <f>AND(#REF!,"AAAAACsf7pk=")</f>
        <v>#REF!</v>
      </c>
      <c r="EY10" s="27" t="e">
        <f>AND(#REF!,"AAAAACsf7po=")</f>
        <v>#REF!</v>
      </c>
      <c r="EZ10" s="27" t="e">
        <f>AND(#REF!,"AAAAACsf7ps=")</f>
        <v>#REF!</v>
      </c>
      <c r="FA10" s="27" t="e">
        <f>AND(#REF!,"AAAAACsf7pw=")</f>
        <v>#REF!</v>
      </c>
      <c r="FB10" s="27" t="e">
        <f>AND(#REF!,"AAAAACsf7p0=")</f>
        <v>#REF!</v>
      </c>
      <c r="FC10" s="27">
        <v>0</v>
      </c>
      <c r="FD10" s="27" t="e">
        <f>AND(#REF!,"AAAAACsf7p8=")</f>
        <v>#REF!</v>
      </c>
      <c r="FE10" s="27" t="e">
        <f>AND(#REF!,"AAAAACsf7qA=")</f>
        <v>#REF!</v>
      </c>
      <c r="FF10" s="27" t="e">
        <f>AND(#REF!,"AAAAACsf7qE=")</f>
        <v>#REF!</v>
      </c>
      <c r="FG10" s="27" t="e">
        <f>AND(#REF!,"AAAAACsf7qI=")</f>
        <v>#REF!</v>
      </c>
      <c r="FH10" s="27" t="e">
        <f>AND(#REF!,"AAAAACsf7qM=")</f>
        <v>#REF!</v>
      </c>
      <c r="FI10" s="27" t="e">
        <f>AND(#REF!,"AAAAACsf7qQ=")</f>
        <v>#REF!</v>
      </c>
      <c r="FJ10" s="27" t="e">
        <f>AND(#REF!,"AAAAACsf7qU=")</f>
        <v>#REF!</v>
      </c>
      <c r="FK10" s="27" t="e">
        <f>AND(#REF!,"AAAAACsf7qY=")</f>
        <v>#REF!</v>
      </c>
      <c r="FL10" s="27" t="e">
        <f>AND(#REF!,"AAAAACsf7qc=")</f>
        <v>#REF!</v>
      </c>
      <c r="FM10" s="27">
        <v>0</v>
      </c>
      <c r="FN10" s="27" t="e">
        <f>AND(#REF!,"AAAAACsf7qk=")</f>
        <v>#REF!</v>
      </c>
      <c r="FO10" s="27" t="e">
        <f>AND(#REF!,"AAAAACsf7qo=")</f>
        <v>#REF!</v>
      </c>
      <c r="FP10" s="27" t="e">
        <f>AND(#REF!,"AAAAACsf7qs=")</f>
        <v>#REF!</v>
      </c>
      <c r="FQ10" s="27" t="e">
        <f>AND(#REF!,"AAAAACsf7qw=")</f>
        <v>#REF!</v>
      </c>
      <c r="FR10" s="27" t="e">
        <f>AND(#REF!,"AAAAACsf7q0=")</f>
        <v>#REF!</v>
      </c>
      <c r="FS10" s="27" t="e">
        <f>AND(#REF!,"AAAAACsf7q4=")</f>
        <v>#REF!</v>
      </c>
      <c r="FT10" s="27" t="e">
        <f>AND(#REF!,"AAAAACsf7q8=")</f>
        <v>#REF!</v>
      </c>
      <c r="FU10" s="27" t="e">
        <f>AND(#REF!,"AAAAACsf7rA=")</f>
        <v>#REF!</v>
      </c>
      <c r="FV10" s="27" t="e">
        <f>AND(#REF!,"AAAAACsf7rE=")</f>
        <v>#REF!</v>
      </c>
      <c r="FW10" s="27">
        <v>0</v>
      </c>
      <c r="FX10" s="27" t="e">
        <f>AND(#REF!,"AAAAACsf7rM=")</f>
        <v>#REF!</v>
      </c>
      <c r="FY10" s="27" t="e">
        <f>AND(#REF!,"AAAAACsf7rQ=")</f>
        <v>#REF!</v>
      </c>
      <c r="FZ10" s="27" t="e">
        <f>AND(#REF!,"AAAAACsf7rU=")</f>
        <v>#REF!</v>
      </c>
      <c r="GA10" s="27" t="e">
        <f>AND(#REF!,"AAAAACsf7rY=")</f>
        <v>#REF!</v>
      </c>
      <c r="GB10" s="27" t="e">
        <f>AND(#REF!,"AAAAACsf7rc=")</f>
        <v>#REF!</v>
      </c>
      <c r="GC10" s="27" t="e">
        <f>AND(#REF!,"AAAAACsf7rg=")</f>
        <v>#REF!</v>
      </c>
      <c r="GD10" s="27" t="e">
        <f>AND(#REF!,"AAAAACsf7rk=")</f>
        <v>#REF!</v>
      </c>
      <c r="GE10" s="27" t="e">
        <f>AND(#REF!,"AAAAACsf7ro=")</f>
        <v>#REF!</v>
      </c>
      <c r="GF10" s="27" t="e">
        <f>AND(#REF!,"AAAAACsf7rs=")</f>
        <v>#REF!</v>
      </c>
      <c r="GG10" s="27">
        <v>0</v>
      </c>
      <c r="GH10" s="27" t="e">
        <f>AND(#REF!,"AAAAACsf7r0=")</f>
        <v>#REF!</v>
      </c>
      <c r="GI10" s="27" t="e">
        <f>AND(#REF!,"AAAAACsf7r4=")</f>
        <v>#REF!</v>
      </c>
      <c r="GJ10" s="27" t="e">
        <f>AND(#REF!,"AAAAACsf7r8=")</f>
        <v>#REF!</v>
      </c>
      <c r="GK10" s="27" t="e">
        <f>AND(#REF!,"AAAAACsf7sA=")</f>
        <v>#REF!</v>
      </c>
      <c r="GL10" s="27" t="e">
        <f>AND(#REF!,"AAAAACsf7sE=")</f>
        <v>#REF!</v>
      </c>
      <c r="GM10" s="27" t="e">
        <f>AND(#REF!,"AAAAACsf7sI=")</f>
        <v>#REF!</v>
      </c>
      <c r="GN10" s="27" t="e">
        <f>AND(#REF!,"AAAAACsf7sM=")</f>
        <v>#REF!</v>
      </c>
      <c r="GO10" s="27" t="e">
        <f>AND(#REF!,"AAAAACsf7sQ=")</f>
        <v>#REF!</v>
      </c>
      <c r="GP10" s="27" t="e">
        <f>AND(#REF!,"AAAAACsf7sU=")</f>
        <v>#REF!</v>
      </c>
      <c r="GQ10" s="27">
        <v>0</v>
      </c>
      <c r="GR10" s="27" t="e">
        <f>AND(#REF!,"AAAAACsf7sc=")</f>
        <v>#REF!</v>
      </c>
      <c r="GS10" s="27" t="e">
        <f>AND(#REF!,"AAAAACsf7sg=")</f>
        <v>#REF!</v>
      </c>
      <c r="GT10" s="27" t="e">
        <f>AND(#REF!,"AAAAACsf7sk=")</f>
        <v>#REF!</v>
      </c>
      <c r="GU10" s="27" t="e">
        <f>AND(#REF!,"AAAAACsf7so=")</f>
        <v>#REF!</v>
      </c>
      <c r="GV10" s="27" t="e">
        <f>AND(#REF!,"AAAAACsf7ss=")</f>
        <v>#REF!</v>
      </c>
      <c r="GW10" s="27" t="e">
        <f>AND(#REF!,"AAAAACsf7sw=")</f>
        <v>#REF!</v>
      </c>
      <c r="GX10" s="27" t="e">
        <f>AND(#REF!,"AAAAACsf7s0=")</f>
        <v>#REF!</v>
      </c>
      <c r="GY10" s="27" t="e">
        <f>AND(#REF!,"AAAAACsf7s4=")</f>
        <v>#REF!</v>
      </c>
      <c r="GZ10" s="27" t="e">
        <f>AND(#REF!,"AAAAACsf7s8=")</f>
        <v>#REF!</v>
      </c>
      <c r="HA10" s="27">
        <v>0</v>
      </c>
      <c r="HB10" s="27" t="e">
        <f>AND(#REF!,"AAAAACsf7tE=")</f>
        <v>#REF!</v>
      </c>
      <c r="HC10" s="27" t="e">
        <f>AND(#REF!,"AAAAACsf7tI=")</f>
        <v>#REF!</v>
      </c>
      <c r="HD10" s="27" t="e">
        <f>AND(#REF!,"AAAAACsf7tM=")</f>
        <v>#REF!</v>
      </c>
      <c r="HE10" s="27" t="e">
        <f>AND(#REF!,"AAAAACsf7tQ=")</f>
        <v>#REF!</v>
      </c>
      <c r="HF10" s="27" t="e">
        <f>AND(#REF!,"AAAAACsf7tU=")</f>
        <v>#REF!</v>
      </c>
      <c r="HG10" s="27" t="e">
        <f>AND(#REF!,"AAAAACsf7tY=")</f>
        <v>#REF!</v>
      </c>
      <c r="HH10" s="27" t="e">
        <f>AND(#REF!,"AAAAACsf7tc=")</f>
        <v>#REF!</v>
      </c>
      <c r="HI10" s="27" t="e">
        <f>AND(#REF!,"AAAAACsf7tg=")</f>
        <v>#REF!</v>
      </c>
      <c r="HJ10" s="27" t="e">
        <f>AND(#REF!,"AAAAACsf7tk=")</f>
        <v>#REF!</v>
      </c>
      <c r="HK10" s="27">
        <v>0</v>
      </c>
      <c r="HL10" s="27" t="e">
        <f>AND(#REF!,"AAAAACsf7ts=")</f>
        <v>#REF!</v>
      </c>
      <c r="HM10" s="27" t="e">
        <f>AND(#REF!,"AAAAACsf7tw=")</f>
        <v>#REF!</v>
      </c>
      <c r="HN10" s="27" t="e">
        <f>AND(#REF!,"AAAAACsf7t0=")</f>
        <v>#REF!</v>
      </c>
      <c r="HO10" s="27" t="e">
        <f>AND(#REF!,"AAAAACsf7t4=")</f>
        <v>#REF!</v>
      </c>
      <c r="HP10" s="27" t="e">
        <f>AND(#REF!,"AAAAACsf7t8=")</f>
        <v>#REF!</v>
      </c>
      <c r="HQ10" s="27" t="e">
        <f>AND(#REF!,"AAAAACsf7uA=")</f>
        <v>#REF!</v>
      </c>
      <c r="HR10" s="27" t="e">
        <f>AND(#REF!,"AAAAACsf7uE=")</f>
        <v>#REF!</v>
      </c>
      <c r="HS10" s="27" t="e">
        <f>AND(#REF!,"AAAAACsf7uI=")</f>
        <v>#REF!</v>
      </c>
      <c r="HT10" s="27" t="e">
        <f>AND(#REF!,"AAAAACsf7uM=")</f>
        <v>#REF!</v>
      </c>
      <c r="HU10" s="27">
        <v>0</v>
      </c>
      <c r="HV10" s="27" t="e">
        <f>AND(#REF!,"AAAAACsf7uU=")</f>
        <v>#REF!</v>
      </c>
      <c r="HW10" s="27" t="e">
        <f>AND(#REF!,"AAAAACsf7uY=")</f>
        <v>#REF!</v>
      </c>
      <c r="HX10" s="27" t="e">
        <f>AND(#REF!,"AAAAACsf7uc=")</f>
        <v>#REF!</v>
      </c>
      <c r="HY10" s="27" t="e">
        <f>AND(#REF!,"AAAAACsf7ug=")</f>
        <v>#REF!</v>
      </c>
      <c r="HZ10" s="27" t="e">
        <f>AND(#REF!,"AAAAACsf7uk=")</f>
        <v>#REF!</v>
      </c>
      <c r="IA10" s="27" t="e">
        <f>AND(#REF!,"AAAAACsf7uo=")</f>
        <v>#REF!</v>
      </c>
      <c r="IB10" s="27" t="e">
        <f>AND(#REF!,"AAAAACsf7us=")</f>
        <v>#REF!</v>
      </c>
      <c r="IC10" s="27" t="e">
        <f>AND(#REF!,"AAAAACsf7uw=")</f>
        <v>#REF!</v>
      </c>
      <c r="ID10" s="27" t="e">
        <f>AND(#REF!,"AAAAACsf7u0=")</f>
        <v>#REF!</v>
      </c>
      <c r="IE10" s="27">
        <v>0</v>
      </c>
      <c r="IF10" s="27" t="e">
        <f>AND(#REF!,"AAAAACsf7u8=")</f>
        <v>#REF!</v>
      </c>
      <c r="IG10" s="27" t="e">
        <f>AND(#REF!,"AAAAACsf7vA=")</f>
        <v>#REF!</v>
      </c>
      <c r="IH10" s="27" t="e">
        <f>AND(#REF!,"AAAAACsf7vE=")</f>
        <v>#REF!</v>
      </c>
      <c r="II10" s="27" t="e">
        <f>AND(#REF!,"AAAAACsf7vI=")</f>
        <v>#REF!</v>
      </c>
      <c r="IJ10" s="27" t="e">
        <f>AND(#REF!,"AAAAACsf7vM=")</f>
        <v>#REF!</v>
      </c>
      <c r="IK10" s="27" t="e">
        <f>AND(#REF!,"AAAAACsf7vQ=")</f>
        <v>#REF!</v>
      </c>
      <c r="IL10" s="27" t="e">
        <f>AND(#REF!,"AAAAACsf7vU=")</f>
        <v>#REF!</v>
      </c>
      <c r="IM10" s="27" t="e">
        <f>AND(#REF!,"AAAAACsf7vY=")</f>
        <v>#REF!</v>
      </c>
      <c r="IN10" s="27" t="e">
        <f>AND(#REF!,"AAAAACsf7vc=")</f>
        <v>#REF!</v>
      </c>
      <c r="IO10" s="27">
        <v>0</v>
      </c>
      <c r="IP10" s="27" t="e">
        <f>AND(#REF!,"AAAAACsf7vk=")</f>
        <v>#REF!</v>
      </c>
      <c r="IQ10" s="27" t="e">
        <f>AND(#REF!,"AAAAACsf7vo=")</f>
        <v>#REF!</v>
      </c>
      <c r="IR10" s="27" t="e">
        <f>AND(#REF!,"AAAAACsf7vs=")</f>
        <v>#REF!</v>
      </c>
      <c r="IS10" s="27" t="e">
        <f>AND(#REF!,"AAAAACsf7vw=")</f>
        <v>#REF!</v>
      </c>
      <c r="IT10" s="27" t="e">
        <f>AND(#REF!,"AAAAACsf7v0=")</f>
        <v>#REF!</v>
      </c>
      <c r="IU10" s="27" t="e">
        <f>AND(#REF!,"AAAAACsf7v4=")</f>
        <v>#REF!</v>
      </c>
      <c r="IV10" s="27" t="e">
        <f>AND(#REF!,"AAAAACsf7v8=")</f>
        <v>#REF!</v>
      </c>
    </row>
    <row r="11" spans="1:256" ht="12.75" customHeight="1" x14ac:dyDescent="0.2">
      <c r="A11" s="27" t="e">
        <f>AND(#REF!,"AAAAAG+uXwA=")</f>
        <v>#REF!</v>
      </c>
      <c r="B11" s="27" t="e">
        <f>AND(#REF!,"AAAAAG+uXwE=")</f>
        <v>#REF!</v>
      </c>
      <c r="C11" s="27">
        <v>0</v>
      </c>
      <c r="D11" s="27" t="e">
        <f>AND(#REF!,"AAAAAG+uXwM=")</f>
        <v>#REF!</v>
      </c>
      <c r="E11" s="27" t="e">
        <f>AND(#REF!,"AAAAAG+uXwQ=")</f>
        <v>#REF!</v>
      </c>
      <c r="F11" s="27" t="e">
        <f>AND(#REF!,"AAAAAG+uXwU=")</f>
        <v>#REF!</v>
      </c>
      <c r="G11" s="27" t="e">
        <f>AND(#REF!,"AAAAAG+uXwY=")</f>
        <v>#REF!</v>
      </c>
      <c r="H11" s="27" t="e">
        <f>AND(#REF!,"AAAAAG+uXwc=")</f>
        <v>#REF!</v>
      </c>
      <c r="I11" s="27" t="e">
        <f>AND(#REF!,"AAAAAG+uXwg=")</f>
        <v>#REF!</v>
      </c>
      <c r="J11" s="27" t="e">
        <f>AND(#REF!,"AAAAAG+uXwk=")</f>
        <v>#REF!</v>
      </c>
      <c r="K11" s="27" t="e">
        <f>AND(#REF!,"AAAAAG+uXwo=")</f>
        <v>#REF!</v>
      </c>
      <c r="L11" s="27" t="e">
        <f>AND(#REF!,"AAAAAG+uXws=")</f>
        <v>#REF!</v>
      </c>
      <c r="M11" s="27">
        <v>0</v>
      </c>
      <c r="N11" s="27" t="e">
        <f>AND(#REF!,"AAAAAG+uXw0=")</f>
        <v>#REF!</v>
      </c>
      <c r="O11" s="27" t="e">
        <f>AND(#REF!,"AAAAAG+uXw4=")</f>
        <v>#REF!</v>
      </c>
      <c r="P11" s="27" t="e">
        <f>AND(#REF!,"AAAAAG+uXw8=")</f>
        <v>#REF!</v>
      </c>
      <c r="Q11" s="27" t="e">
        <f>AND(#REF!,"AAAAAG+uXxA=")</f>
        <v>#REF!</v>
      </c>
      <c r="R11" s="27" t="e">
        <f>AND(#REF!,"AAAAAG+uXxE=")</f>
        <v>#REF!</v>
      </c>
      <c r="S11" s="27" t="e">
        <f>AND(#REF!,"AAAAAG+uXxI=")</f>
        <v>#REF!</v>
      </c>
      <c r="T11" s="27" t="e">
        <f>AND(#REF!,"AAAAAG+uXxM=")</f>
        <v>#REF!</v>
      </c>
      <c r="U11" s="27" t="e">
        <f>AND(#REF!,"AAAAAG+uXxQ=")</f>
        <v>#REF!</v>
      </c>
      <c r="V11" s="27" t="e">
        <f>AND(#REF!,"AAAAAG+uXxU=")</f>
        <v>#REF!</v>
      </c>
      <c r="W11" s="27">
        <v>0</v>
      </c>
      <c r="X11" s="27" t="e">
        <f>AND(#REF!,"AAAAAG+uXxc=")</f>
        <v>#REF!</v>
      </c>
      <c r="Y11" s="27" t="e">
        <f>AND(#REF!,"AAAAAG+uXxg=")</f>
        <v>#REF!</v>
      </c>
      <c r="Z11" s="27" t="e">
        <f>AND(#REF!,"AAAAAG+uXxk=")</f>
        <v>#REF!</v>
      </c>
      <c r="AA11" s="27" t="e">
        <f>AND(#REF!,"AAAAAG+uXxo=")</f>
        <v>#REF!</v>
      </c>
      <c r="AB11" s="27" t="e">
        <f>AND(#REF!,"AAAAAG+uXxs=")</f>
        <v>#REF!</v>
      </c>
      <c r="AC11" s="27" t="e">
        <f>AND(#REF!,"AAAAAG+uXxw=")</f>
        <v>#REF!</v>
      </c>
      <c r="AD11" s="27" t="e">
        <f>AND(#REF!,"AAAAAG+uXx0=")</f>
        <v>#REF!</v>
      </c>
      <c r="AE11" s="27" t="e">
        <f>AND(#REF!,"AAAAAG+uXx4=")</f>
        <v>#REF!</v>
      </c>
      <c r="AF11" s="27" t="e">
        <f>AND(#REF!,"AAAAAG+uXx8=")</f>
        <v>#REF!</v>
      </c>
      <c r="AG11" s="27">
        <v>0</v>
      </c>
      <c r="AH11" s="27" t="e">
        <f>AND(#REF!,"AAAAAG+uXyE=")</f>
        <v>#REF!</v>
      </c>
      <c r="AI11" s="27" t="e">
        <f>AND(#REF!,"AAAAAG+uXyI=")</f>
        <v>#REF!</v>
      </c>
      <c r="AJ11" s="27" t="e">
        <f>AND(#REF!,"AAAAAG+uXyM=")</f>
        <v>#REF!</v>
      </c>
      <c r="AK11" s="27" t="e">
        <f>AND(#REF!,"AAAAAG+uXyQ=")</f>
        <v>#REF!</v>
      </c>
      <c r="AL11" s="27" t="e">
        <f>AND(#REF!,"AAAAAG+uXyU=")</f>
        <v>#REF!</v>
      </c>
      <c r="AM11" s="27" t="e">
        <f>AND(#REF!,"AAAAAG+uXyY=")</f>
        <v>#REF!</v>
      </c>
      <c r="AN11" s="27" t="e">
        <f>AND(#REF!,"AAAAAG+uXyc=")</f>
        <v>#REF!</v>
      </c>
      <c r="AO11" s="27" t="e">
        <f>AND(#REF!,"AAAAAG+uXyg=")</f>
        <v>#REF!</v>
      </c>
      <c r="AP11" s="27" t="e">
        <f>AND(#REF!,"AAAAAG+uXyk=")</f>
        <v>#REF!</v>
      </c>
      <c r="AQ11" s="27">
        <v>0</v>
      </c>
      <c r="AR11" s="27" t="e">
        <f>AND(#REF!,"AAAAAG+uXys=")</f>
        <v>#REF!</v>
      </c>
      <c r="AS11" s="27" t="e">
        <f>AND(#REF!,"AAAAAG+uXyw=")</f>
        <v>#REF!</v>
      </c>
      <c r="AT11" s="27" t="e">
        <f>AND(#REF!,"AAAAAG+uXy0=")</f>
        <v>#REF!</v>
      </c>
      <c r="AU11" s="27" t="e">
        <f>AND(#REF!,"AAAAAG+uXy4=")</f>
        <v>#REF!</v>
      </c>
      <c r="AV11" s="27" t="e">
        <f>AND(#REF!,"AAAAAG+uXy8=")</f>
        <v>#REF!</v>
      </c>
      <c r="AW11" s="27" t="e">
        <f>AND(#REF!,"AAAAAG+uXzA=")</f>
        <v>#REF!</v>
      </c>
      <c r="AX11" s="27" t="e">
        <f>AND(#REF!,"AAAAAG+uXzE=")</f>
        <v>#REF!</v>
      </c>
      <c r="AY11" s="27" t="e">
        <f>AND(#REF!,"AAAAAG+uXzI=")</f>
        <v>#REF!</v>
      </c>
      <c r="AZ11" s="27" t="e">
        <f>AND(#REF!,"AAAAAG+uXzM=")</f>
        <v>#REF!</v>
      </c>
      <c r="BA11" s="27">
        <v>0</v>
      </c>
      <c r="BB11" s="27" t="e">
        <f>AND(#REF!,"AAAAAG+uXzU=")</f>
        <v>#REF!</v>
      </c>
      <c r="BC11" s="27" t="e">
        <f>AND(#REF!,"AAAAAG+uXzY=")</f>
        <v>#REF!</v>
      </c>
      <c r="BD11" s="27" t="e">
        <f>AND(#REF!,"AAAAAG+uXzc=")</f>
        <v>#REF!</v>
      </c>
      <c r="BE11" s="27" t="e">
        <f>AND(#REF!,"AAAAAG+uXzg=")</f>
        <v>#REF!</v>
      </c>
      <c r="BF11" s="27" t="e">
        <f>AND(#REF!,"AAAAAG+uXzk=")</f>
        <v>#REF!</v>
      </c>
      <c r="BG11" s="27" t="e">
        <f>AND(#REF!,"AAAAAG+uXzo=")</f>
        <v>#REF!</v>
      </c>
      <c r="BH11" s="27" t="e">
        <f>AND(#REF!,"AAAAAG+uXzs=")</f>
        <v>#REF!</v>
      </c>
      <c r="BI11" s="27" t="e">
        <f>AND(#REF!,"AAAAAG+uXzw=")</f>
        <v>#REF!</v>
      </c>
      <c r="BJ11" s="27" t="e">
        <f>AND(#REF!,"AAAAAG+uXz0=")</f>
        <v>#REF!</v>
      </c>
      <c r="BK11" s="27">
        <v>0</v>
      </c>
      <c r="BL11" s="27" t="e">
        <f>AND(#REF!,"AAAAAG+uXz8=")</f>
        <v>#REF!</v>
      </c>
      <c r="BM11" s="27" t="e">
        <f>AND(#REF!,"AAAAAG+uX0A=")</f>
        <v>#REF!</v>
      </c>
      <c r="BN11" s="27" t="e">
        <f>AND(#REF!,"AAAAAG+uX0E=")</f>
        <v>#REF!</v>
      </c>
      <c r="BO11" s="27" t="e">
        <f>AND(#REF!,"AAAAAG+uX0I=")</f>
        <v>#REF!</v>
      </c>
      <c r="BP11" s="27" t="e">
        <f>AND(#REF!,"AAAAAG+uX0M=")</f>
        <v>#REF!</v>
      </c>
      <c r="BQ11" s="27" t="e">
        <f>AND(#REF!,"AAAAAG+uX0Q=")</f>
        <v>#REF!</v>
      </c>
      <c r="BR11" s="27" t="e">
        <f>AND(#REF!,"AAAAAG+uX0U=")</f>
        <v>#REF!</v>
      </c>
      <c r="BS11" s="27" t="e">
        <f>AND(#REF!,"AAAAAG+uX0Y=")</f>
        <v>#REF!</v>
      </c>
      <c r="BT11" s="27" t="e">
        <f>AND(#REF!,"AAAAAG+uX0c=")</f>
        <v>#REF!</v>
      </c>
      <c r="BU11" s="27">
        <v>0</v>
      </c>
      <c r="BV11" s="27" t="e">
        <f>AND(#REF!,"AAAAAG+uX0k=")</f>
        <v>#REF!</v>
      </c>
      <c r="BW11" s="27" t="e">
        <f>AND(#REF!,"AAAAAG+uX0o=")</f>
        <v>#REF!</v>
      </c>
      <c r="BX11" s="27" t="e">
        <f>AND(#REF!,"AAAAAG+uX0s=")</f>
        <v>#REF!</v>
      </c>
      <c r="BY11" s="27" t="e">
        <f>AND(#REF!,"AAAAAG+uX0w=")</f>
        <v>#REF!</v>
      </c>
      <c r="BZ11" s="27" t="e">
        <f>AND(#REF!,"AAAAAG+uX00=")</f>
        <v>#REF!</v>
      </c>
      <c r="CA11" s="27" t="e">
        <f>AND(#REF!,"AAAAAG+uX04=")</f>
        <v>#REF!</v>
      </c>
      <c r="CB11" s="27" t="e">
        <f>AND(#REF!,"AAAAAG+uX08=")</f>
        <v>#REF!</v>
      </c>
      <c r="CC11" s="27" t="e">
        <f>AND(#REF!,"AAAAAG+uX1A=")</f>
        <v>#REF!</v>
      </c>
      <c r="CD11" s="27" t="e">
        <f>AND(#REF!,"AAAAAG+uX1E=")</f>
        <v>#REF!</v>
      </c>
      <c r="CE11" s="27">
        <v>0</v>
      </c>
      <c r="CF11" s="27" t="e">
        <f>AND(#REF!,"AAAAAG+uX1M=")</f>
        <v>#REF!</v>
      </c>
      <c r="CG11" s="27" t="e">
        <f>AND(#REF!,"AAAAAG+uX1Q=")</f>
        <v>#REF!</v>
      </c>
      <c r="CH11" s="27" t="e">
        <f>AND(#REF!,"AAAAAG+uX1U=")</f>
        <v>#REF!</v>
      </c>
      <c r="CI11" s="27" t="e">
        <f>AND(#REF!,"AAAAAG+uX1Y=")</f>
        <v>#REF!</v>
      </c>
      <c r="CJ11" s="27" t="e">
        <f>AND(#REF!,"AAAAAG+uX1c=")</f>
        <v>#REF!</v>
      </c>
      <c r="CK11" s="27" t="e">
        <f>AND(#REF!,"AAAAAG+uX1g=")</f>
        <v>#REF!</v>
      </c>
      <c r="CL11" s="27" t="e">
        <f>AND(#REF!,"AAAAAG+uX1k=")</f>
        <v>#REF!</v>
      </c>
      <c r="CM11" s="27" t="e">
        <f>AND(#REF!,"AAAAAG+uX1o=")</f>
        <v>#REF!</v>
      </c>
      <c r="CN11" s="27" t="e">
        <f>AND(#REF!,"AAAAAG+uX1s=")</f>
        <v>#REF!</v>
      </c>
      <c r="CO11" s="27">
        <v>0</v>
      </c>
      <c r="CP11" s="27" t="e">
        <f>AND(#REF!,"AAAAAG+uX10=")</f>
        <v>#REF!</v>
      </c>
      <c r="CQ11" s="27" t="e">
        <f>AND(#REF!,"AAAAAG+uX14=")</f>
        <v>#REF!</v>
      </c>
      <c r="CR11" s="27" t="e">
        <f>AND(#REF!,"AAAAAG+uX18=")</f>
        <v>#REF!</v>
      </c>
      <c r="CS11" s="27" t="e">
        <f>AND(#REF!,"AAAAAG+uX2A=")</f>
        <v>#REF!</v>
      </c>
      <c r="CT11" s="27" t="e">
        <f>AND(#REF!,"AAAAAG+uX2E=")</f>
        <v>#REF!</v>
      </c>
      <c r="CU11" s="27" t="e">
        <f>AND(#REF!,"AAAAAG+uX2I=")</f>
        <v>#REF!</v>
      </c>
      <c r="CV11" s="27" t="e">
        <f>AND(#REF!,"AAAAAG+uX2M=")</f>
        <v>#REF!</v>
      </c>
      <c r="CW11" s="27" t="e">
        <f>AND(#REF!,"AAAAAG+uX2Q=")</f>
        <v>#REF!</v>
      </c>
      <c r="CX11" s="27" t="e">
        <f>AND(#REF!,"AAAAAG+uX2U=")</f>
        <v>#REF!</v>
      </c>
      <c r="CY11" s="27">
        <v>0</v>
      </c>
      <c r="CZ11" s="27" t="e">
        <f>AND(#REF!,"AAAAAG+uX2c=")</f>
        <v>#REF!</v>
      </c>
      <c r="DA11" s="27" t="e">
        <f>AND(#REF!,"AAAAAG+uX2g=")</f>
        <v>#REF!</v>
      </c>
      <c r="DB11" s="27" t="e">
        <f>AND(#REF!,"AAAAAG+uX2k=")</f>
        <v>#REF!</v>
      </c>
      <c r="DC11" s="27" t="e">
        <f>AND(#REF!,"AAAAAG+uX2o=")</f>
        <v>#REF!</v>
      </c>
      <c r="DD11" s="27" t="e">
        <f>AND(#REF!,"AAAAAG+uX2s=")</f>
        <v>#REF!</v>
      </c>
      <c r="DE11" s="27" t="e">
        <f>AND(#REF!,"AAAAAG+uX2w=")</f>
        <v>#REF!</v>
      </c>
      <c r="DF11" s="27" t="e">
        <f>AND(#REF!,"AAAAAG+uX20=")</f>
        <v>#REF!</v>
      </c>
      <c r="DG11" s="27" t="e">
        <f>AND(#REF!,"AAAAAG+uX24=")</f>
        <v>#REF!</v>
      </c>
      <c r="DH11" s="27" t="e">
        <f>AND(#REF!,"AAAAAG+uX28=")</f>
        <v>#REF!</v>
      </c>
      <c r="DI11" s="27">
        <v>0</v>
      </c>
      <c r="DJ11" s="27" t="e">
        <f>AND(#REF!,"AAAAAG+uX3E=")</f>
        <v>#REF!</v>
      </c>
      <c r="DK11" s="27" t="e">
        <f>AND(#REF!,"AAAAAG+uX3I=")</f>
        <v>#REF!</v>
      </c>
      <c r="DL11" s="27" t="e">
        <f>AND(#REF!,"AAAAAG+uX3M=")</f>
        <v>#REF!</v>
      </c>
      <c r="DM11" s="27" t="e">
        <f>AND(#REF!,"AAAAAG+uX3Q=")</f>
        <v>#REF!</v>
      </c>
      <c r="DN11" s="27" t="e">
        <f>AND(#REF!,"AAAAAG+uX3U=")</f>
        <v>#REF!</v>
      </c>
      <c r="DO11" s="27" t="e">
        <f>AND(#REF!,"AAAAAG+uX3Y=")</f>
        <v>#REF!</v>
      </c>
      <c r="DP11" s="27" t="e">
        <f>AND(#REF!,"AAAAAG+uX3c=")</f>
        <v>#REF!</v>
      </c>
      <c r="DQ11" s="27" t="e">
        <f>AND(#REF!,"AAAAAG+uX3g=")</f>
        <v>#REF!</v>
      </c>
      <c r="DR11" s="27" t="e">
        <f>AND(#REF!,"AAAAAG+uX3k=")</f>
        <v>#REF!</v>
      </c>
      <c r="DS11" s="27">
        <v>0</v>
      </c>
      <c r="DT11" s="27" t="e">
        <f>AND(#REF!,"AAAAAG+uX3s=")</f>
        <v>#REF!</v>
      </c>
      <c r="DU11" s="27" t="e">
        <f>AND(#REF!,"AAAAAG+uX3w=")</f>
        <v>#REF!</v>
      </c>
      <c r="DV11" s="27" t="e">
        <f>AND(#REF!,"AAAAAG+uX30=")</f>
        <v>#REF!</v>
      </c>
      <c r="DW11" s="27" t="e">
        <f>AND(#REF!,"AAAAAG+uX34=")</f>
        <v>#REF!</v>
      </c>
      <c r="DX11" s="27" t="e">
        <f>AND(#REF!,"AAAAAG+uX38=")</f>
        <v>#REF!</v>
      </c>
      <c r="DY11" s="27" t="e">
        <f>AND(#REF!,"AAAAAG+uX4A=")</f>
        <v>#REF!</v>
      </c>
      <c r="DZ11" s="27" t="e">
        <f>AND(#REF!,"AAAAAG+uX4E=")</f>
        <v>#REF!</v>
      </c>
      <c r="EA11" s="27" t="e">
        <f>AND(#REF!,"AAAAAG+uX4I=")</f>
        <v>#REF!</v>
      </c>
      <c r="EB11" s="27" t="e">
        <f>AND(#REF!,"AAAAAG+uX4M=")</f>
        <v>#REF!</v>
      </c>
      <c r="EC11" s="27">
        <v>0</v>
      </c>
      <c r="ED11" s="27" t="e">
        <f>AND(#REF!,"AAAAAG+uX4U=")</f>
        <v>#REF!</v>
      </c>
      <c r="EE11" s="27" t="e">
        <f>AND(#REF!,"AAAAAG+uX4Y=")</f>
        <v>#REF!</v>
      </c>
      <c r="EF11" s="27" t="e">
        <f>AND(#REF!,"AAAAAG+uX4c=")</f>
        <v>#REF!</v>
      </c>
      <c r="EG11" s="27" t="e">
        <f>AND(#REF!,"AAAAAG+uX4g=")</f>
        <v>#REF!</v>
      </c>
      <c r="EH11" s="27" t="e">
        <f>AND(#REF!,"AAAAAG+uX4k=")</f>
        <v>#REF!</v>
      </c>
      <c r="EI11" s="27" t="e">
        <f>AND(#REF!,"AAAAAG+uX4o=")</f>
        <v>#REF!</v>
      </c>
      <c r="EJ11" s="27" t="e">
        <f>AND(#REF!,"AAAAAG+uX4s=")</f>
        <v>#REF!</v>
      </c>
      <c r="EK11" s="27" t="e">
        <f>AND(#REF!,"AAAAAG+uX4w=")</f>
        <v>#REF!</v>
      </c>
      <c r="EL11" s="27" t="e">
        <f>AND(#REF!,"AAAAAG+uX40=")</f>
        <v>#REF!</v>
      </c>
      <c r="EM11" s="27">
        <v>0</v>
      </c>
      <c r="EN11" s="27" t="e">
        <f>AND(#REF!,"AAAAAG+uX48=")</f>
        <v>#REF!</v>
      </c>
      <c r="EO11" s="27" t="e">
        <f>AND(#REF!,"AAAAAG+uX5A=")</f>
        <v>#REF!</v>
      </c>
      <c r="EP11" s="27" t="e">
        <f>AND(#REF!,"AAAAAG+uX5E=")</f>
        <v>#REF!</v>
      </c>
      <c r="EQ11" s="27" t="e">
        <f>AND(#REF!,"AAAAAG+uX5I=")</f>
        <v>#REF!</v>
      </c>
      <c r="ER11" s="27" t="e">
        <f>AND(#REF!,"AAAAAG+uX5M=")</f>
        <v>#REF!</v>
      </c>
      <c r="ES11" s="27" t="e">
        <f>AND(#REF!,"AAAAAG+uX5Q=")</f>
        <v>#REF!</v>
      </c>
      <c r="ET11" s="27" t="e">
        <f>AND(#REF!,"AAAAAG+uX5U=")</f>
        <v>#REF!</v>
      </c>
      <c r="EU11" s="27" t="e">
        <f>AND(#REF!,"AAAAAG+uX5Y=")</f>
        <v>#REF!</v>
      </c>
      <c r="EV11" s="27" t="e">
        <f>AND(#REF!,"AAAAAG+uX5c=")</f>
        <v>#REF!</v>
      </c>
      <c r="EW11" s="27">
        <v>0</v>
      </c>
      <c r="EX11" s="27" t="e">
        <f>AND(#REF!,"AAAAAG+uX5k=")</f>
        <v>#REF!</v>
      </c>
      <c r="EY11" s="27" t="e">
        <f>AND(#REF!,"AAAAAG+uX5o=")</f>
        <v>#REF!</v>
      </c>
      <c r="EZ11" s="27" t="e">
        <f>AND(#REF!,"AAAAAG+uX5s=")</f>
        <v>#REF!</v>
      </c>
      <c r="FA11" s="27" t="e">
        <f>AND(#REF!,"AAAAAG+uX5w=")</f>
        <v>#REF!</v>
      </c>
      <c r="FB11" s="27" t="e">
        <f>AND(#REF!,"AAAAAG+uX50=")</f>
        <v>#REF!</v>
      </c>
      <c r="FC11" s="27" t="e">
        <f>AND(#REF!,"AAAAAG+uX54=")</f>
        <v>#REF!</v>
      </c>
      <c r="FD11" s="27" t="e">
        <f>AND(#REF!,"AAAAAG+uX58=")</f>
        <v>#REF!</v>
      </c>
      <c r="FE11" s="27" t="e">
        <f>AND(#REF!,"AAAAAG+uX6A=")</f>
        <v>#REF!</v>
      </c>
      <c r="FF11" s="27" t="e">
        <f>AND(#REF!,"AAAAAG+uX6E=")</f>
        <v>#REF!</v>
      </c>
      <c r="FG11" s="27">
        <v>0</v>
      </c>
      <c r="FH11" s="27" t="e">
        <f>AND(#REF!,"AAAAAG+uX6M=")</f>
        <v>#REF!</v>
      </c>
      <c r="FI11" s="27" t="e">
        <f>AND(#REF!,"AAAAAG+uX6Q=")</f>
        <v>#REF!</v>
      </c>
      <c r="FJ11" s="27" t="e">
        <f>AND(#REF!,"AAAAAG+uX6U=")</f>
        <v>#REF!</v>
      </c>
      <c r="FK11" s="27" t="e">
        <f>AND(#REF!,"AAAAAG+uX6Y=")</f>
        <v>#REF!</v>
      </c>
      <c r="FL11" s="27" t="e">
        <f>AND(#REF!,"AAAAAG+uX6c=")</f>
        <v>#REF!</v>
      </c>
      <c r="FM11" s="27" t="e">
        <f>AND(#REF!,"AAAAAG+uX6g=")</f>
        <v>#REF!</v>
      </c>
      <c r="FN11" s="27" t="e">
        <f>AND(#REF!,"AAAAAG+uX6k=")</f>
        <v>#REF!</v>
      </c>
      <c r="FO11" s="27" t="e">
        <f>AND(#REF!,"AAAAAG+uX6o=")</f>
        <v>#REF!</v>
      </c>
      <c r="FP11" s="27" t="e">
        <f>AND(#REF!,"AAAAAG+uX6s=")</f>
        <v>#REF!</v>
      </c>
      <c r="FQ11" s="27">
        <v>0</v>
      </c>
      <c r="FR11" s="27" t="e">
        <f>AND(#REF!,"AAAAAG+uX60=")</f>
        <v>#REF!</v>
      </c>
      <c r="FS11" s="27" t="e">
        <f>AND(#REF!,"AAAAAG+uX64=")</f>
        <v>#REF!</v>
      </c>
      <c r="FT11" s="27" t="e">
        <f>AND(#REF!,"AAAAAG+uX68=")</f>
        <v>#REF!</v>
      </c>
      <c r="FU11" s="27" t="e">
        <f>AND(#REF!,"AAAAAG+uX7A=")</f>
        <v>#REF!</v>
      </c>
      <c r="FV11" s="27" t="e">
        <f>AND(#REF!,"AAAAAG+uX7E=")</f>
        <v>#REF!</v>
      </c>
      <c r="FW11" s="27" t="e">
        <f>AND(#REF!,"AAAAAG+uX7I=")</f>
        <v>#REF!</v>
      </c>
      <c r="FX11" s="27" t="e">
        <f>AND(#REF!,"AAAAAG+uX7M=")</f>
        <v>#REF!</v>
      </c>
      <c r="FY11" s="27" t="e">
        <f>AND(#REF!,"AAAAAG+uX7Q=")</f>
        <v>#REF!</v>
      </c>
      <c r="FZ11" s="27" t="e">
        <f>AND(#REF!,"AAAAAG+uX7U=")</f>
        <v>#REF!</v>
      </c>
      <c r="GA11" s="27">
        <v>0</v>
      </c>
      <c r="GB11" s="27" t="e">
        <f>AND(#REF!,"AAAAAG+uX7c=")</f>
        <v>#REF!</v>
      </c>
      <c r="GC11" s="27" t="e">
        <f>AND(#REF!,"AAAAAG+uX7g=")</f>
        <v>#REF!</v>
      </c>
      <c r="GD11" s="27" t="e">
        <f>AND(#REF!,"AAAAAG+uX7k=")</f>
        <v>#REF!</v>
      </c>
      <c r="GE11" s="27" t="e">
        <f>AND(#REF!,"AAAAAG+uX7o=")</f>
        <v>#REF!</v>
      </c>
      <c r="GF11" s="27" t="e">
        <f>AND(#REF!,"AAAAAG+uX7s=")</f>
        <v>#REF!</v>
      </c>
      <c r="GG11" s="27" t="e">
        <f>AND(#REF!,"AAAAAG+uX7w=")</f>
        <v>#REF!</v>
      </c>
      <c r="GH11" s="27" t="e">
        <f>AND(#REF!,"AAAAAG+uX70=")</f>
        <v>#REF!</v>
      </c>
      <c r="GI11" s="27" t="e">
        <f>AND(#REF!,"AAAAAG+uX74=")</f>
        <v>#REF!</v>
      </c>
      <c r="GJ11" s="27" t="e">
        <f>AND(#REF!,"AAAAAG+uX78=")</f>
        <v>#REF!</v>
      </c>
      <c r="GK11" s="27">
        <v>0</v>
      </c>
      <c r="GL11" s="27" t="e">
        <f>AND(#REF!,"AAAAAG+uX8E=")</f>
        <v>#REF!</v>
      </c>
      <c r="GM11" s="27" t="e">
        <f>AND(#REF!,"AAAAAG+uX8I=")</f>
        <v>#REF!</v>
      </c>
      <c r="GN11" s="27" t="e">
        <f>AND(#REF!,"AAAAAG+uX8M=")</f>
        <v>#REF!</v>
      </c>
      <c r="GO11" s="27" t="e">
        <f>AND(#REF!,"AAAAAG+uX8Q=")</f>
        <v>#REF!</v>
      </c>
      <c r="GP11" s="27" t="e">
        <f>AND(#REF!,"AAAAAG+uX8U=")</f>
        <v>#REF!</v>
      </c>
      <c r="GQ11" s="27" t="e">
        <f>AND(#REF!,"AAAAAG+uX8Y=")</f>
        <v>#REF!</v>
      </c>
      <c r="GR11" s="27" t="e">
        <f>AND(#REF!,"AAAAAG+uX8c=")</f>
        <v>#REF!</v>
      </c>
      <c r="GS11" s="27" t="e">
        <f>AND(#REF!,"AAAAAG+uX8g=")</f>
        <v>#REF!</v>
      </c>
      <c r="GT11" s="27" t="e">
        <f>AND(#REF!,"AAAAAG+uX8k=")</f>
        <v>#REF!</v>
      </c>
      <c r="GU11" s="27">
        <v>0</v>
      </c>
      <c r="GV11" s="27" t="e">
        <f>AND(#REF!,"AAAAAG+uX8s=")</f>
        <v>#REF!</v>
      </c>
      <c r="GW11" s="27" t="e">
        <f>AND(#REF!,"AAAAAG+uX8w=")</f>
        <v>#REF!</v>
      </c>
      <c r="GX11" s="27" t="e">
        <f>AND(#REF!,"AAAAAG+uX80=")</f>
        <v>#REF!</v>
      </c>
      <c r="GY11" s="27" t="e">
        <f>AND(#REF!,"AAAAAG+uX84=")</f>
        <v>#REF!</v>
      </c>
      <c r="GZ11" s="27" t="e">
        <f>AND(#REF!,"AAAAAG+uX88=")</f>
        <v>#REF!</v>
      </c>
      <c r="HA11" s="27" t="e">
        <f>AND(#REF!,"AAAAAG+uX9A=")</f>
        <v>#REF!</v>
      </c>
      <c r="HB11" s="27" t="e">
        <f>AND(#REF!,"AAAAAG+uX9E=")</f>
        <v>#REF!</v>
      </c>
      <c r="HC11" s="27" t="e">
        <f>AND(#REF!,"AAAAAG+uX9I=")</f>
        <v>#REF!</v>
      </c>
      <c r="HD11" s="27" t="e">
        <f>AND(#REF!,"AAAAAG+uX9M=")</f>
        <v>#REF!</v>
      </c>
      <c r="HE11" s="27">
        <v>0</v>
      </c>
      <c r="HF11" s="27" t="e">
        <f>AND(#REF!,"AAAAAG+uX9U=")</f>
        <v>#REF!</v>
      </c>
      <c r="HG11" s="27" t="e">
        <f>AND(#REF!,"AAAAAG+uX9Y=")</f>
        <v>#REF!</v>
      </c>
      <c r="HH11" s="27" t="e">
        <f>AND(#REF!,"AAAAAG+uX9c=")</f>
        <v>#REF!</v>
      </c>
      <c r="HI11" s="27" t="e">
        <f>AND(#REF!,"AAAAAG+uX9g=")</f>
        <v>#REF!</v>
      </c>
      <c r="HJ11" s="27" t="e">
        <f>AND(#REF!,"AAAAAG+uX9k=")</f>
        <v>#REF!</v>
      </c>
      <c r="HK11" s="27" t="e">
        <f>AND(#REF!,"AAAAAG+uX9o=")</f>
        <v>#REF!</v>
      </c>
      <c r="HL11" s="27" t="e">
        <f>AND(#REF!,"AAAAAG+uX9s=")</f>
        <v>#REF!</v>
      </c>
      <c r="HM11" s="27" t="e">
        <f>AND(#REF!,"AAAAAG+uX9w=")</f>
        <v>#REF!</v>
      </c>
      <c r="HN11" s="27" t="e">
        <f>AND(#REF!,"AAAAAG+uX90=")</f>
        <v>#REF!</v>
      </c>
      <c r="HO11" s="27">
        <v>0</v>
      </c>
      <c r="HP11" s="27" t="e">
        <f>AND(#REF!,"AAAAAG+uX98=")</f>
        <v>#REF!</v>
      </c>
      <c r="HQ11" s="27" t="e">
        <f>AND(#REF!,"AAAAAG+uX+A=")</f>
        <v>#REF!</v>
      </c>
      <c r="HR11" s="27" t="e">
        <f>AND(#REF!,"AAAAAG+uX+E=")</f>
        <v>#REF!</v>
      </c>
      <c r="HS11" s="27" t="e">
        <f>AND(#REF!,"AAAAAG+uX+I=")</f>
        <v>#REF!</v>
      </c>
      <c r="HT11" s="27" t="e">
        <f>AND(#REF!,"AAAAAG+uX+M=")</f>
        <v>#REF!</v>
      </c>
      <c r="HU11" s="27" t="e">
        <f>AND(#REF!,"AAAAAG+uX+Q=")</f>
        <v>#REF!</v>
      </c>
      <c r="HV11" s="27" t="e">
        <f>AND(#REF!,"AAAAAG+uX+U=")</f>
        <v>#REF!</v>
      </c>
      <c r="HW11" s="27" t="e">
        <f>AND(#REF!,"AAAAAG+uX+Y=")</f>
        <v>#REF!</v>
      </c>
      <c r="HX11" s="27" t="e">
        <f>AND(#REF!,"AAAAAG+uX+c=")</f>
        <v>#REF!</v>
      </c>
      <c r="HY11" s="27">
        <v>0</v>
      </c>
      <c r="HZ11" s="27" t="e">
        <f>AND(#REF!,"AAAAAG+uX+k=")</f>
        <v>#REF!</v>
      </c>
      <c r="IA11" s="27" t="e">
        <f>AND(#REF!,"AAAAAG+uX+o=")</f>
        <v>#REF!</v>
      </c>
      <c r="IB11" s="27" t="e">
        <f>AND(#REF!,"AAAAAG+uX+s=")</f>
        <v>#REF!</v>
      </c>
      <c r="IC11" s="27" t="e">
        <f>AND(#REF!,"AAAAAG+uX+w=")</f>
        <v>#REF!</v>
      </c>
      <c r="ID11" s="27" t="e">
        <f>AND(#REF!,"AAAAAG+uX+0=")</f>
        <v>#REF!</v>
      </c>
      <c r="IE11" s="27" t="e">
        <f>AND(#REF!,"AAAAAG+uX+4=")</f>
        <v>#REF!</v>
      </c>
      <c r="IF11" s="27" t="e">
        <f>AND(#REF!,"AAAAAG+uX+8=")</f>
        <v>#REF!</v>
      </c>
      <c r="IG11" s="27" t="e">
        <f>AND(#REF!,"AAAAAG+uX/A=")</f>
        <v>#REF!</v>
      </c>
      <c r="IH11" s="27" t="e">
        <f>AND(#REF!,"AAAAAG+uX/E=")</f>
        <v>#REF!</v>
      </c>
      <c r="II11" s="27">
        <v>0</v>
      </c>
      <c r="IJ11" s="27" t="e">
        <f>AND(#REF!,"AAAAAG+uX/M=")</f>
        <v>#REF!</v>
      </c>
      <c r="IK11" s="27" t="e">
        <f>AND(#REF!,"AAAAAG+uX/Q=")</f>
        <v>#REF!</v>
      </c>
      <c r="IL11" s="27" t="e">
        <f>AND(#REF!,"AAAAAG+uX/U=")</f>
        <v>#REF!</v>
      </c>
      <c r="IM11" s="27" t="e">
        <f>AND(#REF!,"AAAAAG+uX/Y=")</f>
        <v>#REF!</v>
      </c>
      <c r="IN11" s="27" t="e">
        <f>AND(#REF!,"AAAAAG+uX/c=")</f>
        <v>#REF!</v>
      </c>
      <c r="IO11" s="27" t="e">
        <f>AND(#REF!,"AAAAAG+uX/g=")</f>
        <v>#REF!</v>
      </c>
      <c r="IP11" s="27" t="e">
        <f>AND(#REF!,"AAAAAG+uX/k=")</f>
        <v>#REF!</v>
      </c>
      <c r="IQ11" s="27" t="e">
        <f>AND(#REF!,"AAAAAG+uX/o=")</f>
        <v>#REF!</v>
      </c>
      <c r="IR11" s="27" t="e">
        <f>AND(#REF!,"AAAAAG+uX/s=")</f>
        <v>#REF!</v>
      </c>
      <c r="IS11" s="27">
        <v>0</v>
      </c>
      <c r="IT11" s="27" t="e">
        <f>AND(#REF!,"AAAAAG+uX/0=")</f>
        <v>#REF!</v>
      </c>
      <c r="IU11" s="27" t="e">
        <f>AND(#REF!,"AAAAAG+uX/4=")</f>
        <v>#REF!</v>
      </c>
      <c r="IV11" s="27" t="e">
        <f>AND(#REF!,"AAAAAG+uX/8=")</f>
        <v>#REF!</v>
      </c>
    </row>
    <row r="12" spans="1:256" ht="12.75" customHeight="1" x14ac:dyDescent="0.2">
      <c r="A12" s="27" t="e">
        <f>AND(#REF!,"AAAAAH799wA=")</f>
        <v>#REF!</v>
      </c>
      <c r="B12" s="27" t="e">
        <f>AND(#REF!,"AAAAAH799wE=")</f>
        <v>#REF!</v>
      </c>
      <c r="C12" s="27" t="e">
        <f>AND(#REF!,"AAAAAH799wI=")</f>
        <v>#REF!</v>
      </c>
      <c r="D12" s="27" t="e">
        <f>AND(#REF!,"AAAAAH799wM=")</f>
        <v>#REF!</v>
      </c>
      <c r="E12" s="27" t="e">
        <f>AND(#REF!,"AAAAAH799wQ=")</f>
        <v>#REF!</v>
      </c>
      <c r="F12" s="27" t="e">
        <f>AND(#REF!,"AAAAAH799wU=")</f>
        <v>#REF!</v>
      </c>
      <c r="G12" s="27">
        <v>0</v>
      </c>
      <c r="H12" s="27" t="e">
        <f>AND(#REF!,"AAAAAH799wc=")</f>
        <v>#REF!</v>
      </c>
      <c r="I12" s="27" t="e">
        <f>AND(#REF!,"AAAAAH799wg=")</f>
        <v>#REF!</v>
      </c>
      <c r="J12" s="27" t="e">
        <f>AND(#REF!,"AAAAAH799wk=")</f>
        <v>#REF!</v>
      </c>
      <c r="K12" s="27" t="e">
        <f>AND(#REF!,"AAAAAH799wo=")</f>
        <v>#REF!</v>
      </c>
      <c r="L12" s="27" t="e">
        <f>AND(#REF!,"AAAAAH799ws=")</f>
        <v>#REF!</v>
      </c>
      <c r="M12" s="27" t="e">
        <f>AND(#REF!,"AAAAAH799ww=")</f>
        <v>#REF!</v>
      </c>
      <c r="N12" s="27" t="e">
        <f>AND(#REF!,"AAAAAH799w0=")</f>
        <v>#REF!</v>
      </c>
      <c r="O12" s="27" t="e">
        <f>AND(#REF!,"AAAAAH799w4=")</f>
        <v>#REF!</v>
      </c>
      <c r="P12" s="27" t="e">
        <f>AND(#REF!,"AAAAAH799w8=")</f>
        <v>#REF!</v>
      </c>
      <c r="Q12" s="27">
        <v>0</v>
      </c>
      <c r="R12" s="27" t="e">
        <f>AND(#REF!,"AAAAAH799xE=")</f>
        <v>#REF!</v>
      </c>
      <c r="S12" s="27" t="e">
        <f>AND(#REF!,"AAAAAH799xI=")</f>
        <v>#REF!</v>
      </c>
      <c r="T12" s="27" t="e">
        <f>AND(#REF!,"AAAAAH799xM=")</f>
        <v>#REF!</v>
      </c>
      <c r="U12" s="27" t="e">
        <f>AND(#REF!,"AAAAAH799xQ=")</f>
        <v>#REF!</v>
      </c>
      <c r="V12" s="27" t="e">
        <f>AND(#REF!,"AAAAAH799xU=")</f>
        <v>#REF!</v>
      </c>
      <c r="W12" s="27" t="e">
        <f>AND(#REF!,"AAAAAH799xY=")</f>
        <v>#REF!</v>
      </c>
      <c r="X12" s="27" t="e">
        <f>AND(#REF!,"AAAAAH799xc=")</f>
        <v>#REF!</v>
      </c>
      <c r="Y12" s="27" t="e">
        <f>AND(#REF!,"AAAAAH799xg=")</f>
        <v>#REF!</v>
      </c>
      <c r="Z12" s="27" t="e">
        <f>AND(#REF!,"AAAAAH799xk=")</f>
        <v>#REF!</v>
      </c>
      <c r="AA12" s="27">
        <v>0</v>
      </c>
      <c r="AB12" s="27" t="e">
        <f>AND(#REF!,"AAAAAH799xs=")</f>
        <v>#REF!</v>
      </c>
      <c r="AC12" s="27" t="e">
        <f>AND(#REF!,"AAAAAH799xw=")</f>
        <v>#REF!</v>
      </c>
      <c r="AD12" s="27" t="e">
        <f>AND(#REF!,"AAAAAH799x0=")</f>
        <v>#REF!</v>
      </c>
      <c r="AE12" s="27" t="e">
        <f>AND(#REF!,"AAAAAH799x4=")</f>
        <v>#REF!</v>
      </c>
      <c r="AF12" s="27" t="e">
        <f>AND(#REF!,"AAAAAH799x8=")</f>
        <v>#REF!</v>
      </c>
      <c r="AG12" s="27" t="e">
        <f>AND(#REF!,"AAAAAH799yA=")</f>
        <v>#REF!</v>
      </c>
      <c r="AH12" s="27" t="e">
        <f>AND(#REF!,"AAAAAH799yE=")</f>
        <v>#REF!</v>
      </c>
      <c r="AI12" s="27" t="e">
        <f>AND(#REF!,"AAAAAH799yI=")</f>
        <v>#REF!</v>
      </c>
      <c r="AJ12" s="27" t="e">
        <f>AND(#REF!,"AAAAAH799yM=")</f>
        <v>#REF!</v>
      </c>
      <c r="AK12" s="27">
        <v>0</v>
      </c>
      <c r="AL12" s="27" t="e">
        <f>AND(#REF!,"AAAAAH799yU=")</f>
        <v>#REF!</v>
      </c>
      <c r="AM12" s="27" t="e">
        <f>AND(#REF!,"AAAAAH799yY=")</f>
        <v>#REF!</v>
      </c>
      <c r="AN12" s="27" t="e">
        <f>AND(#REF!,"AAAAAH799yc=")</f>
        <v>#REF!</v>
      </c>
      <c r="AO12" s="27" t="e">
        <f>AND(#REF!,"AAAAAH799yg=")</f>
        <v>#REF!</v>
      </c>
      <c r="AP12" s="27" t="e">
        <f>AND(#REF!,"AAAAAH799yk=")</f>
        <v>#REF!</v>
      </c>
      <c r="AQ12" s="27" t="e">
        <f>AND(#REF!,"AAAAAH799yo=")</f>
        <v>#REF!</v>
      </c>
      <c r="AR12" s="27" t="e">
        <f>AND(#REF!,"AAAAAH799ys=")</f>
        <v>#REF!</v>
      </c>
      <c r="AS12" s="27" t="e">
        <f>AND(#REF!,"AAAAAH799yw=")</f>
        <v>#REF!</v>
      </c>
      <c r="AT12" s="27" t="e">
        <f>AND(#REF!,"AAAAAH799y0=")</f>
        <v>#REF!</v>
      </c>
      <c r="AU12" s="27">
        <v>0</v>
      </c>
      <c r="AV12" s="27" t="e">
        <f>AND(#REF!,"AAAAAH799y8=")</f>
        <v>#REF!</v>
      </c>
      <c r="AW12" s="27" t="e">
        <f>AND(#REF!,"AAAAAH799zA=")</f>
        <v>#REF!</v>
      </c>
      <c r="AX12" s="27" t="e">
        <f>AND(#REF!,"AAAAAH799zE=")</f>
        <v>#REF!</v>
      </c>
      <c r="AY12" s="27" t="e">
        <f>AND(#REF!,"AAAAAH799zI=")</f>
        <v>#REF!</v>
      </c>
      <c r="AZ12" s="27" t="e">
        <f>AND(#REF!,"AAAAAH799zM=")</f>
        <v>#REF!</v>
      </c>
      <c r="BA12" s="27" t="e">
        <f>AND(#REF!,"AAAAAH799zQ=")</f>
        <v>#REF!</v>
      </c>
      <c r="BB12" s="27" t="e">
        <f>AND(#REF!,"AAAAAH799zU=")</f>
        <v>#REF!</v>
      </c>
      <c r="BC12" s="27" t="e">
        <f>AND(#REF!,"AAAAAH799zY=")</f>
        <v>#REF!</v>
      </c>
      <c r="BD12" s="27" t="e">
        <f>AND(#REF!,"AAAAAH799zc=")</f>
        <v>#REF!</v>
      </c>
      <c r="BE12" s="27">
        <v>0</v>
      </c>
      <c r="BF12" s="27" t="e">
        <f>AND(#REF!,"AAAAAH799zk=")</f>
        <v>#REF!</v>
      </c>
      <c r="BG12" s="27" t="e">
        <f>AND(#REF!,"AAAAAH799zo=")</f>
        <v>#REF!</v>
      </c>
      <c r="BH12" s="27" t="e">
        <f>AND(#REF!,"AAAAAH799zs=")</f>
        <v>#REF!</v>
      </c>
      <c r="BI12" s="27" t="e">
        <f>AND(#REF!,"AAAAAH799zw=")</f>
        <v>#REF!</v>
      </c>
      <c r="BJ12" s="27" t="e">
        <f>AND(#REF!,"AAAAAH799z0=")</f>
        <v>#REF!</v>
      </c>
      <c r="BK12" s="27" t="e">
        <f>AND(#REF!,"AAAAAH799z4=")</f>
        <v>#REF!</v>
      </c>
      <c r="BL12" s="27" t="e">
        <f>AND(#REF!,"AAAAAH799z8=")</f>
        <v>#REF!</v>
      </c>
      <c r="BM12" s="27" t="e">
        <f>AND(#REF!,"AAAAAH7990A=")</f>
        <v>#REF!</v>
      </c>
      <c r="BN12" s="27" t="e">
        <f>AND(#REF!,"AAAAAH7990E=")</f>
        <v>#REF!</v>
      </c>
      <c r="BO12" s="27">
        <v>0</v>
      </c>
      <c r="BP12" s="27" t="e">
        <f>AND(#REF!,"AAAAAH7990M=")</f>
        <v>#REF!</v>
      </c>
      <c r="BQ12" s="27" t="e">
        <f>AND(#REF!,"AAAAAH7990Q=")</f>
        <v>#REF!</v>
      </c>
      <c r="BR12" s="27" t="e">
        <f>AND(#REF!,"AAAAAH7990U=")</f>
        <v>#REF!</v>
      </c>
      <c r="BS12" s="27" t="e">
        <f>AND(#REF!,"AAAAAH7990Y=")</f>
        <v>#REF!</v>
      </c>
      <c r="BT12" s="27" t="e">
        <f>AND(#REF!,"AAAAAH7990c=")</f>
        <v>#REF!</v>
      </c>
      <c r="BU12" s="27" t="e">
        <f>AND(#REF!,"AAAAAH7990g=")</f>
        <v>#REF!</v>
      </c>
      <c r="BV12" s="27" t="e">
        <f>AND(#REF!,"AAAAAH7990k=")</f>
        <v>#REF!</v>
      </c>
      <c r="BW12" s="27" t="e">
        <f>AND(#REF!,"AAAAAH7990o=")</f>
        <v>#REF!</v>
      </c>
      <c r="BX12" s="27" t="e">
        <f>AND(#REF!,"AAAAAH7990s=")</f>
        <v>#REF!</v>
      </c>
      <c r="BY12" s="27">
        <v>0</v>
      </c>
      <c r="BZ12" s="27" t="e">
        <f>AND(#REF!,"AAAAAH79900=")</f>
        <v>#REF!</v>
      </c>
      <c r="CA12" s="27" t="e">
        <f>AND(#REF!,"AAAAAH79904=")</f>
        <v>#REF!</v>
      </c>
      <c r="CB12" s="27" t="e">
        <f>AND(#REF!,"AAAAAH79908=")</f>
        <v>#REF!</v>
      </c>
      <c r="CC12" s="27" t="e">
        <f>AND(#REF!,"AAAAAH7991A=")</f>
        <v>#REF!</v>
      </c>
      <c r="CD12" s="27" t="e">
        <f>AND(#REF!,"AAAAAH7991E=")</f>
        <v>#REF!</v>
      </c>
      <c r="CE12" s="27" t="e">
        <f>AND(#REF!,"AAAAAH7991I=")</f>
        <v>#REF!</v>
      </c>
      <c r="CF12" s="27" t="e">
        <f>AND(#REF!,"AAAAAH7991M=")</f>
        <v>#REF!</v>
      </c>
      <c r="CG12" s="27" t="e">
        <f>AND(#REF!,"AAAAAH7991Q=")</f>
        <v>#REF!</v>
      </c>
      <c r="CH12" s="27" t="e">
        <f>AND(#REF!,"AAAAAH7991U=")</f>
        <v>#REF!</v>
      </c>
      <c r="CI12" s="27">
        <v>0</v>
      </c>
      <c r="CJ12" s="27" t="e">
        <f>AND(#REF!,"AAAAAH7991c=")</f>
        <v>#REF!</v>
      </c>
      <c r="CK12" s="27" t="e">
        <f>AND(#REF!,"AAAAAH7991g=")</f>
        <v>#REF!</v>
      </c>
      <c r="CL12" s="27" t="e">
        <f>AND(#REF!,"AAAAAH7991k=")</f>
        <v>#REF!</v>
      </c>
      <c r="CM12" s="27" t="e">
        <f>AND(#REF!,"AAAAAH7991o=")</f>
        <v>#REF!</v>
      </c>
      <c r="CN12" s="27" t="e">
        <f>AND(#REF!,"AAAAAH7991s=")</f>
        <v>#REF!</v>
      </c>
      <c r="CO12" s="27" t="e">
        <f>AND(#REF!,"AAAAAH7991w=")</f>
        <v>#REF!</v>
      </c>
      <c r="CP12" s="27" t="e">
        <f>AND(#REF!,"AAAAAH79910=")</f>
        <v>#REF!</v>
      </c>
      <c r="CQ12" s="27" t="e">
        <f>AND(#REF!,"AAAAAH79914=")</f>
        <v>#REF!</v>
      </c>
      <c r="CR12" s="27" t="e">
        <f>AND(#REF!,"AAAAAH79918=")</f>
        <v>#REF!</v>
      </c>
      <c r="CS12" s="27">
        <v>0</v>
      </c>
      <c r="CT12" s="27" t="e">
        <f>AND(#REF!,"AAAAAH7992E=")</f>
        <v>#REF!</v>
      </c>
      <c r="CU12" s="27" t="e">
        <f>AND(#REF!,"AAAAAH7992I=")</f>
        <v>#REF!</v>
      </c>
      <c r="CV12" s="27" t="e">
        <f>AND(#REF!,"AAAAAH7992M=")</f>
        <v>#REF!</v>
      </c>
      <c r="CW12" s="27" t="e">
        <f>AND(#REF!,"AAAAAH7992Q=")</f>
        <v>#REF!</v>
      </c>
      <c r="CX12" s="27" t="e">
        <f>AND(#REF!,"AAAAAH7992U=")</f>
        <v>#REF!</v>
      </c>
      <c r="CY12" s="27" t="e">
        <f>AND(#REF!,"AAAAAH7992Y=")</f>
        <v>#REF!</v>
      </c>
      <c r="CZ12" s="27" t="e">
        <f>AND(#REF!,"AAAAAH7992c=")</f>
        <v>#REF!</v>
      </c>
      <c r="DA12" s="27" t="e">
        <f>AND(#REF!,"AAAAAH7992g=")</f>
        <v>#REF!</v>
      </c>
      <c r="DB12" s="27" t="e">
        <f>AND(#REF!,"AAAAAH7992k=")</f>
        <v>#REF!</v>
      </c>
      <c r="DC12" s="27">
        <v>0</v>
      </c>
      <c r="DD12" s="27" t="e">
        <f>AND(#REF!,"AAAAAH7992s=")</f>
        <v>#REF!</v>
      </c>
      <c r="DE12" s="27" t="e">
        <f>AND(#REF!,"AAAAAH7992w=")</f>
        <v>#REF!</v>
      </c>
      <c r="DF12" s="27" t="e">
        <f>AND(#REF!,"AAAAAH79920=")</f>
        <v>#REF!</v>
      </c>
      <c r="DG12" s="27" t="e">
        <f>AND(#REF!,"AAAAAH79924=")</f>
        <v>#REF!</v>
      </c>
      <c r="DH12" s="27" t="e">
        <f>AND(#REF!,"AAAAAH79928=")</f>
        <v>#REF!</v>
      </c>
      <c r="DI12" s="27" t="e">
        <f>AND(#REF!,"AAAAAH7993A=")</f>
        <v>#REF!</v>
      </c>
      <c r="DJ12" s="27" t="e">
        <f>AND(#REF!,"AAAAAH7993E=")</f>
        <v>#REF!</v>
      </c>
      <c r="DK12" s="27" t="e">
        <f>AND(#REF!,"AAAAAH7993I=")</f>
        <v>#REF!</v>
      </c>
      <c r="DL12" s="27" t="e">
        <f>AND(#REF!,"AAAAAH7993M=")</f>
        <v>#REF!</v>
      </c>
      <c r="DM12" s="27">
        <v>0</v>
      </c>
      <c r="DN12" s="27" t="e">
        <f>AND(#REF!,"AAAAAH7993U=")</f>
        <v>#REF!</v>
      </c>
      <c r="DO12" s="27" t="e">
        <f>AND(#REF!,"AAAAAH7993Y=")</f>
        <v>#REF!</v>
      </c>
      <c r="DP12" s="27" t="e">
        <f>AND(#REF!,"AAAAAH7993c=")</f>
        <v>#REF!</v>
      </c>
      <c r="DQ12" s="27" t="e">
        <f>AND(#REF!,"AAAAAH7993g=")</f>
        <v>#REF!</v>
      </c>
      <c r="DR12" s="27" t="e">
        <f>AND(#REF!,"AAAAAH7993k=")</f>
        <v>#REF!</v>
      </c>
      <c r="DS12" s="27" t="e">
        <f>AND(#REF!,"AAAAAH7993o=")</f>
        <v>#REF!</v>
      </c>
      <c r="DT12" s="27" t="e">
        <f>AND(#REF!,"AAAAAH7993s=")</f>
        <v>#REF!</v>
      </c>
      <c r="DU12" s="27" t="e">
        <f>AND(#REF!,"AAAAAH7993w=")</f>
        <v>#REF!</v>
      </c>
      <c r="DV12" s="27" t="e">
        <f>AND(#REF!,"AAAAAH79930=")</f>
        <v>#REF!</v>
      </c>
      <c r="DW12" s="27">
        <v>0</v>
      </c>
      <c r="DX12" s="27" t="e">
        <f>AND(#REF!,"AAAAAH79938=")</f>
        <v>#REF!</v>
      </c>
      <c r="DY12" s="27" t="e">
        <f>AND(#REF!,"AAAAAH7994A=")</f>
        <v>#REF!</v>
      </c>
      <c r="DZ12" s="27" t="e">
        <f>AND(#REF!,"AAAAAH7994E=")</f>
        <v>#REF!</v>
      </c>
      <c r="EA12" s="27" t="e">
        <f>AND(#REF!,"AAAAAH7994I=")</f>
        <v>#REF!</v>
      </c>
      <c r="EB12" s="27" t="e">
        <f>AND(#REF!,"AAAAAH7994M=")</f>
        <v>#REF!</v>
      </c>
      <c r="EC12" s="27" t="e">
        <f>AND(#REF!,"AAAAAH7994Q=")</f>
        <v>#REF!</v>
      </c>
      <c r="ED12" s="27" t="e">
        <f>AND(#REF!,"AAAAAH7994U=")</f>
        <v>#REF!</v>
      </c>
      <c r="EE12" s="27" t="e">
        <f>AND(#REF!,"AAAAAH7994Y=")</f>
        <v>#REF!</v>
      </c>
      <c r="EF12" s="27" t="e">
        <f>AND(#REF!,"AAAAAH7994c=")</f>
        <v>#REF!</v>
      </c>
      <c r="EG12" s="27">
        <v>0</v>
      </c>
      <c r="EH12" s="27" t="e">
        <f>AND(#REF!,"AAAAAH7994k=")</f>
        <v>#REF!</v>
      </c>
      <c r="EI12" s="27" t="e">
        <f>AND(#REF!,"AAAAAH7994o=")</f>
        <v>#REF!</v>
      </c>
      <c r="EJ12" s="27" t="e">
        <f>AND(#REF!,"AAAAAH7994s=")</f>
        <v>#REF!</v>
      </c>
      <c r="EK12" s="27" t="e">
        <f>AND(#REF!,"AAAAAH7994w=")</f>
        <v>#REF!</v>
      </c>
      <c r="EL12" s="27" t="e">
        <f>AND(#REF!,"AAAAAH79940=")</f>
        <v>#REF!</v>
      </c>
      <c r="EM12" s="27" t="e">
        <f>AND(#REF!,"AAAAAH79944=")</f>
        <v>#REF!</v>
      </c>
      <c r="EN12" s="27" t="e">
        <f>AND(#REF!,"AAAAAH79948=")</f>
        <v>#REF!</v>
      </c>
      <c r="EO12" s="27" t="e">
        <f>AND(#REF!,"AAAAAH7995A=")</f>
        <v>#REF!</v>
      </c>
      <c r="EP12" s="27" t="e">
        <f>AND(#REF!,"AAAAAH7995E=")</f>
        <v>#REF!</v>
      </c>
      <c r="EQ12" s="27">
        <v>0</v>
      </c>
      <c r="ER12" s="27" t="e">
        <f>AND(#REF!,"AAAAAH7995M=")</f>
        <v>#REF!</v>
      </c>
      <c r="ES12" s="27" t="e">
        <f>AND(#REF!,"AAAAAH7995Q=")</f>
        <v>#REF!</v>
      </c>
      <c r="ET12" s="27" t="e">
        <f>AND(#REF!,"AAAAAH7995U=")</f>
        <v>#REF!</v>
      </c>
      <c r="EU12" s="27" t="e">
        <f>AND(#REF!,"AAAAAH7995Y=")</f>
        <v>#REF!</v>
      </c>
      <c r="EV12" s="27" t="e">
        <f>AND(#REF!,"AAAAAH7995c=")</f>
        <v>#REF!</v>
      </c>
      <c r="EW12" s="27" t="e">
        <f>AND(#REF!,"AAAAAH7995g=")</f>
        <v>#REF!</v>
      </c>
      <c r="EX12" s="27" t="e">
        <f>AND(#REF!,"AAAAAH7995k=")</f>
        <v>#REF!</v>
      </c>
      <c r="EY12" s="27" t="e">
        <f>AND(#REF!,"AAAAAH7995o=")</f>
        <v>#REF!</v>
      </c>
      <c r="EZ12" s="27" t="e">
        <f>AND(#REF!,"AAAAAH7995s=")</f>
        <v>#REF!</v>
      </c>
      <c r="FA12" s="27">
        <v>0</v>
      </c>
      <c r="FB12" s="27" t="e">
        <f>AND(#REF!,"AAAAAH79950=")</f>
        <v>#REF!</v>
      </c>
      <c r="FC12" s="27" t="e">
        <f>AND(#REF!,"AAAAAH79954=")</f>
        <v>#REF!</v>
      </c>
      <c r="FD12" s="27" t="e">
        <f>AND(#REF!,"AAAAAH79958=")</f>
        <v>#REF!</v>
      </c>
      <c r="FE12" s="27" t="e">
        <f>AND(#REF!,"AAAAAH7996A=")</f>
        <v>#REF!</v>
      </c>
      <c r="FF12" s="27" t="e">
        <f>AND(#REF!,"AAAAAH7996E=")</f>
        <v>#REF!</v>
      </c>
      <c r="FG12" s="27" t="e">
        <f>AND(#REF!,"AAAAAH7996I=")</f>
        <v>#REF!</v>
      </c>
      <c r="FH12" s="27" t="e">
        <f>AND(#REF!,"AAAAAH7996M=")</f>
        <v>#REF!</v>
      </c>
      <c r="FI12" s="27" t="e">
        <f>AND(#REF!,"AAAAAH7996Q=")</f>
        <v>#REF!</v>
      </c>
      <c r="FJ12" s="27" t="e">
        <f>AND(#REF!,"AAAAAH7996U=")</f>
        <v>#REF!</v>
      </c>
      <c r="FK12" s="27">
        <v>0</v>
      </c>
      <c r="FL12" s="27" t="e">
        <f>AND(#REF!,"AAAAAH7996c=")</f>
        <v>#REF!</v>
      </c>
      <c r="FM12" s="27" t="e">
        <f>AND(#REF!,"AAAAAH7996g=")</f>
        <v>#REF!</v>
      </c>
      <c r="FN12" s="27" t="e">
        <f>AND(#REF!,"AAAAAH7996k=")</f>
        <v>#REF!</v>
      </c>
      <c r="FO12" s="27" t="e">
        <f>AND(#REF!,"AAAAAH7996o=")</f>
        <v>#REF!</v>
      </c>
      <c r="FP12" s="27" t="e">
        <f>AND(#REF!,"AAAAAH7996s=")</f>
        <v>#REF!</v>
      </c>
      <c r="FQ12" s="27" t="e">
        <f>AND(#REF!,"AAAAAH7996w=")</f>
        <v>#REF!</v>
      </c>
      <c r="FR12" s="27" t="e">
        <f>AND(#REF!,"AAAAAH79960=")</f>
        <v>#REF!</v>
      </c>
      <c r="FS12" s="27" t="e">
        <f>AND(#REF!,"AAAAAH79964=")</f>
        <v>#REF!</v>
      </c>
      <c r="FT12" s="27" t="e">
        <f>AND(#REF!,"AAAAAH79968=")</f>
        <v>#REF!</v>
      </c>
      <c r="FU12" s="27">
        <v>0</v>
      </c>
      <c r="FV12" s="27" t="e">
        <f>AND(#REF!,"AAAAAH7997E=")</f>
        <v>#REF!</v>
      </c>
      <c r="FW12" s="27" t="e">
        <f>AND(#REF!,"AAAAAH7997I=")</f>
        <v>#REF!</v>
      </c>
      <c r="FX12" s="27" t="e">
        <f>AND(#REF!,"AAAAAH7997M=")</f>
        <v>#REF!</v>
      </c>
      <c r="FY12" s="27" t="e">
        <f>AND(#REF!,"AAAAAH7997Q=")</f>
        <v>#REF!</v>
      </c>
      <c r="FZ12" s="27" t="e">
        <f>AND(#REF!,"AAAAAH7997U=")</f>
        <v>#REF!</v>
      </c>
      <c r="GA12" s="27" t="e">
        <f>AND(#REF!,"AAAAAH7997Y=")</f>
        <v>#REF!</v>
      </c>
      <c r="GB12" s="27" t="e">
        <f>AND(#REF!,"AAAAAH7997c=")</f>
        <v>#REF!</v>
      </c>
      <c r="GC12" s="27" t="e">
        <f>AND(#REF!,"AAAAAH7997g=")</f>
        <v>#REF!</v>
      </c>
      <c r="GD12" s="27" t="e">
        <f>AND(#REF!,"AAAAAH7997k=")</f>
        <v>#REF!</v>
      </c>
      <c r="GE12" s="27">
        <v>0</v>
      </c>
      <c r="GF12" s="27" t="e">
        <f>AND(#REF!,"AAAAAH7997s=")</f>
        <v>#REF!</v>
      </c>
      <c r="GG12" s="27" t="e">
        <f>AND(#REF!,"AAAAAH7997w=")</f>
        <v>#REF!</v>
      </c>
      <c r="GH12" s="27" t="e">
        <f>AND(#REF!,"AAAAAH79970=")</f>
        <v>#REF!</v>
      </c>
      <c r="GI12" s="27" t="e">
        <f>AND(#REF!,"AAAAAH79974=")</f>
        <v>#REF!</v>
      </c>
      <c r="GJ12" s="27" t="e">
        <f>AND(#REF!,"AAAAAH79978=")</f>
        <v>#REF!</v>
      </c>
      <c r="GK12" s="27" t="e">
        <f>AND(#REF!,"AAAAAH7998A=")</f>
        <v>#REF!</v>
      </c>
      <c r="GL12" s="27" t="e">
        <f>AND(#REF!,"AAAAAH7998E=")</f>
        <v>#REF!</v>
      </c>
      <c r="GM12" s="27" t="e">
        <f>AND(#REF!,"AAAAAH7998I=")</f>
        <v>#REF!</v>
      </c>
      <c r="GN12" s="27" t="e">
        <f>AND(#REF!,"AAAAAH7998M=")</f>
        <v>#REF!</v>
      </c>
      <c r="GO12" s="27">
        <v>0</v>
      </c>
      <c r="GP12" s="27" t="e">
        <f>AND(#REF!,"AAAAAH7998U=")</f>
        <v>#REF!</v>
      </c>
      <c r="GQ12" s="27" t="e">
        <f>AND(#REF!,"AAAAAH7998Y=")</f>
        <v>#REF!</v>
      </c>
      <c r="GR12" s="27" t="e">
        <f>AND(#REF!,"AAAAAH7998c=")</f>
        <v>#REF!</v>
      </c>
      <c r="GS12" s="27" t="e">
        <f>AND(#REF!,"AAAAAH7998g=")</f>
        <v>#REF!</v>
      </c>
      <c r="GT12" s="27" t="e">
        <f>AND(#REF!,"AAAAAH7998k=")</f>
        <v>#REF!</v>
      </c>
      <c r="GU12" s="27" t="e">
        <f>AND(#REF!,"AAAAAH7998o=")</f>
        <v>#REF!</v>
      </c>
      <c r="GV12" s="27" t="e">
        <f>AND(#REF!,"AAAAAH7998s=")</f>
        <v>#REF!</v>
      </c>
      <c r="GW12" s="27" t="e">
        <f>AND(#REF!,"AAAAAH7998w=")</f>
        <v>#REF!</v>
      </c>
      <c r="GX12" s="27" t="e">
        <f>AND(#REF!,"AAAAAH79980=")</f>
        <v>#REF!</v>
      </c>
      <c r="GY12" s="27">
        <v>0</v>
      </c>
      <c r="GZ12" s="27" t="e">
        <f>AND(#REF!,"AAAAAH79988=")</f>
        <v>#REF!</v>
      </c>
      <c r="HA12" s="27" t="e">
        <f>AND(#REF!,"AAAAAH7999A=")</f>
        <v>#REF!</v>
      </c>
      <c r="HB12" s="27" t="e">
        <f>AND(#REF!,"AAAAAH7999E=")</f>
        <v>#REF!</v>
      </c>
      <c r="HC12" s="27" t="e">
        <f>AND(#REF!,"AAAAAH7999I=")</f>
        <v>#REF!</v>
      </c>
      <c r="HD12" s="27" t="e">
        <f>AND(#REF!,"AAAAAH7999M=")</f>
        <v>#REF!</v>
      </c>
      <c r="HE12" s="27" t="e">
        <f>AND(#REF!,"AAAAAH7999Q=")</f>
        <v>#REF!</v>
      </c>
      <c r="HF12" s="27" t="e">
        <f>AND(#REF!,"AAAAAH7999U=")</f>
        <v>#REF!</v>
      </c>
      <c r="HG12" s="27" t="e">
        <f>AND(#REF!,"AAAAAH7999Y=")</f>
        <v>#REF!</v>
      </c>
      <c r="HH12" s="27" t="e">
        <f>AND(#REF!,"AAAAAH7999c=")</f>
        <v>#REF!</v>
      </c>
      <c r="HI12" s="27">
        <v>0</v>
      </c>
      <c r="HJ12" s="27" t="e">
        <f>AND(#REF!,"AAAAAH7999k=")</f>
        <v>#REF!</v>
      </c>
      <c r="HK12" s="27" t="e">
        <f>AND(#REF!,"AAAAAH7999o=")</f>
        <v>#REF!</v>
      </c>
      <c r="HL12" s="27" t="e">
        <f>AND(#REF!,"AAAAAH7999s=")</f>
        <v>#REF!</v>
      </c>
      <c r="HM12" s="27" t="e">
        <f>AND(#REF!,"AAAAAH7999w=")</f>
        <v>#REF!</v>
      </c>
      <c r="HN12" s="27" t="e">
        <f>AND(#REF!,"AAAAAH79990=")</f>
        <v>#REF!</v>
      </c>
      <c r="HO12" s="27" t="e">
        <f>AND(#REF!,"AAAAAH79994=")</f>
        <v>#REF!</v>
      </c>
      <c r="HP12" s="27" t="e">
        <f>AND(#REF!,"AAAAAH79998=")</f>
        <v>#REF!</v>
      </c>
      <c r="HQ12" s="27" t="e">
        <f>AND(#REF!,"AAAAAH799+A=")</f>
        <v>#REF!</v>
      </c>
      <c r="HR12" s="27" t="e">
        <f>AND(#REF!,"AAAAAH799+E=")</f>
        <v>#REF!</v>
      </c>
      <c r="HS12" s="27">
        <v>0</v>
      </c>
      <c r="HT12" s="27" t="e">
        <f>AND(#REF!,"AAAAAH799+M=")</f>
        <v>#REF!</v>
      </c>
      <c r="HU12" s="27" t="e">
        <f>AND(#REF!,"AAAAAH799+Q=")</f>
        <v>#REF!</v>
      </c>
      <c r="HV12" s="27" t="e">
        <f>AND(#REF!,"AAAAAH799+U=")</f>
        <v>#REF!</v>
      </c>
      <c r="HW12" s="27" t="e">
        <f>AND(#REF!,"AAAAAH799+Y=")</f>
        <v>#REF!</v>
      </c>
      <c r="HX12" s="27" t="e">
        <f>AND(#REF!,"AAAAAH799+c=")</f>
        <v>#REF!</v>
      </c>
      <c r="HY12" s="27" t="e">
        <f>AND(#REF!,"AAAAAH799+g=")</f>
        <v>#REF!</v>
      </c>
      <c r="HZ12" s="27" t="e">
        <f>AND(#REF!,"AAAAAH799+k=")</f>
        <v>#REF!</v>
      </c>
      <c r="IA12" s="27" t="e">
        <f>AND(#REF!,"AAAAAH799+o=")</f>
        <v>#REF!</v>
      </c>
      <c r="IB12" s="27" t="e">
        <f>AND(#REF!,"AAAAAH799+s=")</f>
        <v>#REF!</v>
      </c>
      <c r="IC12" s="27">
        <v>0</v>
      </c>
      <c r="ID12" s="27" t="e">
        <f>AND(#REF!,"AAAAAH799+0=")</f>
        <v>#REF!</v>
      </c>
      <c r="IE12" s="27" t="e">
        <f>AND(#REF!,"AAAAAH799+4=")</f>
        <v>#REF!</v>
      </c>
      <c r="IF12" s="27" t="e">
        <f>AND(#REF!,"AAAAAH799+8=")</f>
        <v>#REF!</v>
      </c>
      <c r="IG12" s="27" t="e">
        <f>AND(#REF!,"AAAAAH799/A=")</f>
        <v>#REF!</v>
      </c>
      <c r="IH12" s="27" t="e">
        <f>AND(#REF!,"AAAAAH799/E=")</f>
        <v>#REF!</v>
      </c>
      <c r="II12" s="27" t="e">
        <f>AND(#REF!,"AAAAAH799/I=")</f>
        <v>#REF!</v>
      </c>
      <c r="IJ12" s="27" t="e">
        <f>AND(#REF!,"AAAAAH799/M=")</f>
        <v>#REF!</v>
      </c>
      <c r="IK12" s="27" t="e">
        <f>AND(#REF!,"AAAAAH799/Q=")</f>
        <v>#REF!</v>
      </c>
      <c r="IL12" s="27" t="e">
        <f>AND(#REF!,"AAAAAH799/U=")</f>
        <v>#REF!</v>
      </c>
      <c r="IM12" s="27">
        <v>0</v>
      </c>
      <c r="IN12" s="27" t="e">
        <f>AND(#REF!,"AAAAAH799/c=")</f>
        <v>#REF!</v>
      </c>
      <c r="IO12" s="27" t="e">
        <f>AND(#REF!,"AAAAAH799/g=")</f>
        <v>#REF!</v>
      </c>
      <c r="IP12" s="27" t="e">
        <f>AND(#REF!,"AAAAAH799/k=")</f>
        <v>#REF!</v>
      </c>
      <c r="IQ12" s="27" t="e">
        <f>AND(#REF!,"AAAAAH799/o=")</f>
        <v>#REF!</v>
      </c>
      <c r="IR12" s="27" t="e">
        <f>AND(#REF!,"AAAAAH799/s=")</f>
        <v>#REF!</v>
      </c>
      <c r="IS12" s="27" t="e">
        <f>AND(#REF!,"AAAAAH799/w=")</f>
        <v>#REF!</v>
      </c>
      <c r="IT12" s="27" t="e">
        <f>AND(#REF!,"AAAAAH799/0=")</f>
        <v>#REF!</v>
      </c>
      <c r="IU12" s="27" t="e">
        <f>AND(#REF!,"AAAAAH799/4=")</f>
        <v>#REF!</v>
      </c>
      <c r="IV12" s="27" t="e">
        <f>AND(#REF!,"AAAAAH799/8=")</f>
        <v>#REF!</v>
      </c>
    </row>
    <row r="13" spans="1:256" ht="12.75" customHeight="1" x14ac:dyDescent="0.2">
      <c r="A13" s="27" t="s">
        <v>100</v>
      </c>
      <c r="B13" s="27" t="e">
        <f>AND(#REF!,"AAAAAHN6zwE=")</f>
        <v>#REF!</v>
      </c>
      <c r="C13" s="27" t="e">
        <f>AND(#REF!,"AAAAAHN6zwI=")</f>
        <v>#REF!</v>
      </c>
      <c r="D13" s="27" t="e">
        <f>AND(#REF!,"AAAAAHN6zwM=")</f>
        <v>#REF!</v>
      </c>
      <c r="E13" s="27" t="e">
        <f>AND(#REF!,"AAAAAHN6zwQ=")</f>
        <v>#REF!</v>
      </c>
      <c r="F13" s="27" t="e">
        <f>AND(#REF!,"AAAAAHN6zwU=")</f>
        <v>#REF!</v>
      </c>
      <c r="G13" s="27" t="e">
        <f>AND(#REF!,"AAAAAHN6zwY=")</f>
        <v>#REF!</v>
      </c>
      <c r="H13" s="27" t="e">
        <f>AND(#REF!,"AAAAAHN6zwc=")</f>
        <v>#REF!</v>
      </c>
      <c r="I13" s="27" t="e">
        <f>AND(#REF!,"AAAAAHN6zwg=")</f>
        <v>#REF!</v>
      </c>
      <c r="J13" s="27" t="e">
        <f>AND(#REF!,"AAAAAHN6zwk=")</f>
        <v>#REF!</v>
      </c>
      <c r="K13" s="27">
        <v>0</v>
      </c>
      <c r="L13" s="27" t="e">
        <f>AND(#REF!,"AAAAAHN6zws=")</f>
        <v>#REF!</v>
      </c>
      <c r="M13" s="27" t="e">
        <f>AND(#REF!,"AAAAAHN6zww=")</f>
        <v>#REF!</v>
      </c>
      <c r="N13" s="27" t="e">
        <f>AND(#REF!,"AAAAAHN6zw0=")</f>
        <v>#REF!</v>
      </c>
      <c r="O13" s="27" t="e">
        <f>AND(#REF!,"AAAAAHN6zw4=")</f>
        <v>#REF!</v>
      </c>
      <c r="P13" s="27" t="e">
        <f>AND(#REF!,"AAAAAHN6zw8=")</f>
        <v>#REF!</v>
      </c>
      <c r="Q13" s="27" t="e">
        <f>AND(#REF!,"AAAAAHN6zxA=")</f>
        <v>#REF!</v>
      </c>
      <c r="R13" s="27" t="e">
        <f>AND(#REF!,"AAAAAHN6zxE=")</f>
        <v>#REF!</v>
      </c>
      <c r="S13" s="27" t="e">
        <f>AND(#REF!,"AAAAAHN6zxI=")</f>
        <v>#REF!</v>
      </c>
      <c r="T13" s="27" t="e">
        <f>AND(#REF!,"AAAAAHN6zxM=")</f>
        <v>#REF!</v>
      </c>
      <c r="U13" s="27">
        <v>0</v>
      </c>
      <c r="V13" s="27" t="e">
        <f>AND(#REF!,"AAAAAHN6zxU=")</f>
        <v>#REF!</v>
      </c>
      <c r="W13" s="27" t="e">
        <f>AND(#REF!,"AAAAAHN6zxY=")</f>
        <v>#REF!</v>
      </c>
      <c r="X13" s="27" t="e">
        <f>AND(#REF!,"AAAAAHN6zxc=")</f>
        <v>#REF!</v>
      </c>
      <c r="Y13" s="27" t="e">
        <f>AND(#REF!,"AAAAAHN6zxg=")</f>
        <v>#REF!</v>
      </c>
      <c r="Z13" s="27" t="e">
        <f>AND(#REF!,"AAAAAHN6zxk=")</f>
        <v>#REF!</v>
      </c>
      <c r="AA13" s="27" t="e">
        <f>AND(#REF!,"AAAAAHN6zxo=")</f>
        <v>#REF!</v>
      </c>
      <c r="AB13" s="27" t="e">
        <f>AND(#REF!,"AAAAAHN6zxs=")</f>
        <v>#REF!</v>
      </c>
      <c r="AC13" s="27" t="e">
        <f>AND(#REF!,"AAAAAHN6zxw=")</f>
        <v>#REF!</v>
      </c>
      <c r="AD13" s="27" t="e">
        <f>AND(#REF!,"AAAAAHN6zx0=")</f>
        <v>#REF!</v>
      </c>
      <c r="AE13" s="27">
        <v>0</v>
      </c>
      <c r="AF13" s="27" t="e">
        <f>AND(#REF!,"AAAAAHN6zx8=")</f>
        <v>#REF!</v>
      </c>
      <c r="AG13" s="27" t="e">
        <f>AND(#REF!,"AAAAAHN6zyA=")</f>
        <v>#REF!</v>
      </c>
      <c r="AH13" s="27" t="e">
        <f>AND(#REF!,"AAAAAHN6zyE=")</f>
        <v>#REF!</v>
      </c>
      <c r="AI13" s="27" t="e">
        <f>AND(#REF!,"AAAAAHN6zyI=")</f>
        <v>#REF!</v>
      </c>
      <c r="AJ13" s="27" t="e">
        <f>AND(#REF!,"AAAAAHN6zyM=")</f>
        <v>#REF!</v>
      </c>
      <c r="AK13" s="27" t="e">
        <f>AND(#REF!,"AAAAAHN6zyQ=")</f>
        <v>#REF!</v>
      </c>
      <c r="AL13" s="27" t="e">
        <f>AND(#REF!,"AAAAAHN6zyU=")</f>
        <v>#REF!</v>
      </c>
      <c r="AM13" s="27" t="e">
        <f>AND(#REF!,"AAAAAHN6zyY=")</f>
        <v>#REF!</v>
      </c>
      <c r="AN13" s="27" t="e">
        <f>AND(#REF!,"AAAAAHN6zyc=")</f>
        <v>#REF!</v>
      </c>
      <c r="AO13" s="27">
        <v>0</v>
      </c>
      <c r="AP13" s="27" t="e">
        <f>AND(#REF!,"AAAAAHN6zyk=")</f>
        <v>#REF!</v>
      </c>
      <c r="AQ13" s="27" t="e">
        <f>AND(#REF!,"AAAAAHN6zyo=")</f>
        <v>#REF!</v>
      </c>
      <c r="AR13" s="27" t="e">
        <f>AND(#REF!,"AAAAAHN6zys=")</f>
        <v>#REF!</v>
      </c>
      <c r="AS13" s="27" t="e">
        <f>AND(#REF!,"AAAAAHN6zyw=")</f>
        <v>#REF!</v>
      </c>
      <c r="AT13" s="27" t="e">
        <f>AND(#REF!,"AAAAAHN6zy0=")</f>
        <v>#REF!</v>
      </c>
      <c r="AU13" s="27" t="e">
        <f>AND(#REF!,"AAAAAHN6zy4=")</f>
        <v>#REF!</v>
      </c>
      <c r="AV13" s="27" t="e">
        <f>AND(#REF!,"AAAAAHN6zy8=")</f>
        <v>#REF!</v>
      </c>
      <c r="AW13" s="27" t="e">
        <f>AND(#REF!,"AAAAAHN6zzA=")</f>
        <v>#REF!</v>
      </c>
      <c r="AX13" s="27" t="e">
        <f>AND(#REF!,"AAAAAHN6zzE=")</f>
        <v>#REF!</v>
      </c>
      <c r="AY13" s="27">
        <v>0</v>
      </c>
      <c r="AZ13" s="27" t="e">
        <f>AND(#REF!,"AAAAAHN6zzM=")</f>
        <v>#REF!</v>
      </c>
      <c r="BA13" s="27" t="e">
        <f>AND(#REF!,"AAAAAHN6zzQ=")</f>
        <v>#REF!</v>
      </c>
      <c r="BB13" s="27" t="e">
        <f>AND(#REF!,"AAAAAHN6zzU=")</f>
        <v>#REF!</v>
      </c>
      <c r="BC13" s="27" t="e">
        <f>AND(#REF!,"AAAAAHN6zzY=")</f>
        <v>#REF!</v>
      </c>
      <c r="BD13" s="27" t="e">
        <f>AND(#REF!,"AAAAAHN6zzc=")</f>
        <v>#REF!</v>
      </c>
      <c r="BE13" s="27" t="e">
        <f>AND(#REF!,"AAAAAHN6zzg=")</f>
        <v>#REF!</v>
      </c>
      <c r="BF13" s="27" t="e">
        <f>AND(#REF!,"AAAAAHN6zzk=")</f>
        <v>#REF!</v>
      </c>
      <c r="BG13" s="27" t="e">
        <f>AND(#REF!,"AAAAAHN6zzo=")</f>
        <v>#REF!</v>
      </c>
      <c r="BH13" s="27" t="e">
        <f>AND(#REF!,"AAAAAHN6zzs=")</f>
        <v>#REF!</v>
      </c>
      <c r="BI13" s="27">
        <v>0</v>
      </c>
      <c r="BJ13" s="27" t="e">
        <f>AND(#REF!,"AAAAAHN6zz0=")</f>
        <v>#REF!</v>
      </c>
      <c r="BK13" s="27" t="e">
        <f>AND(#REF!,"AAAAAHN6zz4=")</f>
        <v>#REF!</v>
      </c>
      <c r="BL13" s="27" t="e">
        <f>AND(#REF!,"AAAAAHN6zz8=")</f>
        <v>#REF!</v>
      </c>
      <c r="BM13" s="27" t="e">
        <f>AND(#REF!,"AAAAAHN6z0A=")</f>
        <v>#REF!</v>
      </c>
      <c r="BN13" s="27" t="e">
        <f>AND(#REF!,"AAAAAHN6z0E=")</f>
        <v>#REF!</v>
      </c>
      <c r="BO13" s="27" t="e">
        <f>AND(#REF!,"AAAAAHN6z0I=")</f>
        <v>#REF!</v>
      </c>
      <c r="BP13" s="27" t="e">
        <f>AND(#REF!,"AAAAAHN6z0M=")</f>
        <v>#REF!</v>
      </c>
      <c r="BQ13" s="27" t="e">
        <f>AND(#REF!,"AAAAAHN6z0Q=")</f>
        <v>#REF!</v>
      </c>
      <c r="BR13" s="27" t="e">
        <f>AND(#REF!,"AAAAAHN6z0U=")</f>
        <v>#REF!</v>
      </c>
      <c r="BS13" s="27">
        <v>0</v>
      </c>
      <c r="BT13" s="27" t="e">
        <f>AND(#REF!,"AAAAAHN6z0c=")</f>
        <v>#REF!</v>
      </c>
      <c r="BU13" s="27" t="e">
        <f>AND(#REF!,"AAAAAHN6z0g=")</f>
        <v>#REF!</v>
      </c>
      <c r="BV13" s="27" t="e">
        <f>AND(#REF!,"AAAAAHN6z0k=")</f>
        <v>#REF!</v>
      </c>
      <c r="BW13" s="27" t="e">
        <f>AND(#REF!,"AAAAAHN6z0o=")</f>
        <v>#REF!</v>
      </c>
      <c r="BX13" s="27" t="e">
        <f>AND(#REF!,"AAAAAHN6z0s=")</f>
        <v>#REF!</v>
      </c>
      <c r="BY13" s="27" t="e">
        <f>AND(#REF!,"AAAAAHN6z0w=")</f>
        <v>#REF!</v>
      </c>
      <c r="BZ13" s="27" t="e">
        <f>AND(#REF!,"AAAAAHN6z00=")</f>
        <v>#REF!</v>
      </c>
      <c r="CA13" s="27" t="e">
        <f>AND(#REF!,"AAAAAHN6z04=")</f>
        <v>#REF!</v>
      </c>
      <c r="CB13" s="27" t="e">
        <f>AND(#REF!,"AAAAAHN6z08=")</f>
        <v>#REF!</v>
      </c>
      <c r="CC13" s="27">
        <v>0</v>
      </c>
      <c r="CD13" s="27" t="e">
        <f>AND(#REF!,"AAAAAHN6z1E=")</f>
        <v>#REF!</v>
      </c>
      <c r="CE13" s="27" t="e">
        <f>AND(#REF!,"AAAAAHN6z1I=")</f>
        <v>#REF!</v>
      </c>
      <c r="CF13" s="27" t="e">
        <f>AND(#REF!,"AAAAAHN6z1M=")</f>
        <v>#REF!</v>
      </c>
      <c r="CG13" s="27" t="e">
        <f>AND(#REF!,"AAAAAHN6z1Q=")</f>
        <v>#REF!</v>
      </c>
      <c r="CH13" s="27" t="e">
        <f>AND(#REF!,"AAAAAHN6z1U=")</f>
        <v>#REF!</v>
      </c>
      <c r="CI13" s="27" t="e">
        <f>AND(#REF!,"AAAAAHN6z1Y=")</f>
        <v>#REF!</v>
      </c>
      <c r="CJ13" s="27" t="e">
        <f>AND(#REF!,"AAAAAHN6z1c=")</f>
        <v>#REF!</v>
      </c>
      <c r="CK13" s="27" t="e">
        <f>AND(#REF!,"AAAAAHN6z1g=")</f>
        <v>#REF!</v>
      </c>
      <c r="CL13" s="27" t="e">
        <f>AND(#REF!,"AAAAAHN6z1k=")</f>
        <v>#REF!</v>
      </c>
      <c r="CM13" s="27">
        <v>0</v>
      </c>
      <c r="CN13" s="27" t="e">
        <f>AND(#REF!,"AAAAAHN6z1s=")</f>
        <v>#REF!</v>
      </c>
      <c r="CO13" s="27" t="e">
        <f>AND(#REF!,"AAAAAHN6z1w=")</f>
        <v>#REF!</v>
      </c>
      <c r="CP13" s="27" t="e">
        <f>AND(#REF!,"AAAAAHN6z10=")</f>
        <v>#REF!</v>
      </c>
      <c r="CQ13" s="27" t="e">
        <f>AND(#REF!,"AAAAAHN6z14=")</f>
        <v>#REF!</v>
      </c>
      <c r="CR13" s="27" t="e">
        <f>AND(#REF!,"AAAAAHN6z18=")</f>
        <v>#REF!</v>
      </c>
      <c r="CS13" s="27" t="e">
        <f>AND(#REF!,"AAAAAHN6z2A=")</f>
        <v>#REF!</v>
      </c>
      <c r="CT13" s="27" t="e">
        <f>AND(#REF!,"AAAAAHN6z2E=")</f>
        <v>#REF!</v>
      </c>
      <c r="CU13" s="27" t="e">
        <f>AND(#REF!,"AAAAAHN6z2I=")</f>
        <v>#REF!</v>
      </c>
      <c r="CV13" s="27" t="e">
        <f>AND(#REF!,"AAAAAHN6z2M=")</f>
        <v>#REF!</v>
      </c>
      <c r="CW13" s="27">
        <v>0</v>
      </c>
      <c r="CX13" s="27" t="e">
        <f>AND(#REF!,"AAAAAHN6z2U=")</f>
        <v>#REF!</v>
      </c>
      <c r="CY13" s="27" t="e">
        <f>AND(#REF!,"AAAAAHN6z2Y=")</f>
        <v>#REF!</v>
      </c>
      <c r="CZ13" s="27" t="e">
        <f>AND(#REF!,"AAAAAHN6z2c=")</f>
        <v>#REF!</v>
      </c>
      <c r="DA13" s="27" t="e">
        <f>AND(#REF!,"AAAAAHN6z2g=")</f>
        <v>#REF!</v>
      </c>
      <c r="DB13" s="27" t="e">
        <f>AND(#REF!,"AAAAAHN6z2k=")</f>
        <v>#REF!</v>
      </c>
      <c r="DC13" s="27" t="e">
        <f>AND(#REF!,"AAAAAHN6z2o=")</f>
        <v>#REF!</v>
      </c>
      <c r="DD13" s="27" t="e">
        <f>AND(#REF!,"AAAAAHN6z2s=")</f>
        <v>#REF!</v>
      </c>
      <c r="DE13" s="27" t="e">
        <f>AND(#REF!,"AAAAAHN6z2w=")</f>
        <v>#REF!</v>
      </c>
      <c r="DF13" s="27" t="e">
        <f>AND(#REF!,"AAAAAHN6z20=")</f>
        <v>#REF!</v>
      </c>
      <c r="DG13" s="27">
        <v>0</v>
      </c>
      <c r="DH13" s="27" t="e">
        <f>AND(#REF!,"AAAAAHN6z28=")</f>
        <v>#REF!</v>
      </c>
      <c r="DI13" s="27" t="e">
        <f>AND(#REF!,"AAAAAHN6z3A=")</f>
        <v>#REF!</v>
      </c>
      <c r="DJ13" s="27" t="e">
        <f>AND(#REF!,"AAAAAHN6z3E=")</f>
        <v>#REF!</v>
      </c>
      <c r="DK13" s="27" t="e">
        <f>AND(#REF!,"AAAAAHN6z3I=")</f>
        <v>#REF!</v>
      </c>
      <c r="DL13" s="27" t="e">
        <f>AND(#REF!,"AAAAAHN6z3M=")</f>
        <v>#REF!</v>
      </c>
      <c r="DM13" s="27" t="e">
        <f>AND(#REF!,"AAAAAHN6z3Q=")</f>
        <v>#REF!</v>
      </c>
      <c r="DN13" s="27" t="e">
        <f>AND(#REF!,"AAAAAHN6z3U=")</f>
        <v>#REF!</v>
      </c>
      <c r="DO13" s="27" t="e">
        <f>AND(#REF!,"AAAAAHN6z3Y=")</f>
        <v>#REF!</v>
      </c>
      <c r="DP13" s="27" t="e">
        <f>AND(#REF!,"AAAAAHN6z3c=")</f>
        <v>#REF!</v>
      </c>
      <c r="DQ13" s="27">
        <v>0</v>
      </c>
      <c r="DR13" s="27" t="e">
        <f>AND(#REF!,"AAAAAHN6z3k=")</f>
        <v>#REF!</v>
      </c>
      <c r="DS13" s="27" t="e">
        <f>AND(#REF!,"AAAAAHN6z3o=")</f>
        <v>#REF!</v>
      </c>
      <c r="DT13" s="27" t="e">
        <f>AND(#REF!,"AAAAAHN6z3s=")</f>
        <v>#REF!</v>
      </c>
      <c r="DU13" s="27" t="e">
        <f>AND(#REF!,"AAAAAHN6z3w=")</f>
        <v>#REF!</v>
      </c>
      <c r="DV13" s="27" t="e">
        <f>AND(#REF!,"AAAAAHN6z30=")</f>
        <v>#REF!</v>
      </c>
      <c r="DW13" s="27" t="e">
        <f>AND(#REF!,"AAAAAHN6z34=")</f>
        <v>#REF!</v>
      </c>
      <c r="DX13" s="27" t="e">
        <f>AND(#REF!,"AAAAAHN6z38=")</f>
        <v>#REF!</v>
      </c>
      <c r="DY13" s="27" t="e">
        <f>AND(#REF!,"AAAAAHN6z4A=")</f>
        <v>#REF!</v>
      </c>
      <c r="DZ13" s="27" t="e">
        <f>AND(#REF!,"AAAAAHN6z4E=")</f>
        <v>#REF!</v>
      </c>
      <c r="EA13" s="27">
        <v>0</v>
      </c>
      <c r="EB13" s="27" t="e">
        <f>AND(#REF!,"AAAAAHN6z4M=")</f>
        <v>#REF!</v>
      </c>
      <c r="EC13" s="27" t="e">
        <f>AND(#REF!,"AAAAAHN6z4Q=")</f>
        <v>#REF!</v>
      </c>
      <c r="ED13" s="27" t="e">
        <f>AND(#REF!,"AAAAAHN6z4U=")</f>
        <v>#REF!</v>
      </c>
      <c r="EE13" s="27" t="e">
        <f>AND(#REF!,"AAAAAHN6z4Y=")</f>
        <v>#REF!</v>
      </c>
      <c r="EF13" s="27" t="e">
        <f>AND(#REF!,"AAAAAHN6z4c=")</f>
        <v>#REF!</v>
      </c>
      <c r="EG13" s="27" t="e">
        <f>AND(#REF!,"AAAAAHN6z4g=")</f>
        <v>#REF!</v>
      </c>
      <c r="EH13" s="27" t="e">
        <f>AND(#REF!,"AAAAAHN6z4k=")</f>
        <v>#REF!</v>
      </c>
      <c r="EI13" s="27" t="e">
        <f>AND(#REF!,"AAAAAHN6z4o=")</f>
        <v>#REF!</v>
      </c>
      <c r="EJ13" s="27" t="e">
        <f>AND(#REF!,"AAAAAHN6z4s=")</f>
        <v>#REF!</v>
      </c>
      <c r="EK13" s="27">
        <v>0</v>
      </c>
      <c r="EL13" s="27" t="e">
        <f>AND(#REF!,"AAAAAHN6z40=")</f>
        <v>#REF!</v>
      </c>
      <c r="EM13" s="27" t="e">
        <f>AND(#REF!,"AAAAAHN6z44=")</f>
        <v>#REF!</v>
      </c>
      <c r="EN13" s="27" t="e">
        <f>AND(#REF!,"AAAAAHN6z48=")</f>
        <v>#REF!</v>
      </c>
      <c r="EO13" s="27" t="e">
        <f>AND(#REF!,"AAAAAHN6z5A=")</f>
        <v>#REF!</v>
      </c>
      <c r="EP13" s="27" t="e">
        <f>AND(#REF!,"AAAAAHN6z5E=")</f>
        <v>#REF!</v>
      </c>
      <c r="EQ13" s="27" t="e">
        <f>AND(#REF!,"AAAAAHN6z5I=")</f>
        <v>#REF!</v>
      </c>
      <c r="ER13" s="27" t="e">
        <f>AND(#REF!,"AAAAAHN6z5M=")</f>
        <v>#REF!</v>
      </c>
      <c r="ES13" s="27" t="e">
        <f>AND(#REF!,"AAAAAHN6z5Q=")</f>
        <v>#REF!</v>
      </c>
      <c r="ET13" s="27" t="e">
        <f>AND(#REF!,"AAAAAHN6z5U=")</f>
        <v>#REF!</v>
      </c>
      <c r="EU13" s="27">
        <v>0</v>
      </c>
      <c r="EV13" s="27" t="e">
        <f>AND(#REF!,"AAAAAHN6z5c=")</f>
        <v>#REF!</v>
      </c>
      <c r="EW13" s="27" t="e">
        <f>AND(#REF!,"AAAAAHN6z5g=")</f>
        <v>#REF!</v>
      </c>
      <c r="EX13" s="27" t="e">
        <f>AND(#REF!,"AAAAAHN6z5k=")</f>
        <v>#REF!</v>
      </c>
      <c r="EY13" s="27" t="e">
        <f>AND(#REF!,"AAAAAHN6z5o=")</f>
        <v>#REF!</v>
      </c>
      <c r="EZ13" s="27" t="e">
        <f>AND(#REF!,"AAAAAHN6z5s=")</f>
        <v>#REF!</v>
      </c>
      <c r="FA13" s="27" t="e">
        <f>AND(#REF!,"AAAAAHN6z5w=")</f>
        <v>#REF!</v>
      </c>
      <c r="FB13" s="27" t="e">
        <f>AND(#REF!,"AAAAAHN6z50=")</f>
        <v>#REF!</v>
      </c>
      <c r="FC13" s="27" t="e">
        <f>AND(#REF!,"AAAAAHN6z54=")</f>
        <v>#REF!</v>
      </c>
      <c r="FD13" s="27" t="e">
        <f>AND(#REF!,"AAAAAHN6z58=")</f>
        <v>#REF!</v>
      </c>
      <c r="FE13" s="27">
        <v>0</v>
      </c>
      <c r="FF13" s="27" t="e">
        <f>AND(#REF!,"AAAAAHN6z6E=")</f>
        <v>#REF!</v>
      </c>
      <c r="FG13" s="27" t="e">
        <f>AND(#REF!,"AAAAAHN6z6I=")</f>
        <v>#REF!</v>
      </c>
      <c r="FH13" s="27" t="e">
        <f>AND(#REF!,"AAAAAHN6z6M=")</f>
        <v>#REF!</v>
      </c>
      <c r="FI13" s="27" t="e">
        <f>AND(#REF!,"AAAAAHN6z6Q=")</f>
        <v>#REF!</v>
      </c>
      <c r="FJ13" s="27" t="e">
        <f>AND(#REF!,"AAAAAHN6z6U=")</f>
        <v>#REF!</v>
      </c>
      <c r="FK13" s="27" t="e">
        <f>AND(#REF!,"AAAAAHN6z6Y=")</f>
        <v>#REF!</v>
      </c>
      <c r="FL13" s="27" t="e">
        <f>AND(#REF!,"AAAAAHN6z6c=")</f>
        <v>#REF!</v>
      </c>
      <c r="FM13" s="27" t="e">
        <f>AND(#REF!,"AAAAAHN6z6g=")</f>
        <v>#REF!</v>
      </c>
      <c r="FN13" s="27" t="e">
        <f>AND(#REF!,"AAAAAHN6z6k=")</f>
        <v>#REF!</v>
      </c>
      <c r="FO13" s="27">
        <v>0</v>
      </c>
      <c r="FP13" s="27" t="e">
        <f>AND(#REF!,"AAAAAHN6z6s=")</f>
        <v>#REF!</v>
      </c>
      <c r="FQ13" s="27" t="e">
        <f>AND(#REF!,"AAAAAHN6z6w=")</f>
        <v>#REF!</v>
      </c>
      <c r="FR13" s="27" t="e">
        <f>AND(#REF!,"AAAAAHN6z60=")</f>
        <v>#REF!</v>
      </c>
      <c r="FS13" s="27" t="e">
        <f>AND(#REF!,"AAAAAHN6z64=")</f>
        <v>#REF!</v>
      </c>
      <c r="FT13" s="27" t="e">
        <f>AND(#REF!,"AAAAAHN6z68=")</f>
        <v>#REF!</v>
      </c>
      <c r="FU13" s="27" t="e">
        <f>AND(#REF!,"AAAAAHN6z7A=")</f>
        <v>#REF!</v>
      </c>
      <c r="FV13" s="27" t="e">
        <f>AND(#REF!,"AAAAAHN6z7E=")</f>
        <v>#REF!</v>
      </c>
      <c r="FW13" s="27" t="e">
        <f>AND(#REF!,"AAAAAHN6z7I=")</f>
        <v>#REF!</v>
      </c>
      <c r="FX13" s="27" t="e">
        <f>AND(#REF!,"AAAAAHN6z7M=")</f>
        <v>#REF!</v>
      </c>
      <c r="FY13" s="27">
        <v>0</v>
      </c>
      <c r="FZ13" s="27" t="e">
        <f>AND(#REF!,"AAAAAHN6z7U=")</f>
        <v>#REF!</v>
      </c>
      <c r="GA13" s="27" t="e">
        <f>AND(#REF!,"AAAAAHN6z7Y=")</f>
        <v>#REF!</v>
      </c>
      <c r="GB13" s="27" t="e">
        <f>AND(#REF!,"AAAAAHN6z7c=")</f>
        <v>#REF!</v>
      </c>
      <c r="GC13" s="27" t="e">
        <f>AND(#REF!,"AAAAAHN6z7g=")</f>
        <v>#REF!</v>
      </c>
      <c r="GD13" s="27" t="e">
        <f>AND(#REF!,"AAAAAHN6z7k=")</f>
        <v>#REF!</v>
      </c>
      <c r="GE13" s="27" t="e">
        <f>AND(#REF!,"AAAAAHN6z7o=")</f>
        <v>#REF!</v>
      </c>
      <c r="GF13" s="27" t="e">
        <f>AND(#REF!,"AAAAAHN6z7s=")</f>
        <v>#REF!</v>
      </c>
      <c r="GG13" s="27" t="e">
        <f>AND(#REF!,"AAAAAHN6z7w=")</f>
        <v>#REF!</v>
      </c>
      <c r="GH13" s="27" t="e">
        <f>AND(#REF!,"AAAAAHN6z70=")</f>
        <v>#REF!</v>
      </c>
      <c r="GI13" s="27">
        <v>0</v>
      </c>
      <c r="GJ13" s="27" t="e">
        <f>AND(#REF!,"AAAAAHN6z78=")</f>
        <v>#REF!</v>
      </c>
      <c r="GK13" s="27" t="e">
        <f>AND(#REF!,"AAAAAHN6z8A=")</f>
        <v>#REF!</v>
      </c>
      <c r="GL13" s="27" t="e">
        <f>AND(#REF!,"AAAAAHN6z8E=")</f>
        <v>#REF!</v>
      </c>
      <c r="GM13" s="27" t="e">
        <f>AND(#REF!,"AAAAAHN6z8I=")</f>
        <v>#REF!</v>
      </c>
      <c r="GN13" s="27" t="e">
        <f>AND(#REF!,"AAAAAHN6z8M=")</f>
        <v>#REF!</v>
      </c>
      <c r="GO13" s="27" t="e">
        <f>AND(#REF!,"AAAAAHN6z8Q=")</f>
        <v>#REF!</v>
      </c>
      <c r="GP13" s="27" t="e">
        <f>AND(#REF!,"AAAAAHN6z8U=")</f>
        <v>#REF!</v>
      </c>
      <c r="GQ13" s="27" t="e">
        <f>AND(#REF!,"AAAAAHN6z8Y=")</f>
        <v>#REF!</v>
      </c>
      <c r="GR13" s="27" t="e">
        <f>AND(#REF!,"AAAAAHN6z8c=")</f>
        <v>#REF!</v>
      </c>
      <c r="GS13" s="27">
        <v>0</v>
      </c>
      <c r="GT13" s="27" t="e">
        <f>AND(#REF!,"AAAAAHN6z8k=")</f>
        <v>#REF!</v>
      </c>
      <c r="GU13" s="27" t="e">
        <f>AND(#REF!,"AAAAAHN6z8o=")</f>
        <v>#REF!</v>
      </c>
      <c r="GV13" s="27" t="e">
        <f>AND(#REF!,"AAAAAHN6z8s=")</f>
        <v>#REF!</v>
      </c>
      <c r="GW13" s="27" t="e">
        <f>AND(#REF!,"AAAAAHN6z8w=")</f>
        <v>#REF!</v>
      </c>
      <c r="GX13" s="27" t="e">
        <f>AND(#REF!,"AAAAAHN6z80=")</f>
        <v>#REF!</v>
      </c>
      <c r="GY13" s="27" t="e">
        <f>AND(#REF!,"AAAAAHN6z84=")</f>
        <v>#REF!</v>
      </c>
      <c r="GZ13" s="27" t="e">
        <f>AND(#REF!,"AAAAAHN6z88=")</f>
        <v>#REF!</v>
      </c>
      <c r="HA13" s="27" t="e">
        <f>AND(#REF!,"AAAAAHN6z9A=")</f>
        <v>#REF!</v>
      </c>
      <c r="HB13" s="27" t="e">
        <f>AND(#REF!,"AAAAAHN6z9E=")</f>
        <v>#REF!</v>
      </c>
      <c r="HC13" s="27">
        <v>0</v>
      </c>
      <c r="HD13" s="27" t="e">
        <f>AND(#REF!,"AAAAAHN6z9M=")</f>
        <v>#REF!</v>
      </c>
      <c r="HE13" s="27" t="e">
        <f>AND(#REF!,"AAAAAHN6z9Q=")</f>
        <v>#REF!</v>
      </c>
      <c r="HF13" s="27" t="e">
        <f>AND(#REF!,"AAAAAHN6z9U=")</f>
        <v>#REF!</v>
      </c>
      <c r="HG13" s="27" t="e">
        <f>AND(#REF!,"AAAAAHN6z9Y=")</f>
        <v>#REF!</v>
      </c>
      <c r="HH13" s="27" t="e">
        <f>AND(#REF!,"AAAAAHN6z9c=")</f>
        <v>#REF!</v>
      </c>
      <c r="HI13" s="27" t="e">
        <f>AND(#REF!,"AAAAAHN6z9g=")</f>
        <v>#REF!</v>
      </c>
      <c r="HJ13" s="27" t="e">
        <f>AND(#REF!,"AAAAAHN6z9k=")</f>
        <v>#REF!</v>
      </c>
      <c r="HK13" s="27" t="e">
        <f>AND(#REF!,"AAAAAHN6z9o=")</f>
        <v>#REF!</v>
      </c>
      <c r="HL13" s="27" t="e">
        <f>AND(#REF!,"AAAAAHN6z9s=")</f>
        <v>#REF!</v>
      </c>
      <c r="HM13" s="27">
        <v>0</v>
      </c>
      <c r="HN13" s="27" t="e">
        <f>AND(#REF!,"AAAAAHN6z90=")</f>
        <v>#REF!</v>
      </c>
      <c r="HO13" s="27" t="e">
        <f>AND(#REF!,"AAAAAHN6z94=")</f>
        <v>#REF!</v>
      </c>
      <c r="HP13" s="27" t="e">
        <f>AND(#REF!,"AAAAAHN6z98=")</f>
        <v>#REF!</v>
      </c>
      <c r="HQ13" s="27" t="e">
        <f>AND(#REF!,"AAAAAHN6z+A=")</f>
        <v>#REF!</v>
      </c>
      <c r="HR13" s="27" t="e">
        <f>AND(#REF!,"AAAAAHN6z+E=")</f>
        <v>#REF!</v>
      </c>
      <c r="HS13" s="27" t="e">
        <f>AND(#REF!,"AAAAAHN6z+I=")</f>
        <v>#REF!</v>
      </c>
      <c r="HT13" s="27" t="e">
        <f>AND(#REF!,"AAAAAHN6z+M=")</f>
        <v>#REF!</v>
      </c>
      <c r="HU13" s="27" t="e">
        <f>AND(#REF!,"AAAAAHN6z+Q=")</f>
        <v>#REF!</v>
      </c>
      <c r="HV13" s="27" t="e">
        <f>AND(#REF!,"AAAAAHN6z+U=")</f>
        <v>#REF!</v>
      </c>
      <c r="HW13" s="27">
        <v>0</v>
      </c>
      <c r="HX13" s="27" t="e">
        <f>AND(#REF!,"AAAAAHN6z+c=")</f>
        <v>#REF!</v>
      </c>
      <c r="HY13" s="27" t="e">
        <f>AND(#REF!,"AAAAAHN6z+g=")</f>
        <v>#REF!</v>
      </c>
      <c r="HZ13" s="27" t="e">
        <f>AND(#REF!,"AAAAAHN6z+k=")</f>
        <v>#REF!</v>
      </c>
      <c r="IA13" s="27" t="e">
        <f>AND(#REF!,"AAAAAHN6z+o=")</f>
        <v>#REF!</v>
      </c>
      <c r="IB13" s="27" t="e">
        <f>AND(#REF!,"AAAAAHN6z+s=")</f>
        <v>#REF!</v>
      </c>
      <c r="IC13" s="27" t="e">
        <f>AND(#REF!,"AAAAAHN6z+w=")</f>
        <v>#REF!</v>
      </c>
      <c r="ID13" s="27" t="e">
        <f>AND(#REF!,"AAAAAHN6z+0=")</f>
        <v>#REF!</v>
      </c>
      <c r="IE13" s="27" t="e">
        <f>AND(#REF!,"AAAAAHN6z+4=")</f>
        <v>#REF!</v>
      </c>
      <c r="IF13" s="27" t="e">
        <f>AND(#REF!,"AAAAAHN6z+8=")</f>
        <v>#REF!</v>
      </c>
      <c r="IG13" s="27">
        <v>0</v>
      </c>
      <c r="IH13" s="27" t="e">
        <f>AND(#REF!,"AAAAAHN6z/E=")</f>
        <v>#REF!</v>
      </c>
      <c r="II13" s="27" t="e">
        <f>AND(#REF!,"AAAAAHN6z/I=")</f>
        <v>#REF!</v>
      </c>
      <c r="IJ13" s="27" t="e">
        <f>AND(#REF!,"AAAAAHN6z/M=")</f>
        <v>#REF!</v>
      </c>
      <c r="IK13" s="27" t="e">
        <f>AND(#REF!,"AAAAAHN6z/Q=")</f>
        <v>#REF!</v>
      </c>
      <c r="IL13" s="27" t="e">
        <f>AND(#REF!,"AAAAAHN6z/U=")</f>
        <v>#REF!</v>
      </c>
      <c r="IM13" s="27" t="e">
        <f>AND(#REF!,"AAAAAHN6z/Y=")</f>
        <v>#REF!</v>
      </c>
      <c r="IN13" s="27" t="e">
        <f>AND(#REF!,"AAAAAHN6z/c=")</f>
        <v>#REF!</v>
      </c>
      <c r="IO13" s="27" t="e">
        <f>AND(#REF!,"AAAAAHN6z/g=")</f>
        <v>#REF!</v>
      </c>
      <c r="IP13" s="27" t="e">
        <f>AND(#REF!,"AAAAAHN6z/k=")</f>
        <v>#REF!</v>
      </c>
      <c r="IQ13" s="27">
        <v>0</v>
      </c>
      <c r="IR13" s="27" t="e">
        <f>AND(#REF!,"AAAAAHN6z/s=")</f>
        <v>#REF!</v>
      </c>
      <c r="IS13" s="27" t="e">
        <f>AND(#REF!,"AAAAAHN6z/w=")</f>
        <v>#REF!</v>
      </c>
      <c r="IT13" s="27" t="e">
        <f>AND(#REF!,"AAAAAHN6z/0=")</f>
        <v>#REF!</v>
      </c>
      <c r="IU13" s="27" t="e">
        <f>AND(#REF!,"AAAAAHN6z/4=")</f>
        <v>#REF!</v>
      </c>
      <c r="IV13" s="27" t="e">
        <f>AND(#REF!,"AAAAAHN6z/8=")</f>
        <v>#REF!</v>
      </c>
    </row>
    <row r="14" spans="1:256" ht="12.75" customHeight="1" x14ac:dyDescent="0.2">
      <c r="A14" s="27" t="e">
        <f>AND(#REF!,"AAAAAFr/bQA=")</f>
        <v>#REF!</v>
      </c>
      <c r="B14" s="27" t="e">
        <f>AND(#REF!,"AAAAAFr/bQE=")</f>
        <v>#REF!</v>
      </c>
      <c r="C14" s="27" t="e">
        <f>AND(#REF!,"AAAAAFr/bQI=")</f>
        <v>#REF!</v>
      </c>
      <c r="D14" s="27" t="e">
        <f>AND(#REF!,"AAAAAFr/bQM=")</f>
        <v>#REF!</v>
      </c>
      <c r="E14" s="27">
        <v>0</v>
      </c>
      <c r="F14" s="27" t="e">
        <f>AND(#REF!,"AAAAAFr/bQU=")</f>
        <v>#REF!</v>
      </c>
      <c r="G14" s="27" t="e">
        <f>AND(#REF!,"AAAAAFr/bQY=")</f>
        <v>#REF!</v>
      </c>
      <c r="H14" s="27" t="e">
        <f>AND(#REF!,"AAAAAFr/bQc=")</f>
        <v>#REF!</v>
      </c>
      <c r="I14" s="27" t="e">
        <f>AND(#REF!,"AAAAAFr/bQg=")</f>
        <v>#REF!</v>
      </c>
      <c r="J14" s="27" t="e">
        <f>AND(#REF!,"AAAAAFr/bQk=")</f>
        <v>#REF!</v>
      </c>
      <c r="K14" s="27" t="e">
        <f>AND(#REF!,"AAAAAFr/bQo=")</f>
        <v>#REF!</v>
      </c>
      <c r="L14" s="27" t="e">
        <f>AND(#REF!,"AAAAAFr/bQs=")</f>
        <v>#REF!</v>
      </c>
      <c r="M14" s="27" t="e">
        <f>AND(#REF!,"AAAAAFr/bQw=")</f>
        <v>#REF!</v>
      </c>
      <c r="N14" s="27" t="e">
        <f>AND(#REF!,"AAAAAFr/bQ0=")</f>
        <v>#REF!</v>
      </c>
      <c r="O14" s="27">
        <v>0</v>
      </c>
      <c r="P14" s="27" t="e">
        <f>AND(#REF!,"AAAAAFr/bQ8=")</f>
        <v>#REF!</v>
      </c>
      <c r="Q14" s="27" t="e">
        <f>AND(#REF!,"AAAAAFr/bRA=")</f>
        <v>#REF!</v>
      </c>
      <c r="R14" s="27" t="e">
        <f>AND(#REF!,"AAAAAFr/bRE=")</f>
        <v>#REF!</v>
      </c>
      <c r="S14" s="27" t="e">
        <f>AND(#REF!,"AAAAAFr/bRI=")</f>
        <v>#REF!</v>
      </c>
      <c r="T14" s="27" t="e">
        <f>AND(#REF!,"AAAAAFr/bRM=")</f>
        <v>#REF!</v>
      </c>
      <c r="U14" s="27" t="e">
        <f>AND(#REF!,"AAAAAFr/bRQ=")</f>
        <v>#REF!</v>
      </c>
      <c r="V14" s="27" t="e">
        <f>AND(#REF!,"AAAAAFr/bRU=")</f>
        <v>#REF!</v>
      </c>
      <c r="W14" s="27" t="e">
        <f>AND(#REF!,"AAAAAFr/bRY=")</f>
        <v>#REF!</v>
      </c>
      <c r="X14" s="27" t="e">
        <f>AND(#REF!,"AAAAAFr/bRc=")</f>
        <v>#REF!</v>
      </c>
      <c r="Y14" s="27">
        <v>0</v>
      </c>
      <c r="Z14" s="27" t="e">
        <f>AND(#REF!,"AAAAAFr/bRk=")</f>
        <v>#REF!</v>
      </c>
      <c r="AA14" s="27" t="e">
        <f>AND(#REF!,"AAAAAFr/bRo=")</f>
        <v>#REF!</v>
      </c>
      <c r="AB14" s="27" t="e">
        <f>AND(#REF!,"AAAAAFr/bRs=")</f>
        <v>#REF!</v>
      </c>
      <c r="AC14" s="27" t="e">
        <f>AND(#REF!,"AAAAAFr/bRw=")</f>
        <v>#REF!</v>
      </c>
      <c r="AD14" s="27" t="e">
        <f>AND(#REF!,"AAAAAFr/bR0=")</f>
        <v>#REF!</v>
      </c>
      <c r="AE14" s="27" t="e">
        <f>AND(#REF!,"AAAAAFr/bR4=")</f>
        <v>#REF!</v>
      </c>
      <c r="AF14" s="27" t="e">
        <f>AND(#REF!,"AAAAAFr/bR8=")</f>
        <v>#REF!</v>
      </c>
      <c r="AG14" s="27" t="e">
        <f>AND(#REF!,"AAAAAFr/bSA=")</f>
        <v>#REF!</v>
      </c>
      <c r="AH14" s="27" t="e">
        <f>AND(#REF!,"AAAAAFr/bSE=")</f>
        <v>#REF!</v>
      </c>
      <c r="AI14" s="27">
        <v>0</v>
      </c>
      <c r="AJ14" s="27" t="e">
        <f>AND(#REF!,"AAAAAFr/bSM=")</f>
        <v>#REF!</v>
      </c>
      <c r="AK14" s="27" t="e">
        <f>AND(#REF!,"AAAAAFr/bSQ=")</f>
        <v>#REF!</v>
      </c>
      <c r="AL14" s="27" t="e">
        <f>AND(#REF!,"AAAAAFr/bSU=")</f>
        <v>#REF!</v>
      </c>
      <c r="AM14" s="27" t="e">
        <f>AND(#REF!,"AAAAAFr/bSY=")</f>
        <v>#REF!</v>
      </c>
      <c r="AN14" s="27" t="e">
        <f>AND(#REF!,"AAAAAFr/bSc=")</f>
        <v>#REF!</v>
      </c>
      <c r="AO14" s="27" t="e">
        <f>AND(#REF!,"AAAAAFr/bSg=")</f>
        <v>#REF!</v>
      </c>
      <c r="AP14" s="27" t="e">
        <f>AND(#REF!,"AAAAAFr/bSk=")</f>
        <v>#REF!</v>
      </c>
      <c r="AQ14" s="27" t="e">
        <f>AND(#REF!,"AAAAAFr/bSo=")</f>
        <v>#REF!</v>
      </c>
      <c r="AR14" s="27" t="e">
        <f>AND(#REF!,"AAAAAFr/bSs=")</f>
        <v>#REF!</v>
      </c>
      <c r="AS14" s="27">
        <v>0</v>
      </c>
      <c r="AT14" s="27" t="e">
        <f>AND(#REF!,"AAAAAFr/bS0=")</f>
        <v>#REF!</v>
      </c>
      <c r="AU14" s="27" t="e">
        <f>AND(#REF!,"AAAAAFr/bS4=")</f>
        <v>#REF!</v>
      </c>
      <c r="AV14" s="27" t="e">
        <f>AND(#REF!,"AAAAAFr/bS8=")</f>
        <v>#REF!</v>
      </c>
      <c r="AW14" s="27" t="e">
        <f>AND(#REF!,"AAAAAFr/bTA=")</f>
        <v>#REF!</v>
      </c>
      <c r="AX14" s="27" t="e">
        <f>AND(#REF!,"AAAAAFr/bTE=")</f>
        <v>#REF!</v>
      </c>
      <c r="AY14" s="27" t="e">
        <f>AND(#REF!,"AAAAAFr/bTI=")</f>
        <v>#REF!</v>
      </c>
      <c r="AZ14" s="27" t="e">
        <f>AND(#REF!,"AAAAAFr/bTM=")</f>
        <v>#REF!</v>
      </c>
      <c r="BA14" s="27" t="e">
        <f>AND(#REF!,"AAAAAFr/bTQ=")</f>
        <v>#REF!</v>
      </c>
      <c r="BB14" s="27" t="e">
        <f>AND(#REF!,"AAAAAFr/bTU=")</f>
        <v>#REF!</v>
      </c>
      <c r="BC14" s="27">
        <v>0</v>
      </c>
      <c r="BD14" s="27" t="e">
        <f>AND(#REF!,"AAAAAFr/bTc=")</f>
        <v>#REF!</v>
      </c>
      <c r="BE14" s="27" t="e">
        <f>AND(#REF!,"AAAAAFr/bTg=")</f>
        <v>#REF!</v>
      </c>
      <c r="BF14" s="27" t="e">
        <f>AND(#REF!,"AAAAAFr/bTk=")</f>
        <v>#REF!</v>
      </c>
      <c r="BG14" s="27" t="e">
        <f>AND(#REF!,"AAAAAFr/bTo=")</f>
        <v>#REF!</v>
      </c>
      <c r="BH14" s="27" t="e">
        <f>AND(#REF!,"AAAAAFr/bTs=")</f>
        <v>#REF!</v>
      </c>
      <c r="BI14" s="27" t="e">
        <f>AND(#REF!,"AAAAAFr/bTw=")</f>
        <v>#REF!</v>
      </c>
      <c r="BJ14" s="27" t="e">
        <f>AND(#REF!,"AAAAAFr/bT0=")</f>
        <v>#REF!</v>
      </c>
      <c r="BK14" s="27" t="e">
        <f>AND(#REF!,"AAAAAFr/bT4=")</f>
        <v>#REF!</v>
      </c>
      <c r="BL14" s="27" t="e">
        <f>AND(#REF!,"AAAAAFr/bT8=")</f>
        <v>#REF!</v>
      </c>
      <c r="BM14" s="27">
        <v>0</v>
      </c>
      <c r="BN14" s="27" t="e">
        <f>AND(#REF!,"AAAAAFr/bUE=")</f>
        <v>#REF!</v>
      </c>
      <c r="BO14" s="27" t="e">
        <f>AND(#REF!,"AAAAAFr/bUI=")</f>
        <v>#REF!</v>
      </c>
      <c r="BP14" s="27" t="e">
        <f>AND(#REF!,"AAAAAFr/bUM=")</f>
        <v>#REF!</v>
      </c>
      <c r="BQ14" s="27" t="e">
        <f>AND(#REF!,"AAAAAFr/bUQ=")</f>
        <v>#REF!</v>
      </c>
      <c r="BR14" s="27" t="e">
        <f>AND(#REF!,"AAAAAFr/bUU=")</f>
        <v>#REF!</v>
      </c>
      <c r="BS14" s="27" t="e">
        <f>AND(#REF!,"AAAAAFr/bUY=")</f>
        <v>#REF!</v>
      </c>
      <c r="BT14" s="27" t="e">
        <f>AND(#REF!,"AAAAAFr/bUc=")</f>
        <v>#REF!</v>
      </c>
      <c r="BU14" s="27" t="e">
        <f>AND(#REF!,"AAAAAFr/bUg=")</f>
        <v>#REF!</v>
      </c>
      <c r="BV14" s="27" t="e">
        <f>AND(#REF!,"AAAAAFr/bUk=")</f>
        <v>#REF!</v>
      </c>
      <c r="BW14" s="27">
        <v>0</v>
      </c>
      <c r="BX14" s="27" t="e">
        <f>AND(#REF!,"AAAAAFr/bUs=")</f>
        <v>#REF!</v>
      </c>
      <c r="BY14" s="27" t="e">
        <f>AND(#REF!,"AAAAAFr/bUw=")</f>
        <v>#REF!</v>
      </c>
      <c r="BZ14" s="27" t="e">
        <f>AND(#REF!,"AAAAAFr/bU0=")</f>
        <v>#REF!</v>
      </c>
      <c r="CA14" s="27" t="e">
        <f>AND(#REF!,"AAAAAFr/bU4=")</f>
        <v>#REF!</v>
      </c>
      <c r="CB14" s="27" t="e">
        <f>AND(#REF!,"AAAAAFr/bU8=")</f>
        <v>#REF!</v>
      </c>
      <c r="CC14" s="27" t="e">
        <f>AND(#REF!,"AAAAAFr/bVA=")</f>
        <v>#REF!</v>
      </c>
      <c r="CD14" s="27" t="e">
        <f>AND(#REF!,"AAAAAFr/bVE=")</f>
        <v>#REF!</v>
      </c>
      <c r="CE14" s="27" t="e">
        <f>AND(#REF!,"AAAAAFr/bVI=")</f>
        <v>#REF!</v>
      </c>
      <c r="CF14" s="27" t="e">
        <f>AND(#REF!,"AAAAAFr/bVM=")</f>
        <v>#REF!</v>
      </c>
      <c r="CG14" s="27">
        <v>0</v>
      </c>
      <c r="CH14" s="27" t="e">
        <f>AND(#REF!,"AAAAAFr/bVU=")</f>
        <v>#REF!</v>
      </c>
      <c r="CI14" s="27" t="e">
        <f>AND(#REF!,"AAAAAFr/bVY=")</f>
        <v>#REF!</v>
      </c>
      <c r="CJ14" s="27" t="e">
        <f>AND(#REF!,"AAAAAFr/bVc=")</f>
        <v>#REF!</v>
      </c>
      <c r="CK14" s="27" t="e">
        <f>AND(#REF!,"AAAAAFr/bVg=")</f>
        <v>#REF!</v>
      </c>
      <c r="CL14" s="27" t="e">
        <f>AND(#REF!,"AAAAAFr/bVk=")</f>
        <v>#REF!</v>
      </c>
      <c r="CM14" s="27" t="e">
        <f>AND(#REF!,"AAAAAFr/bVo=")</f>
        <v>#REF!</v>
      </c>
      <c r="CN14" s="27" t="e">
        <f>AND(#REF!,"AAAAAFr/bVs=")</f>
        <v>#REF!</v>
      </c>
      <c r="CO14" s="27" t="e">
        <f>AND(#REF!,"AAAAAFr/bVw=")</f>
        <v>#REF!</v>
      </c>
      <c r="CP14" s="27" t="e">
        <f>AND(#REF!,"AAAAAFr/bV0=")</f>
        <v>#REF!</v>
      </c>
      <c r="CQ14" s="27">
        <v>0</v>
      </c>
      <c r="CR14" s="27" t="e">
        <f>AND(#REF!,"AAAAAFr/bV8=")</f>
        <v>#REF!</v>
      </c>
      <c r="CS14" s="27" t="e">
        <f>AND(#REF!,"AAAAAFr/bWA=")</f>
        <v>#REF!</v>
      </c>
      <c r="CT14" s="27" t="e">
        <f>AND(#REF!,"AAAAAFr/bWE=")</f>
        <v>#REF!</v>
      </c>
      <c r="CU14" s="27" t="e">
        <f>AND(#REF!,"AAAAAFr/bWI=")</f>
        <v>#REF!</v>
      </c>
      <c r="CV14" s="27" t="e">
        <f>AND(#REF!,"AAAAAFr/bWM=")</f>
        <v>#REF!</v>
      </c>
      <c r="CW14" s="27" t="e">
        <f>AND(#REF!,"AAAAAFr/bWQ=")</f>
        <v>#REF!</v>
      </c>
      <c r="CX14" s="27" t="e">
        <f>AND(#REF!,"AAAAAFr/bWU=")</f>
        <v>#REF!</v>
      </c>
      <c r="CY14" s="27" t="e">
        <f>AND(#REF!,"AAAAAFr/bWY=")</f>
        <v>#REF!</v>
      </c>
      <c r="CZ14" s="27" t="e">
        <f>AND(#REF!,"AAAAAFr/bWc=")</f>
        <v>#REF!</v>
      </c>
      <c r="DA14" s="27">
        <v>0</v>
      </c>
      <c r="DB14" s="27" t="e">
        <f>AND(#REF!,"AAAAAFr/bWk=")</f>
        <v>#REF!</v>
      </c>
      <c r="DC14" s="27" t="e">
        <f>AND(#REF!,"AAAAAFr/bWo=")</f>
        <v>#REF!</v>
      </c>
      <c r="DD14" s="27" t="e">
        <f>AND(#REF!,"AAAAAFr/bWs=")</f>
        <v>#REF!</v>
      </c>
      <c r="DE14" s="27" t="e">
        <f>AND(#REF!,"AAAAAFr/bWw=")</f>
        <v>#REF!</v>
      </c>
      <c r="DF14" s="27" t="e">
        <f>AND(#REF!,"AAAAAFr/bW0=")</f>
        <v>#REF!</v>
      </c>
      <c r="DG14" s="27" t="e">
        <f>AND(#REF!,"AAAAAFr/bW4=")</f>
        <v>#REF!</v>
      </c>
      <c r="DH14" s="27" t="e">
        <f>AND(#REF!,"AAAAAFr/bW8=")</f>
        <v>#REF!</v>
      </c>
      <c r="DI14" s="27" t="e">
        <f>AND(#REF!,"AAAAAFr/bXA=")</f>
        <v>#REF!</v>
      </c>
      <c r="DJ14" s="27" t="e">
        <f>AND(#REF!,"AAAAAFr/bXE=")</f>
        <v>#REF!</v>
      </c>
      <c r="DK14" s="27">
        <v>0</v>
      </c>
      <c r="DL14" s="27" t="e">
        <f>AND(#REF!,"AAAAAFr/bXM=")</f>
        <v>#REF!</v>
      </c>
      <c r="DM14" s="27" t="e">
        <f>AND(#REF!,"AAAAAFr/bXQ=")</f>
        <v>#REF!</v>
      </c>
      <c r="DN14" s="27" t="e">
        <f>AND(#REF!,"AAAAAFr/bXU=")</f>
        <v>#REF!</v>
      </c>
      <c r="DO14" s="27" t="e">
        <f>AND(#REF!,"AAAAAFr/bXY=")</f>
        <v>#REF!</v>
      </c>
      <c r="DP14" s="27" t="e">
        <f>AND(#REF!,"AAAAAFr/bXc=")</f>
        <v>#REF!</v>
      </c>
      <c r="DQ14" s="27" t="e">
        <f>AND(#REF!,"AAAAAFr/bXg=")</f>
        <v>#REF!</v>
      </c>
      <c r="DR14" s="27" t="e">
        <f>AND(#REF!,"AAAAAFr/bXk=")</f>
        <v>#REF!</v>
      </c>
      <c r="DS14" s="27" t="e">
        <f>AND(#REF!,"AAAAAFr/bXo=")</f>
        <v>#REF!</v>
      </c>
      <c r="DT14" s="27" t="e">
        <f>AND(#REF!,"AAAAAFr/bXs=")</f>
        <v>#REF!</v>
      </c>
      <c r="DU14" s="27">
        <v>0</v>
      </c>
      <c r="DV14" s="27" t="e">
        <f>AND(#REF!,"AAAAAFr/bX0=")</f>
        <v>#REF!</v>
      </c>
      <c r="DW14" s="27" t="e">
        <f>AND(#REF!,"AAAAAFr/bX4=")</f>
        <v>#REF!</v>
      </c>
      <c r="DX14" s="27" t="e">
        <f>AND(#REF!,"AAAAAFr/bX8=")</f>
        <v>#REF!</v>
      </c>
      <c r="DY14" s="27" t="e">
        <f>AND(#REF!,"AAAAAFr/bYA=")</f>
        <v>#REF!</v>
      </c>
      <c r="DZ14" s="27" t="e">
        <f>AND(#REF!,"AAAAAFr/bYE=")</f>
        <v>#REF!</v>
      </c>
      <c r="EA14" s="27" t="e">
        <f>AND(#REF!,"AAAAAFr/bYI=")</f>
        <v>#REF!</v>
      </c>
      <c r="EB14" s="27" t="e">
        <f>AND(#REF!,"AAAAAFr/bYM=")</f>
        <v>#REF!</v>
      </c>
      <c r="EC14" s="27" t="e">
        <f>AND(#REF!,"AAAAAFr/bYQ=")</f>
        <v>#REF!</v>
      </c>
      <c r="ED14" s="27" t="e">
        <f>AND(#REF!,"AAAAAFr/bYU=")</f>
        <v>#REF!</v>
      </c>
      <c r="EE14" s="27">
        <v>0</v>
      </c>
      <c r="EF14" s="27" t="e">
        <f>AND(#REF!,"AAAAAFr/bYc=")</f>
        <v>#REF!</v>
      </c>
      <c r="EG14" s="27" t="e">
        <f>AND(#REF!,"AAAAAFr/bYg=")</f>
        <v>#REF!</v>
      </c>
      <c r="EH14" s="27" t="e">
        <f>AND(#REF!,"AAAAAFr/bYk=")</f>
        <v>#REF!</v>
      </c>
      <c r="EI14" s="27" t="e">
        <f>AND(#REF!,"AAAAAFr/bYo=")</f>
        <v>#REF!</v>
      </c>
      <c r="EJ14" s="27" t="e">
        <f>AND(#REF!,"AAAAAFr/bYs=")</f>
        <v>#REF!</v>
      </c>
      <c r="EK14" s="27" t="e">
        <f>AND(#REF!,"AAAAAFr/bYw=")</f>
        <v>#REF!</v>
      </c>
      <c r="EL14" s="27" t="e">
        <f>AND(#REF!,"AAAAAFr/bY0=")</f>
        <v>#REF!</v>
      </c>
      <c r="EM14" s="27" t="e">
        <f>AND(#REF!,"AAAAAFr/bY4=")</f>
        <v>#REF!</v>
      </c>
      <c r="EN14" s="27" t="e">
        <f>AND(#REF!,"AAAAAFr/bY8=")</f>
        <v>#REF!</v>
      </c>
      <c r="EO14" s="27">
        <v>0</v>
      </c>
      <c r="EP14" s="27" t="e">
        <f>AND(#REF!,"AAAAAFr/bZE=")</f>
        <v>#REF!</v>
      </c>
      <c r="EQ14" s="27" t="e">
        <f>AND(#REF!,"AAAAAFr/bZI=")</f>
        <v>#REF!</v>
      </c>
      <c r="ER14" s="27" t="e">
        <f>AND(#REF!,"AAAAAFr/bZM=")</f>
        <v>#REF!</v>
      </c>
      <c r="ES14" s="27" t="e">
        <f>AND(#REF!,"AAAAAFr/bZQ=")</f>
        <v>#REF!</v>
      </c>
      <c r="ET14" s="27" t="e">
        <f>AND(#REF!,"AAAAAFr/bZU=")</f>
        <v>#REF!</v>
      </c>
      <c r="EU14" s="27" t="e">
        <f>AND(#REF!,"AAAAAFr/bZY=")</f>
        <v>#REF!</v>
      </c>
      <c r="EV14" s="27" t="e">
        <f>AND(#REF!,"AAAAAFr/bZc=")</f>
        <v>#REF!</v>
      </c>
      <c r="EW14" s="27" t="e">
        <f>AND(#REF!,"AAAAAFr/bZg=")</f>
        <v>#REF!</v>
      </c>
      <c r="EX14" s="27" t="e">
        <f>AND(#REF!,"AAAAAFr/bZk=")</f>
        <v>#REF!</v>
      </c>
      <c r="EY14" s="27">
        <v>0</v>
      </c>
      <c r="EZ14" s="27" t="e">
        <f>AND(#REF!,"AAAAAFr/bZs=")</f>
        <v>#REF!</v>
      </c>
      <c r="FA14" s="27" t="e">
        <f>AND(#REF!,"AAAAAFr/bZw=")</f>
        <v>#REF!</v>
      </c>
      <c r="FB14" s="27" t="e">
        <f>AND(#REF!,"AAAAAFr/bZ0=")</f>
        <v>#REF!</v>
      </c>
      <c r="FC14" s="27" t="e">
        <f>AND(#REF!,"AAAAAFr/bZ4=")</f>
        <v>#REF!</v>
      </c>
      <c r="FD14" s="27" t="e">
        <f>AND(#REF!,"AAAAAFr/bZ8=")</f>
        <v>#REF!</v>
      </c>
      <c r="FE14" s="27" t="e">
        <f>AND(#REF!,"AAAAAFr/baA=")</f>
        <v>#REF!</v>
      </c>
      <c r="FF14" s="27" t="e">
        <f>AND(#REF!,"AAAAAFr/baE=")</f>
        <v>#REF!</v>
      </c>
      <c r="FG14" s="27" t="e">
        <f>AND(#REF!,"AAAAAFr/baI=")</f>
        <v>#REF!</v>
      </c>
      <c r="FH14" s="27" t="e">
        <f>AND(#REF!,"AAAAAFr/baM=")</f>
        <v>#REF!</v>
      </c>
      <c r="FI14" s="27">
        <v>0</v>
      </c>
      <c r="FJ14" s="27" t="e">
        <f>AND(#REF!,"AAAAAFr/baU=")</f>
        <v>#REF!</v>
      </c>
      <c r="FK14" s="27" t="e">
        <f>AND(#REF!,"AAAAAFr/baY=")</f>
        <v>#REF!</v>
      </c>
      <c r="FL14" s="27" t="e">
        <f>AND(#REF!,"AAAAAFr/bac=")</f>
        <v>#REF!</v>
      </c>
      <c r="FM14" s="27" t="e">
        <f>AND(#REF!,"AAAAAFr/bag=")</f>
        <v>#REF!</v>
      </c>
      <c r="FN14" s="27" t="e">
        <f>AND(#REF!,"AAAAAFr/bak=")</f>
        <v>#REF!</v>
      </c>
      <c r="FO14" s="27" t="e">
        <f>AND(#REF!,"AAAAAFr/bao=")</f>
        <v>#REF!</v>
      </c>
      <c r="FP14" s="27" t="e">
        <f>AND(#REF!,"AAAAAFr/bas=")</f>
        <v>#REF!</v>
      </c>
      <c r="FQ14" s="27" t="e">
        <f>AND(#REF!,"AAAAAFr/baw=")</f>
        <v>#REF!</v>
      </c>
      <c r="FR14" s="27" t="e">
        <f>AND(#REF!,"AAAAAFr/ba0=")</f>
        <v>#REF!</v>
      </c>
      <c r="FS14" s="27">
        <v>0</v>
      </c>
      <c r="FT14" s="27" t="e">
        <f>AND(#REF!,"AAAAAFr/ba8=")</f>
        <v>#REF!</v>
      </c>
      <c r="FU14" s="27" t="e">
        <f>AND(#REF!,"AAAAAFr/bbA=")</f>
        <v>#REF!</v>
      </c>
      <c r="FV14" s="27" t="e">
        <f>AND(#REF!,"AAAAAFr/bbE=")</f>
        <v>#REF!</v>
      </c>
      <c r="FW14" s="27" t="e">
        <f>AND(#REF!,"AAAAAFr/bbI=")</f>
        <v>#REF!</v>
      </c>
      <c r="FX14" s="27" t="e">
        <f>AND(#REF!,"AAAAAFr/bbM=")</f>
        <v>#REF!</v>
      </c>
      <c r="FY14" s="27" t="e">
        <f>AND(#REF!,"AAAAAFr/bbQ=")</f>
        <v>#REF!</v>
      </c>
      <c r="FZ14" s="27" t="e">
        <f>AND(#REF!,"AAAAAFr/bbU=")</f>
        <v>#REF!</v>
      </c>
      <c r="GA14" s="27" t="e">
        <f>AND(#REF!,"AAAAAFr/bbY=")</f>
        <v>#REF!</v>
      </c>
      <c r="GB14" s="27" t="e">
        <f>AND(#REF!,"AAAAAFr/bbc=")</f>
        <v>#REF!</v>
      </c>
      <c r="GC14" s="27">
        <v>0</v>
      </c>
      <c r="GD14" s="27" t="e">
        <f>AND(#REF!,"AAAAAFr/bbk=")</f>
        <v>#REF!</v>
      </c>
      <c r="GE14" s="27" t="e">
        <f>AND(#REF!,"AAAAAFr/bbo=")</f>
        <v>#REF!</v>
      </c>
      <c r="GF14" s="27" t="e">
        <f>AND(#REF!,"AAAAAFr/bbs=")</f>
        <v>#REF!</v>
      </c>
      <c r="GG14" s="27" t="e">
        <f>AND(#REF!,"AAAAAFr/bbw=")</f>
        <v>#REF!</v>
      </c>
      <c r="GH14" s="27" t="e">
        <f>AND(#REF!,"AAAAAFr/bb0=")</f>
        <v>#REF!</v>
      </c>
      <c r="GI14" s="27" t="e">
        <f>AND(#REF!,"AAAAAFr/bb4=")</f>
        <v>#REF!</v>
      </c>
      <c r="GJ14" s="27" t="e">
        <f>AND(#REF!,"AAAAAFr/bb8=")</f>
        <v>#REF!</v>
      </c>
      <c r="GK14" s="27" t="e">
        <f>AND(#REF!,"AAAAAFr/bcA=")</f>
        <v>#REF!</v>
      </c>
      <c r="GL14" s="27" t="e">
        <f>AND(#REF!,"AAAAAFr/bcE=")</f>
        <v>#REF!</v>
      </c>
      <c r="GM14" s="27">
        <v>0</v>
      </c>
      <c r="GN14" s="27" t="e">
        <f>AND(#REF!,"AAAAAFr/bcM=")</f>
        <v>#REF!</v>
      </c>
      <c r="GO14" s="27" t="e">
        <f>AND(#REF!,"AAAAAFr/bcQ=")</f>
        <v>#REF!</v>
      </c>
      <c r="GP14" s="27" t="e">
        <f>AND(#REF!,"AAAAAFr/bcU=")</f>
        <v>#REF!</v>
      </c>
      <c r="GQ14" s="27" t="e">
        <f>AND(#REF!,"AAAAAFr/bcY=")</f>
        <v>#REF!</v>
      </c>
      <c r="GR14" s="27" t="e">
        <f>AND(#REF!,"AAAAAFr/bcc=")</f>
        <v>#REF!</v>
      </c>
      <c r="GS14" s="27" t="e">
        <f>AND(#REF!,"AAAAAFr/bcg=")</f>
        <v>#REF!</v>
      </c>
      <c r="GT14" s="27" t="e">
        <f>AND(#REF!,"AAAAAFr/bck=")</f>
        <v>#REF!</v>
      </c>
      <c r="GU14" s="27" t="e">
        <f>AND(#REF!,"AAAAAFr/bco=")</f>
        <v>#REF!</v>
      </c>
      <c r="GV14" s="27" t="e">
        <f>AND(#REF!,"AAAAAFr/bcs=")</f>
        <v>#REF!</v>
      </c>
      <c r="GW14" s="27">
        <v>0</v>
      </c>
      <c r="GX14" s="27" t="e">
        <f>AND(#REF!,"AAAAAFr/bc0=")</f>
        <v>#REF!</v>
      </c>
      <c r="GY14" s="27" t="e">
        <f>AND(#REF!,"AAAAAFr/bc4=")</f>
        <v>#REF!</v>
      </c>
      <c r="GZ14" s="27" t="e">
        <f>AND(#REF!,"AAAAAFr/bc8=")</f>
        <v>#REF!</v>
      </c>
      <c r="HA14" s="27" t="e">
        <f>AND(#REF!,"AAAAAFr/bdA=")</f>
        <v>#REF!</v>
      </c>
      <c r="HB14" s="27" t="e">
        <f>AND(#REF!,"AAAAAFr/bdE=")</f>
        <v>#REF!</v>
      </c>
      <c r="HC14" s="27" t="e">
        <f>AND(#REF!,"AAAAAFr/bdI=")</f>
        <v>#REF!</v>
      </c>
      <c r="HD14" s="27" t="e">
        <f>AND(#REF!,"AAAAAFr/bdM=")</f>
        <v>#REF!</v>
      </c>
      <c r="HE14" s="27" t="e">
        <f>AND(#REF!,"AAAAAFr/bdQ=")</f>
        <v>#REF!</v>
      </c>
      <c r="HF14" s="27" t="e">
        <f>AND(#REF!,"AAAAAFr/bdU=")</f>
        <v>#REF!</v>
      </c>
      <c r="HG14" s="27">
        <v>0</v>
      </c>
      <c r="HH14" s="27" t="e">
        <f>AND(#REF!,"AAAAAFr/bdc=")</f>
        <v>#REF!</v>
      </c>
      <c r="HI14" s="27" t="e">
        <f>AND(#REF!,"AAAAAFr/bdg=")</f>
        <v>#REF!</v>
      </c>
      <c r="HJ14" s="27" t="e">
        <f>AND(#REF!,"AAAAAFr/bdk=")</f>
        <v>#REF!</v>
      </c>
      <c r="HK14" s="27" t="e">
        <f>AND(#REF!,"AAAAAFr/bdo=")</f>
        <v>#REF!</v>
      </c>
      <c r="HL14" s="27" t="e">
        <f>AND(#REF!,"AAAAAFr/bds=")</f>
        <v>#REF!</v>
      </c>
      <c r="HM14" s="27" t="e">
        <f>AND(#REF!,"AAAAAFr/bdw=")</f>
        <v>#REF!</v>
      </c>
      <c r="HN14" s="27" t="e">
        <f>AND(#REF!,"AAAAAFr/bd0=")</f>
        <v>#REF!</v>
      </c>
      <c r="HO14" s="27" t="e">
        <f>AND(#REF!,"AAAAAFr/bd4=")</f>
        <v>#REF!</v>
      </c>
      <c r="HP14" s="27" t="e">
        <f>AND(#REF!,"AAAAAFr/bd8=")</f>
        <v>#REF!</v>
      </c>
      <c r="HQ14" s="27">
        <v>0</v>
      </c>
      <c r="HR14" s="27" t="e">
        <f>AND(#REF!,"AAAAAFr/beE=")</f>
        <v>#REF!</v>
      </c>
      <c r="HS14" s="27" t="e">
        <f>AND(#REF!,"AAAAAFr/beI=")</f>
        <v>#REF!</v>
      </c>
      <c r="HT14" s="27" t="e">
        <f>AND(#REF!,"AAAAAFr/beM=")</f>
        <v>#REF!</v>
      </c>
      <c r="HU14" s="27" t="e">
        <f>AND(#REF!,"AAAAAFr/beQ=")</f>
        <v>#REF!</v>
      </c>
      <c r="HV14" s="27" t="e">
        <f>AND(#REF!,"AAAAAFr/beU=")</f>
        <v>#REF!</v>
      </c>
      <c r="HW14" s="27" t="e">
        <f>AND(#REF!,"AAAAAFr/beY=")</f>
        <v>#REF!</v>
      </c>
      <c r="HX14" s="27" t="e">
        <f>AND(#REF!,"AAAAAFr/bec=")</f>
        <v>#REF!</v>
      </c>
      <c r="HY14" s="27" t="e">
        <f>AND(#REF!,"AAAAAFr/beg=")</f>
        <v>#REF!</v>
      </c>
      <c r="HZ14" s="27" t="e">
        <f>AND(#REF!,"AAAAAFr/bek=")</f>
        <v>#REF!</v>
      </c>
      <c r="IA14" s="27">
        <v>0</v>
      </c>
      <c r="IB14" s="27" t="e">
        <f>AND(#REF!,"AAAAAFr/bes=")</f>
        <v>#REF!</v>
      </c>
      <c r="IC14" s="27" t="e">
        <f>AND(#REF!,"AAAAAFr/bew=")</f>
        <v>#REF!</v>
      </c>
      <c r="ID14" s="27" t="e">
        <f>AND(#REF!,"AAAAAFr/be0=")</f>
        <v>#REF!</v>
      </c>
      <c r="IE14" s="27" t="e">
        <f>AND(#REF!,"AAAAAFr/be4=")</f>
        <v>#REF!</v>
      </c>
      <c r="IF14" s="27" t="e">
        <f>AND(#REF!,"AAAAAFr/be8=")</f>
        <v>#REF!</v>
      </c>
      <c r="IG14" s="27" t="e">
        <f>AND(#REF!,"AAAAAFr/bfA=")</f>
        <v>#REF!</v>
      </c>
      <c r="IH14" s="27" t="e">
        <f>AND(#REF!,"AAAAAFr/bfE=")</f>
        <v>#REF!</v>
      </c>
      <c r="II14" s="27" t="e">
        <f>AND(#REF!,"AAAAAFr/bfI=")</f>
        <v>#REF!</v>
      </c>
      <c r="IJ14" s="27" t="e">
        <f>AND(#REF!,"AAAAAFr/bfM=")</f>
        <v>#REF!</v>
      </c>
      <c r="IK14" s="27">
        <v>0</v>
      </c>
      <c r="IL14" s="27" t="e">
        <f>AND(#REF!,"AAAAAFr/bfU=")</f>
        <v>#REF!</v>
      </c>
      <c r="IM14" s="27" t="e">
        <f>AND(#REF!,"AAAAAFr/bfY=")</f>
        <v>#REF!</v>
      </c>
      <c r="IN14" s="27" t="e">
        <f>AND(#REF!,"AAAAAFr/bfc=")</f>
        <v>#REF!</v>
      </c>
      <c r="IO14" s="27" t="e">
        <f>AND(#REF!,"AAAAAFr/bfg=")</f>
        <v>#REF!</v>
      </c>
      <c r="IP14" s="27" t="e">
        <f>AND(#REF!,"AAAAAFr/bfk=")</f>
        <v>#REF!</v>
      </c>
      <c r="IQ14" s="27" t="e">
        <f>AND(#REF!,"AAAAAFr/bfo=")</f>
        <v>#REF!</v>
      </c>
      <c r="IR14" s="27" t="e">
        <f>AND(#REF!,"AAAAAFr/bfs=")</f>
        <v>#REF!</v>
      </c>
      <c r="IS14" s="27" t="e">
        <f>AND(#REF!,"AAAAAFr/bfw=")</f>
        <v>#REF!</v>
      </c>
      <c r="IT14" s="27" t="e">
        <f>AND(#REF!,"AAAAAFr/bf0=")</f>
        <v>#REF!</v>
      </c>
      <c r="IU14" s="27">
        <v>0</v>
      </c>
      <c r="IV14" s="27" t="e">
        <f>AND(#REF!,"AAAAAFr/bf8=")</f>
        <v>#REF!</v>
      </c>
    </row>
    <row r="15" spans="1:256" ht="12.75" customHeight="1" x14ac:dyDescent="0.2">
      <c r="A15" s="27" t="e">
        <f>AND(#REF!,"AAAAABZ/7wA=")</f>
        <v>#REF!</v>
      </c>
      <c r="B15" s="27" t="e">
        <f>AND(#REF!,"AAAAABZ/7wE=")</f>
        <v>#REF!</v>
      </c>
      <c r="C15" s="27" t="e">
        <f>AND(#REF!,"AAAAABZ/7wI=")</f>
        <v>#REF!</v>
      </c>
      <c r="D15" s="27" t="e">
        <f>AND(#REF!,"AAAAABZ/7wM=")</f>
        <v>#REF!</v>
      </c>
      <c r="E15" s="27" t="e">
        <f>AND(#REF!,"AAAAABZ/7wQ=")</f>
        <v>#REF!</v>
      </c>
      <c r="F15" s="27" t="e">
        <f>AND(#REF!,"AAAAABZ/7wU=")</f>
        <v>#REF!</v>
      </c>
      <c r="G15" s="27" t="e">
        <f>AND(#REF!,"AAAAABZ/7wY=")</f>
        <v>#REF!</v>
      </c>
      <c r="H15" s="27" t="e">
        <f>AND(#REF!,"AAAAABZ/7wc=")</f>
        <v>#REF!</v>
      </c>
      <c r="I15" s="27">
        <v>0</v>
      </c>
      <c r="J15" s="27" t="e">
        <f>AND(#REF!,"AAAAABZ/7wk=")</f>
        <v>#REF!</v>
      </c>
      <c r="K15" s="27" t="e">
        <f>AND(#REF!,"AAAAABZ/7wo=")</f>
        <v>#REF!</v>
      </c>
      <c r="L15" s="27" t="e">
        <f>AND(#REF!,"AAAAABZ/7ws=")</f>
        <v>#REF!</v>
      </c>
      <c r="M15" s="27" t="e">
        <f>AND(#REF!,"AAAAABZ/7ww=")</f>
        <v>#REF!</v>
      </c>
      <c r="N15" s="27" t="e">
        <f>AND(#REF!,"AAAAABZ/7w0=")</f>
        <v>#REF!</v>
      </c>
      <c r="O15" s="27" t="e">
        <f>AND(#REF!,"AAAAABZ/7w4=")</f>
        <v>#REF!</v>
      </c>
      <c r="P15" s="27" t="e">
        <f>AND(#REF!,"AAAAABZ/7w8=")</f>
        <v>#REF!</v>
      </c>
      <c r="Q15" s="27" t="e">
        <f>AND(#REF!,"AAAAABZ/7xA=")</f>
        <v>#REF!</v>
      </c>
      <c r="R15" s="27" t="e">
        <f>AND(#REF!,"AAAAABZ/7xE=")</f>
        <v>#REF!</v>
      </c>
      <c r="S15" s="27">
        <v>0</v>
      </c>
      <c r="T15" s="27" t="e">
        <f>AND(#REF!,"AAAAABZ/7xM=")</f>
        <v>#REF!</v>
      </c>
      <c r="U15" s="27" t="e">
        <f>AND(#REF!,"AAAAABZ/7xQ=")</f>
        <v>#REF!</v>
      </c>
      <c r="V15" s="27" t="e">
        <f>AND(#REF!,"AAAAABZ/7xU=")</f>
        <v>#REF!</v>
      </c>
      <c r="W15" s="27" t="e">
        <f>AND(#REF!,"AAAAABZ/7xY=")</f>
        <v>#REF!</v>
      </c>
      <c r="X15" s="27" t="e">
        <f>AND(#REF!,"AAAAABZ/7xc=")</f>
        <v>#REF!</v>
      </c>
      <c r="Y15" s="27" t="e">
        <f>AND(#REF!,"AAAAABZ/7xg=")</f>
        <v>#REF!</v>
      </c>
      <c r="Z15" s="27" t="e">
        <f>AND(#REF!,"AAAAABZ/7xk=")</f>
        <v>#REF!</v>
      </c>
      <c r="AA15" s="27" t="e">
        <f>AND(#REF!,"AAAAABZ/7xo=")</f>
        <v>#REF!</v>
      </c>
      <c r="AB15" s="27" t="e">
        <f>AND(#REF!,"AAAAABZ/7xs=")</f>
        <v>#REF!</v>
      </c>
      <c r="AC15" s="27">
        <v>0</v>
      </c>
      <c r="AD15" s="27" t="e">
        <f>AND(#REF!,"AAAAABZ/7x0=")</f>
        <v>#REF!</v>
      </c>
      <c r="AE15" s="27" t="e">
        <f>AND(#REF!,"AAAAABZ/7x4=")</f>
        <v>#REF!</v>
      </c>
      <c r="AF15" s="27" t="e">
        <f>AND(#REF!,"AAAAABZ/7x8=")</f>
        <v>#REF!</v>
      </c>
      <c r="AG15" s="27" t="e">
        <f>AND(#REF!,"AAAAABZ/7yA=")</f>
        <v>#REF!</v>
      </c>
      <c r="AH15" s="27" t="e">
        <f>AND(#REF!,"AAAAABZ/7yE=")</f>
        <v>#REF!</v>
      </c>
      <c r="AI15" s="27" t="e">
        <f>AND(#REF!,"AAAAABZ/7yI=")</f>
        <v>#REF!</v>
      </c>
      <c r="AJ15" s="27" t="e">
        <f>AND(#REF!,"AAAAABZ/7yM=")</f>
        <v>#REF!</v>
      </c>
      <c r="AK15" s="27" t="e">
        <f>AND(#REF!,"AAAAABZ/7yQ=")</f>
        <v>#REF!</v>
      </c>
      <c r="AL15" s="27" t="e">
        <f>AND(#REF!,"AAAAABZ/7yU=")</f>
        <v>#REF!</v>
      </c>
      <c r="AM15" s="27">
        <v>0</v>
      </c>
      <c r="AN15" s="27" t="e">
        <f>AND(#REF!,"AAAAABZ/7yc=")</f>
        <v>#REF!</v>
      </c>
      <c r="AO15" s="27" t="e">
        <f>AND(#REF!,"AAAAABZ/7yg=")</f>
        <v>#REF!</v>
      </c>
      <c r="AP15" s="27" t="e">
        <f>AND(#REF!,"AAAAABZ/7yk=")</f>
        <v>#REF!</v>
      </c>
      <c r="AQ15" s="27" t="e">
        <f>AND(#REF!,"AAAAABZ/7yo=")</f>
        <v>#REF!</v>
      </c>
      <c r="AR15" s="27" t="e">
        <f>AND(#REF!,"AAAAABZ/7ys=")</f>
        <v>#REF!</v>
      </c>
      <c r="AS15" s="27" t="e">
        <f>AND(#REF!,"AAAAABZ/7yw=")</f>
        <v>#REF!</v>
      </c>
      <c r="AT15" s="27" t="e">
        <f>AND(#REF!,"AAAAABZ/7y0=")</f>
        <v>#REF!</v>
      </c>
      <c r="AU15" s="27" t="e">
        <f>AND(#REF!,"AAAAABZ/7y4=")</f>
        <v>#REF!</v>
      </c>
      <c r="AV15" s="27" t="e">
        <f>AND(#REF!,"AAAAABZ/7y8=")</f>
        <v>#REF!</v>
      </c>
      <c r="AW15" s="27">
        <v>0</v>
      </c>
      <c r="AX15" s="27" t="e">
        <f>AND(#REF!,"AAAAABZ/7zE=")</f>
        <v>#REF!</v>
      </c>
      <c r="AY15" s="27" t="e">
        <f>AND(#REF!,"AAAAABZ/7zI=")</f>
        <v>#REF!</v>
      </c>
      <c r="AZ15" s="27" t="e">
        <f>AND(#REF!,"AAAAABZ/7zM=")</f>
        <v>#REF!</v>
      </c>
      <c r="BA15" s="27" t="e">
        <f>AND(#REF!,"AAAAABZ/7zQ=")</f>
        <v>#REF!</v>
      </c>
      <c r="BB15" s="27" t="e">
        <f>AND(#REF!,"AAAAABZ/7zU=")</f>
        <v>#REF!</v>
      </c>
      <c r="BC15" s="27" t="e">
        <f>AND(#REF!,"AAAAABZ/7zY=")</f>
        <v>#REF!</v>
      </c>
      <c r="BD15" s="27" t="e">
        <f>AND(#REF!,"AAAAABZ/7zc=")</f>
        <v>#REF!</v>
      </c>
      <c r="BE15" s="27" t="e">
        <f>AND(#REF!,"AAAAABZ/7zg=")</f>
        <v>#REF!</v>
      </c>
      <c r="BF15" s="27" t="e">
        <f>AND(#REF!,"AAAAABZ/7zk=")</f>
        <v>#REF!</v>
      </c>
      <c r="BG15" s="27">
        <v>0</v>
      </c>
      <c r="BH15" s="27" t="e">
        <f>AND(#REF!,"AAAAABZ/7zs=")</f>
        <v>#REF!</v>
      </c>
      <c r="BI15" s="27" t="e">
        <f>AND(#REF!,"AAAAABZ/7zw=")</f>
        <v>#REF!</v>
      </c>
      <c r="BJ15" s="27" t="e">
        <f>AND(#REF!,"AAAAABZ/7z0=")</f>
        <v>#REF!</v>
      </c>
      <c r="BK15" s="27" t="e">
        <f>AND(#REF!,"AAAAABZ/7z4=")</f>
        <v>#REF!</v>
      </c>
      <c r="BL15" s="27" t="e">
        <f>AND(#REF!,"AAAAABZ/7z8=")</f>
        <v>#REF!</v>
      </c>
      <c r="BM15" s="27" t="e">
        <f>AND(#REF!,"AAAAABZ/70A=")</f>
        <v>#REF!</v>
      </c>
      <c r="BN15" s="27" t="e">
        <f>AND(#REF!,"AAAAABZ/70E=")</f>
        <v>#REF!</v>
      </c>
      <c r="BO15" s="27" t="e">
        <f>AND(#REF!,"AAAAABZ/70I=")</f>
        <v>#REF!</v>
      </c>
      <c r="BP15" s="27" t="e">
        <f>AND(#REF!,"AAAAABZ/70M=")</f>
        <v>#REF!</v>
      </c>
      <c r="BQ15" s="27">
        <v>0</v>
      </c>
      <c r="BR15" s="27" t="e">
        <f>AND(#REF!,"AAAAABZ/70U=")</f>
        <v>#REF!</v>
      </c>
      <c r="BS15" s="27" t="e">
        <f>AND(#REF!,"AAAAABZ/70Y=")</f>
        <v>#REF!</v>
      </c>
      <c r="BT15" s="27" t="e">
        <f>AND(#REF!,"AAAAABZ/70c=")</f>
        <v>#REF!</v>
      </c>
      <c r="BU15" s="27" t="e">
        <f>AND(#REF!,"AAAAABZ/70g=")</f>
        <v>#REF!</v>
      </c>
      <c r="BV15" s="27" t="e">
        <f>AND(#REF!,"AAAAABZ/70k=")</f>
        <v>#REF!</v>
      </c>
      <c r="BW15" s="27" t="e">
        <f>AND(#REF!,"AAAAABZ/70o=")</f>
        <v>#REF!</v>
      </c>
      <c r="BX15" s="27" t="e">
        <f>AND(#REF!,"AAAAABZ/70s=")</f>
        <v>#REF!</v>
      </c>
      <c r="BY15" s="27" t="e">
        <f>AND(#REF!,"AAAAABZ/70w=")</f>
        <v>#REF!</v>
      </c>
      <c r="BZ15" s="27" t="e">
        <f>AND(#REF!,"AAAAABZ/700=")</f>
        <v>#REF!</v>
      </c>
      <c r="CA15" s="27">
        <v>0</v>
      </c>
      <c r="CB15" s="27" t="e">
        <f>AND(#REF!,"AAAAABZ/708=")</f>
        <v>#REF!</v>
      </c>
      <c r="CC15" s="27" t="e">
        <f>AND(#REF!,"AAAAABZ/71A=")</f>
        <v>#REF!</v>
      </c>
      <c r="CD15" s="27" t="e">
        <f>AND(#REF!,"AAAAABZ/71E=")</f>
        <v>#REF!</v>
      </c>
      <c r="CE15" s="27" t="e">
        <f>AND(#REF!,"AAAAABZ/71I=")</f>
        <v>#REF!</v>
      </c>
      <c r="CF15" s="27" t="e">
        <f>AND(#REF!,"AAAAABZ/71M=")</f>
        <v>#REF!</v>
      </c>
      <c r="CG15" s="27" t="e">
        <f>AND(#REF!,"AAAAABZ/71Q=")</f>
        <v>#REF!</v>
      </c>
      <c r="CH15" s="27" t="e">
        <f>AND(#REF!,"AAAAABZ/71U=")</f>
        <v>#REF!</v>
      </c>
      <c r="CI15" s="27" t="e">
        <f>AND(#REF!,"AAAAABZ/71Y=")</f>
        <v>#REF!</v>
      </c>
      <c r="CJ15" s="27" t="e">
        <f>AND(#REF!,"AAAAABZ/71c=")</f>
        <v>#REF!</v>
      </c>
      <c r="CK15" s="27">
        <v>0</v>
      </c>
      <c r="CL15" s="27" t="e">
        <f>AND(#REF!,"AAAAABZ/71k=")</f>
        <v>#REF!</v>
      </c>
      <c r="CM15" s="27" t="e">
        <f>AND(#REF!,"AAAAABZ/71o=")</f>
        <v>#REF!</v>
      </c>
      <c r="CN15" s="27" t="e">
        <f>AND(#REF!,"AAAAABZ/71s=")</f>
        <v>#REF!</v>
      </c>
      <c r="CO15" s="27" t="e">
        <f>AND(#REF!,"AAAAABZ/71w=")</f>
        <v>#REF!</v>
      </c>
      <c r="CP15" s="27" t="e">
        <f>AND(#REF!,"AAAAABZ/710=")</f>
        <v>#REF!</v>
      </c>
      <c r="CQ15" s="27" t="e">
        <f>AND(#REF!,"AAAAABZ/714=")</f>
        <v>#REF!</v>
      </c>
      <c r="CR15" s="27" t="e">
        <f>AND(#REF!,"AAAAABZ/718=")</f>
        <v>#REF!</v>
      </c>
      <c r="CS15" s="27" t="e">
        <f>AND(#REF!,"AAAAABZ/72A=")</f>
        <v>#REF!</v>
      </c>
      <c r="CT15" s="27" t="e">
        <f>AND(#REF!,"AAAAABZ/72E=")</f>
        <v>#REF!</v>
      </c>
      <c r="CU15" s="27">
        <v>0</v>
      </c>
      <c r="CV15" s="27" t="e">
        <f>AND(#REF!,"AAAAABZ/72M=")</f>
        <v>#REF!</v>
      </c>
      <c r="CW15" s="27" t="e">
        <f>AND(#REF!,"AAAAABZ/72Q=")</f>
        <v>#REF!</v>
      </c>
      <c r="CX15" s="27" t="e">
        <f>AND(#REF!,"AAAAABZ/72U=")</f>
        <v>#REF!</v>
      </c>
      <c r="CY15" s="27" t="e">
        <f>AND(#REF!,"AAAAABZ/72Y=")</f>
        <v>#REF!</v>
      </c>
      <c r="CZ15" s="27" t="e">
        <f>AND(#REF!,"AAAAABZ/72c=")</f>
        <v>#REF!</v>
      </c>
      <c r="DA15" s="27" t="e">
        <f>AND(#REF!,"AAAAABZ/72g=")</f>
        <v>#REF!</v>
      </c>
      <c r="DB15" s="27" t="e">
        <f>AND(#REF!,"AAAAABZ/72k=")</f>
        <v>#REF!</v>
      </c>
      <c r="DC15" s="27" t="e">
        <f>AND(#REF!,"AAAAABZ/72o=")</f>
        <v>#REF!</v>
      </c>
      <c r="DD15" s="27" t="e">
        <f>AND(#REF!,"AAAAABZ/72s=")</f>
        <v>#REF!</v>
      </c>
      <c r="DE15" s="27">
        <v>0</v>
      </c>
      <c r="DF15" s="27" t="e">
        <f>AND(#REF!,"AAAAABZ/720=")</f>
        <v>#REF!</v>
      </c>
      <c r="DG15" s="27" t="e">
        <f>AND(#REF!,"AAAAABZ/724=")</f>
        <v>#REF!</v>
      </c>
      <c r="DH15" s="27" t="e">
        <f>AND(#REF!,"AAAAABZ/728=")</f>
        <v>#REF!</v>
      </c>
      <c r="DI15" s="27" t="e">
        <f>AND(#REF!,"AAAAABZ/73A=")</f>
        <v>#REF!</v>
      </c>
      <c r="DJ15" s="27" t="e">
        <f>AND(#REF!,"AAAAABZ/73E=")</f>
        <v>#REF!</v>
      </c>
      <c r="DK15" s="27" t="e">
        <f>AND(#REF!,"AAAAABZ/73I=")</f>
        <v>#REF!</v>
      </c>
      <c r="DL15" s="27" t="e">
        <f>AND(#REF!,"AAAAABZ/73M=")</f>
        <v>#REF!</v>
      </c>
      <c r="DM15" s="27" t="e">
        <f>AND(#REF!,"AAAAABZ/73Q=")</f>
        <v>#REF!</v>
      </c>
      <c r="DN15" s="27" t="e">
        <f>AND(#REF!,"AAAAABZ/73U=")</f>
        <v>#REF!</v>
      </c>
      <c r="DO15" s="27">
        <v>0</v>
      </c>
      <c r="DP15" s="27" t="e">
        <f>AND(#REF!,"AAAAABZ/73c=")</f>
        <v>#REF!</v>
      </c>
      <c r="DQ15" s="27" t="e">
        <f>AND(#REF!,"AAAAABZ/73g=")</f>
        <v>#REF!</v>
      </c>
      <c r="DR15" s="27" t="e">
        <f>AND(#REF!,"AAAAABZ/73k=")</f>
        <v>#REF!</v>
      </c>
      <c r="DS15" s="27" t="e">
        <f>AND(#REF!,"AAAAABZ/73o=")</f>
        <v>#REF!</v>
      </c>
      <c r="DT15" s="27" t="e">
        <f>AND(#REF!,"AAAAABZ/73s=")</f>
        <v>#REF!</v>
      </c>
      <c r="DU15" s="27" t="e">
        <f>AND(#REF!,"AAAAABZ/73w=")</f>
        <v>#REF!</v>
      </c>
      <c r="DV15" s="27" t="e">
        <f>AND(#REF!,"AAAAABZ/730=")</f>
        <v>#REF!</v>
      </c>
      <c r="DW15" s="27" t="e">
        <f>AND(#REF!,"AAAAABZ/734=")</f>
        <v>#REF!</v>
      </c>
      <c r="DX15" s="27" t="e">
        <f>AND(#REF!,"AAAAABZ/738=")</f>
        <v>#REF!</v>
      </c>
      <c r="DY15" s="27">
        <v>0</v>
      </c>
      <c r="DZ15" s="27" t="e">
        <f>AND(#REF!,"AAAAABZ/74E=")</f>
        <v>#REF!</v>
      </c>
      <c r="EA15" s="27" t="e">
        <f>AND(#REF!,"AAAAABZ/74I=")</f>
        <v>#REF!</v>
      </c>
      <c r="EB15" s="27" t="e">
        <f>AND(#REF!,"AAAAABZ/74M=")</f>
        <v>#REF!</v>
      </c>
      <c r="EC15" s="27" t="e">
        <f>AND(#REF!,"AAAAABZ/74Q=")</f>
        <v>#REF!</v>
      </c>
      <c r="ED15" s="27" t="e">
        <f>AND(#REF!,"AAAAABZ/74U=")</f>
        <v>#REF!</v>
      </c>
      <c r="EE15" s="27" t="e">
        <f>AND(#REF!,"AAAAABZ/74Y=")</f>
        <v>#REF!</v>
      </c>
      <c r="EF15" s="27" t="e">
        <f>AND(#REF!,"AAAAABZ/74c=")</f>
        <v>#REF!</v>
      </c>
      <c r="EG15" s="27" t="e">
        <f>AND(#REF!,"AAAAABZ/74g=")</f>
        <v>#REF!</v>
      </c>
      <c r="EH15" s="27" t="e">
        <f>AND(#REF!,"AAAAABZ/74k=")</f>
        <v>#REF!</v>
      </c>
      <c r="EI15" s="27">
        <v>0</v>
      </c>
      <c r="EJ15" s="27" t="e">
        <f>AND(#REF!,"AAAAABZ/74s=")</f>
        <v>#REF!</v>
      </c>
      <c r="EK15" s="27" t="e">
        <f>AND(#REF!,"AAAAABZ/74w=")</f>
        <v>#REF!</v>
      </c>
      <c r="EL15" s="27" t="e">
        <f>AND(#REF!,"AAAAABZ/740=")</f>
        <v>#REF!</v>
      </c>
      <c r="EM15" s="27" t="e">
        <f>AND(#REF!,"AAAAABZ/744=")</f>
        <v>#REF!</v>
      </c>
      <c r="EN15" s="27" t="e">
        <f>AND(#REF!,"AAAAABZ/748=")</f>
        <v>#REF!</v>
      </c>
      <c r="EO15" s="27" t="e">
        <f>AND(#REF!,"AAAAABZ/75A=")</f>
        <v>#REF!</v>
      </c>
      <c r="EP15" s="27" t="e">
        <f>AND(#REF!,"AAAAABZ/75E=")</f>
        <v>#REF!</v>
      </c>
      <c r="EQ15" s="27" t="e">
        <f>AND(#REF!,"AAAAABZ/75I=")</f>
        <v>#REF!</v>
      </c>
      <c r="ER15" s="27" t="e">
        <f>AND(#REF!,"AAAAABZ/75M=")</f>
        <v>#REF!</v>
      </c>
      <c r="ES15" s="27">
        <v>0</v>
      </c>
      <c r="ET15" s="27" t="e">
        <f>AND(#REF!,"AAAAABZ/75U=")</f>
        <v>#REF!</v>
      </c>
      <c r="EU15" s="27" t="e">
        <f>AND(#REF!,"AAAAABZ/75Y=")</f>
        <v>#REF!</v>
      </c>
      <c r="EV15" s="27" t="e">
        <f>AND(#REF!,"AAAAABZ/75c=")</f>
        <v>#REF!</v>
      </c>
      <c r="EW15" s="27" t="e">
        <f>AND(#REF!,"AAAAABZ/75g=")</f>
        <v>#REF!</v>
      </c>
      <c r="EX15" s="27" t="e">
        <f>AND(#REF!,"AAAAABZ/75k=")</f>
        <v>#REF!</v>
      </c>
      <c r="EY15" s="27" t="e">
        <f>AND(#REF!,"AAAAABZ/75o=")</f>
        <v>#REF!</v>
      </c>
      <c r="EZ15" s="27" t="e">
        <f>AND(#REF!,"AAAAABZ/75s=")</f>
        <v>#REF!</v>
      </c>
      <c r="FA15" s="27" t="e">
        <f>AND(#REF!,"AAAAABZ/75w=")</f>
        <v>#REF!</v>
      </c>
      <c r="FB15" s="27" t="e">
        <f>AND(#REF!,"AAAAABZ/750=")</f>
        <v>#REF!</v>
      </c>
      <c r="FC15" s="27">
        <v>0</v>
      </c>
      <c r="FD15" s="27" t="e">
        <f>AND(#REF!,"AAAAABZ/758=")</f>
        <v>#REF!</v>
      </c>
      <c r="FE15" s="27" t="e">
        <f>AND(#REF!,"AAAAABZ/76A=")</f>
        <v>#REF!</v>
      </c>
      <c r="FF15" s="27" t="e">
        <f>AND(#REF!,"AAAAABZ/76E=")</f>
        <v>#REF!</v>
      </c>
      <c r="FG15" s="27" t="e">
        <f>AND(#REF!,"AAAAABZ/76I=")</f>
        <v>#REF!</v>
      </c>
      <c r="FH15" s="27" t="e">
        <f>AND(#REF!,"AAAAABZ/76M=")</f>
        <v>#REF!</v>
      </c>
      <c r="FI15" s="27" t="e">
        <f>AND(#REF!,"AAAAABZ/76Q=")</f>
        <v>#REF!</v>
      </c>
      <c r="FJ15" s="27" t="e">
        <f>AND(#REF!,"AAAAABZ/76U=")</f>
        <v>#REF!</v>
      </c>
      <c r="FK15" s="27" t="e">
        <f>AND(#REF!,"AAAAABZ/76Y=")</f>
        <v>#REF!</v>
      </c>
      <c r="FL15" s="27" t="e">
        <f>AND(#REF!,"AAAAABZ/76c=")</f>
        <v>#REF!</v>
      </c>
      <c r="FM15" s="27">
        <v>0</v>
      </c>
      <c r="FN15" s="27" t="e">
        <f>AND(#REF!,"AAAAABZ/76k=")</f>
        <v>#REF!</v>
      </c>
      <c r="FO15" s="27" t="e">
        <f>AND(#REF!,"AAAAABZ/76o=")</f>
        <v>#REF!</v>
      </c>
      <c r="FP15" s="27" t="e">
        <f>AND(#REF!,"AAAAABZ/76s=")</f>
        <v>#REF!</v>
      </c>
      <c r="FQ15" s="27" t="e">
        <f>AND(#REF!,"AAAAABZ/76w=")</f>
        <v>#REF!</v>
      </c>
      <c r="FR15" s="27" t="e">
        <f>AND(#REF!,"AAAAABZ/760=")</f>
        <v>#REF!</v>
      </c>
      <c r="FS15" s="27" t="e">
        <f>AND(#REF!,"AAAAABZ/764=")</f>
        <v>#REF!</v>
      </c>
      <c r="FT15" s="27" t="e">
        <f>AND(#REF!,"AAAAABZ/768=")</f>
        <v>#REF!</v>
      </c>
      <c r="FU15" s="27" t="e">
        <f>AND(#REF!,"AAAAABZ/77A=")</f>
        <v>#REF!</v>
      </c>
      <c r="FV15" s="27" t="e">
        <f>AND(#REF!,"AAAAABZ/77E=")</f>
        <v>#REF!</v>
      </c>
      <c r="FW15" s="27">
        <v>0</v>
      </c>
      <c r="FX15" s="27" t="e">
        <f>AND(#REF!,"AAAAABZ/77M=")</f>
        <v>#REF!</v>
      </c>
      <c r="FY15" s="27" t="e">
        <f>AND(#REF!,"AAAAABZ/77Q=")</f>
        <v>#REF!</v>
      </c>
      <c r="FZ15" s="27" t="e">
        <f>AND(#REF!,"AAAAABZ/77U=")</f>
        <v>#REF!</v>
      </c>
      <c r="GA15" s="27" t="e">
        <f>AND(#REF!,"AAAAABZ/77Y=")</f>
        <v>#REF!</v>
      </c>
      <c r="GB15" s="27" t="e">
        <f>AND(#REF!,"AAAAABZ/77c=")</f>
        <v>#REF!</v>
      </c>
      <c r="GC15" s="27" t="e">
        <f>AND(#REF!,"AAAAABZ/77g=")</f>
        <v>#REF!</v>
      </c>
      <c r="GD15" s="27" t="e">
        <f>AND(#REF!,"AAAAABZ/77k=")</f>
        <v>#REF!</v>
      </c>
      <c r="GE15" s="27" t="e">
        <f>AND(#REF!,"AAAAABZ/77o=")</f>
        <v>#REF!</v>
      </c>
      <c r="GF15" s="27" t="e">
        <f>AND(#REF!,"AAAAABZ/77s=")</f>
        <v>#REF!</v>
      </c>
      <c r="GG15" s="27">
        <v>0</v>
      </c>
      <c r="GH15" s="27" t="e">
        <f>AND(#REF!,"AAAAABZ/770=")</f>
        <v>#REF!</v>
      </c>
      <c r="GI15" s="27" t="e">
        <f>AND(#REF!,"AAAAABZ/774=")</f>
        <v>#REF!</v>
      </c>
      <c r="GJ15" s="27" t="e">
        <f>AND(#REF!,"AAAAABZ/778=")</f>
        <v>#REF!</v>
      </c>
      <c r="GK15" s="27" t="e">
        <f>AND(#REF!,"AAAAABZ/78A=")</f>
        <v>#REF!</v>
      </c>
      <c r="GL15" s="27" t="e">
        <f>AND(#REF!,"AAAAABZ/78E=")</f>
        <v>#REF!</v>
      </c>
      <c r="GM15" s="27" t="e">
        <f>AND(#REF!,"AAAAABZ/78I=")</f>
        <v>#REF!</v>
      </c>
      <c r="GN15" s="27" t="e">
        <f>AND(#REF!,"AAAAABZ/78M=")</f>
        <v>#REF!</v>
      </c>
      <c r="GO15" s="27" t="e">
        <f>AND(#REF!,"AAAAABZ/78Q=")</f>
        <v>#REF!</v>
      </c>
      <c r="GP15" s="27" t="e">
        <f>AND(#REF!,"AAAAABZ/78U=")</f>
        <v>#REF!</v>
      </c>
      <c r="GQ15" s="27">
        <v>0</v>
      </c>
      <c r="GR15" s="27" t="e">
        <f>AND(#REF!,"AAAAABZ/78c=")</f>
        <v>#REF!</v>
      </c>
      <c r="GS15" s="27" t="e">
        <f>AND(#REF!,"AAAAABZ/78g=")</f>
        <v>#REF!</v>
      </c>
      <c r="GT15" s="27" t="e">
        <f>AND(#REF!,"AAAAABZ/78k=")</f>
        <v>#REF!</v>
      </c>
      <c r="GU15" s="27" t="e">
        <f>AND(#REF!,"AAAAABZ/78o=")</f>
        <v>#REF!</v>
      </c>
      <c r="GV15" s="27" t="e">
        <f>AND(#REF!,"AAAAABZ/78s=")</f>
        <v>#REF!</v>
      </c>
      <c r="GW15" s="27" t="e">
        <f>AND(#REF!,"AAAAABZ/78w=")</f>
        <v>#REF!</v>
      </c>
      <c r="GX15" s="27" t="e">
        <f>AND(#REF!,"AAAAABZ/780=")</f>
        <v>#REF!</v>
      </c>
      <c r="GY15" s="27" t="e">
        <f>AND(#REF!,"AAAAABZ/784=")</f>
        <v>#REF!</v>
      </c>
      <c r="GZ15" s="27" t="e">
        <f>AND(#REF!,"AAAAABZ/788=")</f>
        <v>#REF!</v>
      </c>
      <c r="HA15" s="27">
        <v>0</v>
      </c>
      <c r="HB15" s="27" t="e">
        <f>AND(#REF!,"AAAAABZ/79E=")</f>
        <v>#REF!</v>
      </c>
      <c r="HC15" s="27" t="e">
        <f>AND(#REF!,"AAAAABZ/79I=")</f>
        <v>#REF!</v>
      </c>
      <c r="HD15" s="27" t="e">
        <f>AND(#REF!,"AAAAABZ/79M=")</f>
        <v>#REF!</v>
      </c>
      <c r="HE15" s="27" t="e">
        <f>AND(#REF!,"AAAAABZ/79Q=")</f>
        <v>#REF!</v>
      </c>
      <c r="HF15" s="27" t="e">
        <f>AND(#REF!,"AAAAABZ/79U=")</f>
        <v>#REF!</v>
      </c>
      <c r="HG15" s="27" t="e">
        <f>AND(#REF!,"AAAAABZ/79Y=")</f>
        <v>#REF!</v>
      </c>
      <c r="HH15" s="27" t="e">
        <f>AND(#REF!,"AAAAABZ/79c=")</f>
        <v>#REF!</v>
      </c>
      <c r="HI15" s="27" t="e">
        <f>AND(#REF!,"AAAAABZ/79g=")</f>
        <v>#REF!</v>
      </c>
      <c r="HJ15" s="27" t="e">
        <f>AND(#REF!,"AAAAABZ/79k=")</f>
        <v>#REF!</v>
      </c>
      <c r="HK15" s="27">
        <v>0</v>
      </c>
      <c r="HL15" s="27" t="e">
        <f>AND(#REF!,"AAAAABZ/79s=")</f>
        <v>#REF!</v>
      </c>
      <c r="HM15" s="27" t="e">
        <f>AND(#REF!,"AAAAABZ/79w=")</f>
        <v>#REF!</v>
      </c>
      <c r="HN15" s="27" t="e">
        <f>AND(#REF!,"AAAAABZ/790=")</f>
        <v>#REF!</v>
      </c>
      <c r="HO15" s="27" t="e">
        <f>AND(#REF!,"AAAAABZ/794=")</f>
        <v>#REF!</v>
      </c>
      <c r="HP15" s="27" t="e">
        <f>AND(#REF!,"AAAAABZ/798=")</f>
        <v>#REF!</v>
      </c>
      <c r="HQ15" s="27" t="e">
        <f>AND(#REF!,"AAAAABZ/7+A=")</f>
        <v>#REF!</v>
      </c>
      <c r="HR15" s="27" t="e">
        <f>AND(#REF!,"AAAAABZ/7+E=")</f>
        <v>#REF!</v>
      </c>
      <c r="HS15" s="27" t="e">
        <f>AND(#REF!,"AAAAABZ/7+I=")</f>
        <v>#REF!</v>
      </c>
      <c r="HT15" s="27" t="e">
        <f>AND(#REF!,"AAAAABZ/7+M=")</f>
        <v>#REF!</v>
      </c>
      <c r="HU15" s="27">
        <v>0</v>
      </c>
      <c r="HV15" s="27" t="e">
        <f>AND(#REF!,"AAAAABZ/7+U=")</f>
        <v>#REF!</v>
      </c>
      <c r="HW15" s="27" t="e">
        <f>AND(#REF!,"AAAAABZ/7+Y=")</f>
        <v>#REF!</v>
      </c>
      <c r="HX15" s="27" t="e">
        <f>AND(#REF!,"AAAAABZ/7+c=")</f>
        <v>#REF!</v>
      </c>
      <c r="HY15" s="27" t="e">
        <f>AND(#REF!,"AAAAABZ/7+g=")</f>
        <v>#REF!</v>
      </c>
      <c r="HZ15" s="27" t="e">
        <f>AND(#REF!,"AAAAABZ/7+k=")</f>
        <v>#REF!</v>
      </c>
      <c r="IA15" s="27" t="e">
        <f>AND(#REF!,"AAAAABZ/7+o=")</f>
        <v>#REF!</v>
      </c>
      <c r="IB15" s="27" t="e">
        <f>AND(#REF!,"AAAAABZ/7+s=")</f>
        <v>#REF!</v>
      </c>
      <c r="IC15" s="27" t="e">
        <f>AND(#REF!,"AAAAABZ/7+w=")</f>
        <v>#REF!</v>
      </c>
      <c r="ID15" s="27" t="e">
        <f>AND(#REF!,"AAAAABZ/7+0=")</f>
        <v>#REF!</v>
      </c>
      <c r="IE15" s="27">
        <v>0</v>
      </c>
      <c r="IF15" s="27" t="e">
        <f>AND(#REF!,"AAAAABZ/7+8=")</f>
        <v>#REF!</v>
      </c>
      <c r="IG15" s="27" t="e">
        <f>AND(#REF!,"AAAAABZ/7/A=")</f>
        <v>#REF!</v>
      </c>
      <c r="IH15" s="27" t="e">
        <f>AND(#REF!,"AAAAABZ/7/E=")</f>
        <v>#REF!</v>
      </c>
      <c r="II15" s="27" t="e">
        <f>AND(#REF!,"AAAAABZ/7/I=")</f>
        <v>#REF!</v>
      </c>
      <c r="IJ15" s="27" t="e">
        <f>AND(#REF!,"AAAAABZ/7/M=")</f>
        <v>#REF!</v>
      </c>
      <c r="IK15" s="27" t="e">
        <f>AND(#REF!,"AAAAABZ/7/Q=")</f>
        <v>#REF!</v>
      </c>
      <c r="IL15" s="27" t="e">
        <f>AND(#REF!,"AAAAABZ/7/U=")</f>
        <v>#REF!</v>
      </c>
      <c r="IM15" s="27" t="e">
        <f>AND(#REF!,"AAAAABZ/7/Y=")</f>
        <v>#REF!</v>
      </c>
      <c r="IN15" s="27" t="e">
        <f>AND(#REF!,"AAAAABZ/7/c=")</f>
        <v>#REF!</v>
      </c>
      <c r="IO15" s="27">
        <v>0</v>
      </c>
      <c r="IP15" s="27" t="e">
        <f>AND(#REF!,"AAAAABZ/7/k=")</f>
        <v>#REF!</v>
      </c>
      <c r="IQ15" s="27" t="e">
        <f>AND(#REF!,"AAAAABZ/7/o=")</f>
        <v>#REF!</v>
      </c>
      <c r="IR15" s="27" t="e">
        <f>AND(#REF!,"AAAAABZ/7/s=")</f>
        <v>#REF!</v>
      </c>
      <c r="IS15" s="27" t="e">
        <f>AND(#REF!,"AAAAABZ/7/w=")</f>
        <v>#REF!</v>
      </c>
      <c r="IT15" s="27" t="e">
        <f>AND(#REF!,"AAAAABZ/7/0=")</f>
        <v>#REF!</v>
      </c>
      <c r="IU15" s="27" t="e">
        <f>AND(#REF!,"AAAAABZ/7/4=")</f>
        <v>#REF!</v>
      </c>
      <c r="IV15" s="27" t="e">
        <f>AND(#REF!,"AAAAABZ/7/8=")</f>
        <v>#REF!</v>
      </c>
    </row>
    <row r="16" spans="1:256" ht="12.75" customHeight="1" x14ac:dyDescent="0.2">
      <c r="A16" s="27" t="e">
        <f>AND(#REF!,"AAAAAHy57QA=")</f>
        <v>#REF!</v>
      </c>
      <c r="B16" s="27" t="e">
        <f>AND(#REF!,"AAAAAHy57QE=")</f>
        <v>#REF!</v>
      </c>
      <c r="C16" s="27">
        <v>0</v>
      </c>
      <c r="D16" s="27" t="e">
        <f>AND(#REF!,"AAAAAHy57QM=")</f>
        <v>#REF!</v>
      </c>
      <c r="E16" s="27" t="e">
        <f>AND(#REF!,"AAAAAHy57QQ=")</f>
        <v>#REF!</v>
      </c>
      <c r="F16" s="27" t="e">
        <f>AND(#REF!,"AAAAAHy57QU=")</f>
        <v>#REF!</v>
      </c>
      <c r="G16" s="27" t="e">
        <f>AND(#REF!,"AAAAAHy57QY=")</f>
        <v>#REF!</v>
      </c>
      <c r="H16" s="27" t="e">
        <f>AND(#REF!,"AAAAAHy57Qc=")</f>
        <v>#REF!</v>
      </c>
      <c r="I16" s="27" t="e">
        <f>AND(#REF!,"AAAAAHy57Qg=")</f>
        <v>#REF!</v>
      </c>
      <c r="J16" s="27" t="e">
        <f>AND(#REF!,"AAAAAHy57Qk=")</f>
        <v>#REF!</v>
      </c>
      <c r="K16" s="27" t="e">
        <f>AND(#REF!,"AAAAAHy57Qo=")</f>
        <v>#REF!</v>
      </c>
      <c r="L16" s="27" t="e">
        <f>AND(#REF!,"AAAAAHy57Qs=")</f>
        <v>#REF!</v>
      </c>
      <c r="M16" s="27">
        <v>0</v>
      </c>
      <c r="N16" s="27" t="e">
        <f>AND(#REF!,"AAAAAHy57Q0=")</f>
        <v>#REF!</v>
      </c>
      <c r="O16" s="27" t="e">
        <f>AND(#REF!,"AAAAAHy57Q4=")</f>
        <v>#REF!</v>
      </c>
      <c r="P16" s="27" t="e">
        <f>AND(#REF!,"AAAAAHy57Q8=")</f>
        <v>#REF!</v>
      </c>
      <c r="Q16" s="27" t="e">
        <f>AND(#REF!,"AAAAAHy57RA=")</f>
        <v>#REF!</v>
      </c>
      <c r="R16" s="27" t="e">
        <f>AND(#REF!,"AAAAAHy57RE=")</f>
        <v>#REF!</v>
      </c>
      <c r="S16" s="27" t="e">
        <f>AND(#REF!,"AAAAAHy57RI=")</f>
        <v>#REF!</v>
      </c>
      <c r="T16" s="27" t="e">
        <f>AND(#REF!,"AAAAAHy57RM=")</f>
        <v>#REF!</v>
      </c>
      <c r="U16" s="27" t="e">
        <f>AND(#REF!,"AAAAAHy57RQ=")</f>
        <v>#REF!</v>
      </c>
      <c r="V16" s="27" t="e">
        <f>AND(#REF!,"AAAAAHy57RU=")</f>
        <v>#REF!</v>
      </c>
      <c r="W16" s="27">
        <v>0</v>
      </c>
      <c r="X16" s="27" t="e">
        <f>AND(#REF!,"AAAAAHy57Rc=")</f>
        <v>#REF!</v>
      </c>
      <c r="Y16" s="27" t="e">
        <f>AND(#REF!,"AAAAAHy57Rg=")</f>
        <v>#REF!</v>
      </c>
      <c r="Z16" s="27" t="e">
        <f>AND(#REF!,"AAAAAHy57Rk=")</f>
        <v>#REF!</v>
      </c>
      <c r="AA16" s="27" t="e">
        <f>AND(#REF!,"AAAAAHy57Ro=")</f>
        <v>#REF!</v>
      </c>
      <c r="AB16" s="27" t="e">
        <f>AND(#REF!,"AAAAAHy57Rs=")</f>
        <v>#REF!</v>
      </c>
      <c r="AC16" s="27" t="e">
        <f>AND(#REF!,"AAAAAHy57Rw=")</f>
        <v>#REF!</v>
      </c>
      <c r="AD16" s="27" t="e">
        <f>AND(#REF!,"AAAAAHy57R0=")</f>
        <v>#REF!</v>
      </c>
      <c r="AE16" s="27" t="e">
        <f>AND(#REF!,"AAAAAHy57R4=")</f>
        <v>#REF!</v>
      </c>
      <c r="AF16" s="27" t="e">
        <f>AND(#REF!,"AAAAAHy57R8=")</f>
        <v>#REF!</v>
      </c>
      <c r="AG16" s="27">
        <v>0</v>
      </c>
      <c r="AH16" s="27" t="e">
        <f>AND(#REF!,"AAAAAHy57SE=")</f>
        <v>#REF!</v>
      </c>
      <c r="AI16" s="27" t="e">
        <f>AND(#REF!,"AAAAAHy57SI=")</f>
        <v>#REF!</v>
      </c>
      <c r="AJ16" s="27" t="e">
        <f>AND(#REF!,"AAAAAHy57SM=")</f>
        <v>#REF!</v>
      </c>
      <c r="AK16" s="27" t="e">
        <f>AND(#REF!,"AAAAAHy57SQ=")</f>
        <v>#REF!</v>
      </c>
      <c r="AL16" s="27" t="e">
        <f>AND(#REF!,"AAAAAHy57SU=")</f>
        <v>#REF!</v>
      </c>
      <c r="AM16" s="27" t="e">
        <f>AND(#REF!,"AAAAAHy57SY=")</f>
        <v>#REF!</v>
      </c>
      <c r="AN16" s="27" t="e">
        <f>AND(#REF!,"AAAAAHy57Sc=")</f>
        <v>#REF!</v>
      </c>
      <c r="AO16" s="27" t="e">
        <f>AND(#REF!,"AAAAAHy57Sg=")</f>
        <v>#REF!</v>
      </c>
      <c r="AP16" s="27" t="e">
        <f>AND(#REF!,"AAAAAHy57Sk=")</f>
        <v>#REF!</v>
      </c>
      <c r="AQ16" s="27">
        <v>0</v>
      </c>
      <c r="AR16" s="27" t="e">
        <f>AND(#REF!,"AAAAAHy57Ss=")</f>
        <v>#REF!</v>
      </c>
      <c r="AS16" s="27" t="e">
        <f>AND(#REF!,"AAAAAHy57Sw=")</f>
        <v>#REF!</v>
      </c>
      <c r="AT16" s="27" t="e">
        <f>AND(#REF!,"AAAAAHy57S0=")</f>
        <v>#REF!</v>
      </c>
      <c r="AU16" s="27" t="e">
        <f>AND(#REF!,"AAAAAHy57S4=")</f>
        <v>#REF!</v>
      </c>
      <c r="AV16" s="27" t="e">
        <f>AND(#REF!,"AAAAAHy57S8=")</f>
        <v>#REF!</v>
      </c>
      <c r="AW16" s="27" t="e">
        <f>AND(#REF!,"AAAAAHy57TA=")</f>
        <v>#REF!</v>
      </c>
      <c r="AX16" s="27" t="e">
        <f>AND(#REF!,"AAAAAHy57TE=")</f>
        <v>#REF!</v>
      </c>
      <c r="AY16" s="27" t="e">
        <f>AND(#REF!,"AAAAAHy57TI=")</f>
        <v>#REF!</v>
      </c>
      <c r="AZ16" s="27" t="e">
        <f>AND(#REF!,"AAAAAHy57TM=")</f>
        <v>#REF!</v>
      </c>
      <c r="BA16" s="27">
        <v>0</v>
      </c>
      <c r="BB16" s="27" t="e">
        <f>AND(#REF!,"AAAAAHy57TU=")</f>
        <v>#REF!</v>
      </c>
      <c r="BC16" s="27" t="e">
        <f>AND(#REF!,"AAAAAHy57TY=")</f>
        <v>#REF!</v>
      </c>
      <c r="BD16" s="27" t="e">
        <f>AND(#REF!,"AAAAAHy57Tc=")</f>
        <v>#REF!</v>
      </c>
      <c r="BE16" s="27" t="e">
        <f>AND(#REF!,"AAAAAHy57Tg=")</f>
        <v>#REF!</v>
      </c>
      <c r="BF16" s="27" t="e">
        <f>AND(#REF!,"AAAAAHy57Tk=")</f>
        <v>#REF!</v>
      </c>
      <c r="BG16" s="27" t="e">
        <f>AND(#REF!,"AAAAAHy57To=")</f>
        <v>#REF!</v>
      </c>
      <c r="BH16" s="27" t="e">
        <f>AND(#REF!,"AAAAAHy57Ts=")</f>
        <v>#REF!</v>
      </c>
      <c r="BI16" s="27" t="e">
        <f>AND(#REF!,"AAAAAHy57Tw=")</f>
        <v>#REF!</v>
      </c>
      <c r="BJ16" s="27" t="e">
        <f>AND(#REF!,"AAAAAHy57T0=")</f>
        <v>#REF!</v>
      </c>
      <c r="BK16" s="27">
        <v>0</v>
      </c>
      <c r="BL16" s="27" t="e">
        <f>AND(#REF!,"AAAAAHy57T8=")</f>
        <v>#REF!</v>
      </c>
      <c r="BM16" s="27" t="e">
        <f>AND(#REF!,"AAAAAHy57UA=")</f>
        <v>#REF!</v>
      </c>
      <c r="BN16" s="27" t="e">
        <f>AND(#REF!,"AAAAAHy57UE=")</f>
        <v>#REF!</v>
      </c>
      <c r="BO16" s="27" t="e">
        <f>AND(#REF!,"AAAAAHy57UI=")</f>
        <v>#REF!</v>
      </c>
      <c r="BP16" s="27" t="e">
        <f>AND(#REF!,"AAAAAHy57UM=")</f>
        <v>#REF!</v>
      </c>
      <c r="BQ16" s="27" t="e">
        <f>AND(#REF!,"AAAAAHy57UQ=")</f>
        <v>#REF!</v>
      </c>
      <c r="BR16" s="27" t="e">
        <f>AND(#REF!,"AAAAAHy57UU=")</f>
        <v>#REF!</v>
      </c>
      <c r="BS16" s="27" t="e">
        <f>AND(#REF!,"AAAAAHy57UY=")</f>
        <v>#REF!</v>
      </c>
      <c r="BT16" s="27" t="e">
        <f>AND(#REF!,"AAAAAHy57Uc=")</f>
        <v>#REF!</v>
      </c>
      <c r="BU16" s="27">
        <v>0</v>
      </c>
      <c r="BV16" s="27" t="e">
        <f>AND(#REF!,"AAAAAHy57Uk=")</f>
        <v>#REF!</v>
      </c>
      <c r="BW16" s="27" t="e">
        <f>AND(#REF!,"AAAAAHy57Uo=")</f>
        <v>#REF!</v>
      </c>
      <c r="BX16" s="27" t="e">
        <f>AND(#REF!,"AAAAAHy57Us=")</f>
        <v>#REF!</v>
      </c>
      <c r="BY16" s="27" t="e">
        <f>AND(#REF!,"AAAAAHy57Uw=")</f>
        <v>#REF!</v>
      </c>
      <c r="BZ16" s="27" t="e">
        <f>AND(#REF!,"AAAAAHy57U0=")</f>
        <v>#REF!</v>
      </c>
      <c r="CA16" s="27" t="e">
        <f>AND(#REF!,"AAAAAHy57U4=")</f>
        <v>#REF!</v>
      </c>
      <c r="CB16" s="27" t="e">
        <f>AND(#REF!,"AAAAAHy57U8=")</f>
        <v>#REF!</v>
      </c>
      <c r="CC16" s="27" t="e">
        <f>AND(#REF!,"AAAAAHy57VA=")</f>
        <v>#REF!</v>
      </c>
      <c r="CD16" s="27" t="e">
        <f>AND(#REF!,"AAAAAHy57VE=")</f>
        <v>#REF!</v>
      </c>
      <c r="CE16" s="27">
        <v>0</v>
      </c>
      <c r="CF16" s="27" t="e">
        <f>AND(#REF!,"AAAAAHy57VM=")</f>
        <v>#REF!</v>
      </c>
      <c r="CG16" s="27" t="e">
        <f>AND(#REF!,"AAAAAHy57VQ=")</f>
        <v>#REF!</v>
      </c>
      <c r="CH16" s="27" t="e">
        <f>AND(#REF!,"AAAAAHy57VU=")</f>
        <v>#REF!</v>
      </c>
      <c r="CI16" s="27" t="e">
        <f>AND(#REF!,"AAAAAHy57VY=")</f>
        <v>#REF!</v>
      </c>
      <c r="CJ16" s="27" t="e">
        <f>AND(#REF!,"AAAAAHy57Vc=")</f>
        <v>#REF!</v>
      </c>
      <c r="CK16" s="27" t="e">
        <f>AND(#REF!,"AAAAAHy57Vg=")</f>
        <v>#REF!</v>
      </c>
      <c r="CL16" s="27" t="e">
        <f>AND(#REF!,"AAAAAHy57Vk=")</f>
        <v>#REF!</v>
      </c>
      <c r="CM16" s="27" t="e">
        <f>AND(#REF!,"AAAAAHy57Vo=")</f>
        <v>#REF!</v>
      </c>
      <c r="CN16" s="27" t="e">
        <f>AND(#REF!,"AAAAAHy57Vs=")</f>
        <v>#REF!</v>
      </c>
      <c r="CO16" s="27">
        <v>0</v>
      </c>
      <c r="CP16" s="27" t="e">
        <f>AND(#REF!,"AAAAAHy57V0=")</f>
        <v>#REF!</v>
      </c>
      <c r="CQ16" s="27" t="e">
        <f>AND(#REF!,"AAAAAHy57V4=")</f>
        <v>#REF!</v>
      </c>
      <c r="CR16" s="27" t="e">
        <f>AND(#REF!,"AAAAAHy57V8=")</f>
        <v>#REF!</v>
      </c>
      <c r="CS16" s="27" t="e">
        <f>AND(#REF!,"AAAAAHy57WA=")</f>
        <v>#REF!</v>
      </c>
      <c r="CT16" s="27" t="e">
        <f>AND(#REF!,"AAAAAHy57WE=")</f>
        <v>#REF!</v>
      </c>
      <c r="CU16" s="27" t="e">
        <f>AND(#REF!,"AAAAAHy57WI=")</f>
        <v>#REF!</v>
      </c>
      <c r="CV16" s="27" t="e">
        <f>AND(#REF!,"AAAAAHy57WM=")</f>
        <v>#REF!</v>
      </c>
      <c r="CW16" s="27" t="e">
        <f>AND(#REF!,"AAAAAHy57WQ=")</f>
        <v>#REF!</v>
      </c>
      <c r="CX16" s="27" t="e">
        <f>AND(#REF!,"AAAAAHy57WU=")</f>
        <v>#REF!</v>
      </c>
      <c r="CY16" s="27">
        <v>0</v>
      </c>
      <c r="CZ16" s="27" t="e">
        <f>AND(#REF!,"AAAAAHy57Wc=")</f>
        <v>#REF!</v>
      </c>
      <c r="DA16" s="27" t="e">
        <f>AND(#REF!,"AAAAAHy57Wg=")</f>
        <v>#REF!</v>
      </c>
      <c r="DB16" s="27" t="e">
        <f>AND(#REF!,"AAAAAHy57Wk=")</f>
        <v>#REF!</v>
      </c>
      <c r="DC16" s="27" t="e">
        <f>AND(#REF!,"AAAAAHy57Wo=")</f>
        <v>#REF!</v>
      </c>
      <c r="DD16" s="27" t="e">
        <f>AND(#REF!,"AAAAAHy57Ws=")</f>
        <v>#REF!</v>
      </c>
      <c r="DE16" s="27" t="e">
        <f>AND(#REF!,"AAAAAHy57Ww=")</f>
        <v>#REF!</v>
      </c>
      <c r="DF16" s="27" t="e">
        <f>AND(#REF!,"AAAAAHy57W0=")</f>
        <v>#REF!</v>
      </c>
      <c r="DG16" s="27" t="e">
        <f>AND(#REF!,"AAAAAHy57W4=")</f>
        <v>#REF!</v>
      </c>
      <c r="DH16" s="27" t="e">
        <f>AND(#REF!,"AAAAAHy57W8=")</f>
        <v>#REF!</v>
      </c>
      <c r="DI16" s="27">
        <v>0</v>
      </c>
      <c r="DJ16" s="27" t="e">
        <f>AND(#REF!,"AAAAAHy57XE=")</f>
        <v>#REF!</v>
      </c>
      <c r="DK16" s="27" t="e">
        <f>AND(#REF!,"AAAAAHy57XI=")</f>
        <v>#REF!</v>
      </c>
      <c r="DL16" s="27" t="e">
        <f>AND(#REF!,"AAAAAHy57XM=")</f>
        <v>#REF!</v>
      </c>
      <c r="DM16" s="27" t="e">
        <f>AND(#REF!,"AAAAAHy57XQ=")</f>
        <v>#REF!</v>
      </c>
      <c r="DN16" s="27" t="e">
        <f>AND(#REF!,"AAAAAHy57XU=")</f>
        <v>#REF!</v>
      </c>
      <c r="DO16" s="27" t="e">
        <f>AND(#REF!,"AAAAAHy57XY=")</f>
        <v>#REF!</v>
      </c>
      <c r="DP16" s="27" t="e">
        <f>AND(#REF!,"AAAAAHy57Xc=")</f>
        <v>#REF!</v>
      </c>
      <c r="DQ16" s="27" t="e">
        <f>AND(#REF!,"AAAAAHy57Xg=")</f>
        <v>#REF!</v>
      </c>
      <c r="DR16" s="27" t="e">
        <f>AND(#REF!,"AAAAAHy57Xk=")</f>
        <v>#REF!</v>
      </c>
      <c r="DS16" s="27">
        <v>0</v>
      </c>
      <c r="DT16" s="27" t="e">
        <f>AND(#REF!,"AAAAAHy57Xs=")</f>
        <v>#REF!</v>
      </c>
      <c r="DU16" s="27" t="e">
        <f>AND(#REF!,"AAAAAHy57Xw=")</f>
        <v>#REF!</v>
      </c>
      <c r="DV16" s="27" t="e">
        <f>AND(#REF!,"AAAAAHy57X0=")</f>
        <v>#REF!</v>
      </c>
      <c r="DW16" s="27" t="e">
        <f>AND(#REF!,"AAAAAHy57X4=")</f>
        <v>#REF!</v>
      </c>
      <c r="DX16" s="27" t="e">
        <f>AND(#REF!,"AAAAAHy57X8=")</f>
        <v>#REF!</v>
      </c>
      <c r="DY16" s="27" t="e">
        <f>AND(#REF!,"AAAAAHy57YA=")</f>
        <v>#REF!</v>
      </c>
      <c r="DZ16" s="27" t="e">
        <f>AND(#REF!,"AAAAAHy57YE=")</f>
        <v>#REF!</v>
      </c>
      <c r="EA16" s="27" t="e">
        <f>AND(#REF!,"AAAAAHy57YI=")</f>
        <v>#REF!</v>
      </c>
      <c r="EB16" s="27" t="e">
        <f>AND(#REF!,"AAAAAHy57YM=")</f>
        <v>#REF!</v>
      </c>
      <c r="EC16" s="27">
        <v>0</v>
      </c>
      <c r="ED16" s="27" t="e">
        <f>AND(#REF!,"AAAAAHy57YU=")</f>
        <v>#REF!</v>
      </c>
      <c r="EE16" s="27" t="e">
        <f>AND(#REF!,"AAAAAHy57YY=")</f>
        <v>#REF!</v>
      </c>
      <c r="EF16" s="27" t="e">
        <f>AND(#REF!,"AAAAAHy57Yc=")</f>
        <v>#REF!</v>
      </c>
      <c r="EG16" s="27" t="e">
        <f>AND(#REF!,"AAAAAHy57Yg=")</f>
        <v>#REF!</v>
      </c>
      <c r="EH16" s="27" t="e">
        <f>AND(#REF!,"AAAAAHy57Yk=")</f>
        <v>#REF!</v>
      </c>
      <c r="EI16" s="27" t="e">
        <f>AND(#REF!,"AAAAAHy57Yo=")</f>
        <v>#REF!</v>
      </c>
      <c r="EJ16" s="27" t="e">
        <f>AND(#REF!,"AAAAAHy57Ys=")</f>
        <v>#REF!</v>
      </c>
      <c r="EK16" s="27" t="e">
        <f>AND(#REF!,"AAAAAHy57Yw=")</f>
        <v>#REF!</v>
      </c>
      <c r="EL16" s="27" t="e">
        <f>AND(#REF!,"AAAAAHy57Y0=")</f>
        <v>#REF!</v>
      </c>
      <c r="EM16" s="27">
        <v>0</v>
      </c>
      <c r="EN16" s="27">
        <v>0</v>
      </c>
      <c r="EO16" s="27">
        <v>0</v>
      </c>
      <c r="EP16" s="27">
        <v>0</v>
      </c>
      <c r="EQ16" s="27">
        <v>0</v>
      </c>
      <c r="ER16" s="27">
        <v>0</v>
      </c>
      <c r="ES16" s="27">
        <v>0</v>
      </c>
      <c r="ET16" s="27">
        <v>0</v>
      </c>
      <c r="EU16" s="27">
        <v>0</v>
      </c>
      <c r="EV16" s="27">
        <v>0</v>
      </c>
      <c r="EW16" s="27">
        <v>0</v>
      </c>
      <c r="EX16" s="27" t="s">
        <v>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2"/>
  <sheetViews>
    <sheetView zoomScaleNormal="100" workbookViewId="0"/>
  </sheetViews>
  <sheetFormatPr defaultColWidth="20.7109375" defaultRowHeight="12.75" x14ac:dyDescent="0.2"/>
  <cols>
    <col min="1" max="1" width="20.7109375" style="124"/>
    <col min="2" max="2" width="40.7109375" style="124" customWidth="1"/>
    <col min="3" max="16384" width="20.7109375" style="124"/>
  </cols>
  <sheetData>
    <row r="1" spans="1:9" s="105" customFormat="1" ht="15" x14ac:dyDescent="0.2">
      <c r="A1" s="6" t="s">
        <v>25</v>
      </c>
      <c r="B1" s="151" t="s">
        <v>219</v>
      </c>
      <c r="C1" s="91"/>
      <c r="D1" s="92"/>
      <c r="E1" s="199"/>
    </row>
    <row r="2" spans="1:9" ht="15" x14ac:dyDescent="0.2">
      <c r="A2" s="170" t="s">
        <v>26</v>
      </c>
      <c r="B2" s="34" t="s">
        <v>232</v>
      </c>
      <c r="C2" s="10"/>
      <c r="D2" s="4"/>
    </row>
    <row r="3" spans="1:9" ht="15" x14ac:dyDescent="0.2">
      <c r="A3" s="8" t="s">
        <v>27</v>
      </c>
      <c r="B3" s="34" t="s">
        <v>232</v>
      </c>
      <c r="C3" s="7"/>
      <c r="D3" s="21"/>
    </row>
    <row r="4" spans="1:9" ht="25.5" x14ac:dyDescent="0.2">
      <c r="A4" s="99" t="s">
        <v>28</v>
      </c>
      <c r="B4" s="171" t="s">
        <v>29</v>
      </c>
      <c r="C4" s="171" t="s">
        <v>30</v>
      </c>
      <c r="D4" s="171" t="s">
        <v>31</v>
      </c>
      <c r="E4" s="172" t="s">
        <v>208</v>
      </c>
      <c r="F4" s="172" t="s">
        <v>159</v>
      </c>
    </row>
    <row r="5" spans="1:9" ht="25.5" x14ac:dyDescent="0.2">
      <c r="A5" s="97" t="s">
        <v>28</v>
      </c>
      <c r="B5" s="173" t="s">
        <v>33</v>
      </c>
      <c r="C5" s="173" t="s">
        <v>33</v>
      </c>
      <c r="D5" s="173">
        <v>2</v>
      </c>
      <c r="E5" s="174" t="s">
        <v>12</v>
      </c>
      <c r="F5" s="174" t="s">
        <v>12</v>
      </c>
    </row>
    <row r="6" spans="1:9" x14ac:dyDescent="0.2">
      <c r="A6" s="2"/>
      <c r="B6" s="5"/>
      <c r="C6" s="1"/>
      <c r="D6" s="1"/>
    </row>
    <row r="7" spans="1:9" ht="15" x14ac:dyDescent="0.2">
      <c r="A7" s="175" t="s">
        <v>34</v>
      </c>
      <c r="B7" s="176" t="s">
        <v>35</v>
      </c>
      <c r="C7" s="7"/>
      <c r="D7" s="16"/>
      <c r="E7" s="16"/>
      <c r="F7" s="16"/>
    </row>
    <row r="8" spans="1:9" ht="22.5" x14ac:dyDescent="0.2">
      <c r="A8" s="99" t="s">
        <v>36</v>
      </c>
      <c r="B8" s="171" t="s">
        <v>37</v>
      </c>
      <c r="C8" s="171" t="s">
        <v>38</v>
      </c>
      <c r="D8" s="171" t="s">
        <v>39</v>
      </c>
      <c r="E8" s="171" t="s">
        <v>40</v>
      </c>
      <c r="F8" s="171" t="s">
        <v>41</v>
      </c>
      <c r="G8" s="177"/>
    </row>
    <row r="9" spans="1:9" ht="15" x14ac:dyDescent="0.2">
      <c r="A9" s="97" t="s">
        <v>36</v>
      </c>
      <c r="B9" s="173" t="s">
        <v>42</v>
      </c>
      <c r="C9" s="173" t="s">
        <v>42</v>
      </c>
      <c r="D9" s="173" t="s">
        <v>42</v>
      </c>
      <c r="E9" s="173" t="s">
        <v>44</v>
      </c>
      <c r="F9" s="200" t="s">
        <v>12</v>
      </c>
      <c r="G9" s="178"/>
    </row>
    <row r="10" spans="1:9" ht="22.5" x14ac:dyDescent="0.2">
      <c r="A10" s="99" t="s">
        <v>45</v>
      </c>
      <c r="B10" s="171" t="s">
        <v>46</v>
      </c>
      <c r="C10" s="171" t="s">
        <v>47</v>
      </c>
      <c r="D10" s="179" t="s">
        <v>212</v>
      </c>
      <c r="E10" s="171" t="s">
        <v>48</v>
      </c>
      <c r="F10" s="171" t="s">
        <v>49</v>
      </c>
      <c r="G10" s="171" t="s">
        <v>50</v>
      </c>
      <c r="H10" s="171" t="s">
        <v>51</v>
      </c>
      <c r="I10" s="179" t="s">
        <v>246</v>
      </c>
    </row>
    <row r="11" spans="1:9" ht="15" x14ac:dyDescent="0.2">
      <c r="A11" s="96" t="s">
        <v>45</v>
      </c>
      <c r="B11" s="173" t="s">
        <v>12</v>
      </c>
      <c r="C11" s="181" t="s">
        <v>12</v>
      </c>
      <c r="D11" s="181" t="s">
        <v>12</v>
      </c>
      <c r="E11" s="181" t="s">
        <v>12</v>
      </c>
      <c r="F11" s="181" t="s">
        <v>12</v>
      </c>
      <c r="G11" s="181" t="s">
        <v>12</v>
      </c>
      <c r="H11" s="181" t="s">
        <v>12</v>
      </c>
      <c r="I11" s="181" t="s">
        <v>12</v>
      </c>
    </row>
    <row r="12" spans="1:9" ht="22.5" x14ac:dyDescent="0.2">
      <c r="A12" s="129" t="s">
        <v>162</v>
      </c>
      <c r="B12" s="182" t="s">
        <v>46</v>
      </c>
      <c r="C12" s="172" t="s">
        <v>47</v>
      </c>
      <c r="D12" s="172" t="s">
        <v>48</v>
      </c>
      <c r="E12" s="107"/>
      <c r="F12" s="107"/>
      <c r="G12" s="107"/>
      <c r="H12" s="81"/>
    </row>
    <row r="13" spans="1:9" ht="15" x14ac:dyDescent="0.2">
      <c r="A13" s="183" t="s">
        <v>162</v>
      </c>
      <c r="B13" s="184" t="s">
        <v>12</v>
      </c>
      <c r="C13" s="174" t="s">
        <v>12</v>
      </c>
      <c r="D13" s="174" t="s">
        <v>12</v>
      </c>
      <c r="E13" s="107"/>
      <c r="F13" s="107"/>
      <c r="G13" s="107"/>
      <c r="H13" s="81"/>
    </row>
    <row r="14" spans="1:9" ht="22.5" x14ac:dyDescent="0.2">
      <c r="A14" s="98" t="s">
        <v>52</v>
      </c>
      <c r="B14" s="201" t="s">
        <v>2</v>
      </c>
      <c r="C14" s="171" t="s">
        <v>53</v>
      </c>
      <c r="D14" s="171" t="s">
        <v>54</v>
      </c>
      <c r="E14" s="171" t="s">
        <v>5</v>
      </c>
      <c r="F14" s="171" t="s">
        <v>55</v>
      </c>
      <c r="G14" s="186" t="s">
        <v>211</v>
      </c>
    </row>
    <row r="15" spans="1:9" ht="15" x14ac:dyDescent="0.2">
      <c r="A15" s="202" t="s">
        <v>52</v>
      </c>
      <c r="B15" s="188" t="s">
        <v>102</v>
      </c>
      <c r="C15" s="181" t="s">
        <v>42</v>
      </c>
      <c r="D15" s="180" t="s">
        <v>56</v>
      </c>
      <c r="E15" s="180" t="s">
        <v>12</v>
      </c>
      <c r="F15" s="180">
        <v>0.5</v>
      </c>
      <c r="G15" s="190" t="s">
        <v>84</v>
      </c>
    </row>
    <row r="16" spans="1:9" ht="15" x14ac:dyDescent="0.2">
      <c r="A16" s="202" t="s">
        <v>52</v>
      </c>
      <c r="B16" s="188" t="s">
        <v>14</v>
      </c>
      <c r="C16" s="180" t="s">
        <v>59</v>
      </c>
      <c r="D16" s="181" t="s">
        <v>132</v>
      </c>
      <c r="E16" s="180" t="s">
        <v>12</v>
      </c>
      <c r="F16" s="189">
        <v>0.5</v>
      </c>
      <c r="G16" s="190" t="s">
        <v>84</v>
      </c>
    </row>
    <row r="17" spans="1:16" ht="15" x14ac:dyDescent="0.2">
      <c r="A17" s="203" t="s">
        <v>52</v>
      </c>
      <c r="B17" s="188" t="s">
        <v>17</v>
      </c>
      <c r="C17" s="180" t="s">
        <v>59</v>
      </c>
      <c r="D17" s="180" t="s">
        <v>60</v>
      </c>
      <c r="E17" s="180" t="s">
        <v>12</v>
      </c>
      <c r="F17" s="189">
        <v>0.5</v>
      </c>
      <c r="G17" s="190" t="s">
        <v>84</v>
      </c>
    </row>
    <row r="18" spans="1:16" ht="22.5" x14ac:dyDescent="0.2">
      <c r="A18" s="98" t="s">
        <v>61</v>
      </c>
      <c r="B18" s="201" t="s">
        <v>2</v>
      </c>
      <c r="C18" s="171" t="s">
        <v>53</v>
      </c>
      <c r="D18" s="171" t="s">
        <v>54</v>
      </c>
      <c r="E18" s="10"/>
      <c r="F18" s="4"/>
    </row>
    <row r="19" spans="1:16" ht="15" x14ac:dyDescent="0.2">
      <c r="A19" s="202" t="s">
        <v>61</v>
      </c>
      <c r="B19" s="188" t="s">
        <v>102</v>
      </c>
      <c r="C19" s="181" t="s">
        <v>42</v>
      </c>
      <c r="D19" s="181" t="s">
        <v>12</v>
      </c>
      <c r="E19" s="17"/>
    </row>
    <row r="20" spans="1:16" ht="15" x14ac:dyDescent="0.2">
      <c r="A20" s="202" t="s">
        <v>61</v>
      </c>
      <c r="B20" s="102" t="s">
        <v>62</v>
      </c>
      <c r="C20" s="181" t="s">
        <v>42</v>
      </c>
      <c r="D20" s="181" t="s">
        <v>12</v>
      </c>
      <c r="E20" s="17"/>
    </row>
    <row r="21" spans="1:16" ht="15" x14ac:dyDescent="0.2">
      <c r="A21" s="202" t="s">
        <v>61</v>
      </c>
      <c r="B21" s="102" t="s">
        <v>57</v>
      </c>
      <c r="C21" s="174" t="s">
        <v>42</v>
      </c>
      <c r="D21" s="174" t="s">
        <v>12</v>
      </c>
      <c r="E21" s="38"/>
    </row>
    <row r="22" spans="1:16" ht="15" x14ac:dyDescent="0.2">
      <c r="A22" s="202" t="s">
        <v>61</v>
      </c>
      <c r="B22" s="188" t="s">
        <v>11</v>
      </c>
      <c r="C22" s="181" t="s">
        <v>42</v>
      </c>
      <c r="D22" s="181" t="s">
        <v>12</v>
      </c>
      <c r="E22" s="17"/>
    </row>
    <row r="23" spans="1:16" ht="15" x14ac:dyDescent="0.2">
      <c r="A23" s="202" t="s">
        <v>61</v>
      </c>
      <c r="B23" s="188" t="s">
        <v>13</v>
      </c>
      <c r="C23" s="181" t="s">
        <v>42</v>
      </c>
      <c r="D23" s="181" t="s">
        <v>12</v>
      </c>
      <c r="E23" s="38"/>
    </row>
    <row r="24" spans="1:16" ht="15" x14ac:dyDescent="0.2">
      <c r="A24" s="202" t="s">
        <v>61</v>
      </c>
      <c r="B24" s="188" t="s">
        <v>14</v>
      </c>
      <c r="C24" s="181" t="s">
        <v>42</v>
      </c>
      <c r="D24" s="181" t="s">
        <v>12</v>
      </c>
      <c r="E24" s="38"/>
    </row>
    <row r="25" spans="1:16" ht="15" x14ac:dyDescent="0.2">
      <c r="A25" s="202" t="s">
        <v>61</v>
      </c>
      <c r="B25" s="188" t="s">
        <v>15</v>
      </c>
      <c r="C25" s="174" t="s">
        <v>42</v>
      </c>
      <c r="D25" s="174" t="s">
        <v>12</v>
      </c>
      <c r="E25" s="38"/>
    </row>
    <row r="26" spans="1:16" ht="15" x14ac:dyDescent="0.2">
      <c r="A26" s="202" t="s">
        <v>61</v>
      </c>
      <c r="B26" s="188" t="s">
        <v>17</v>
      </c>
      <c r="C26" s="174" t="s">
        <v>42</v>
      </c>
      <c r="D26" s="174" t="s">
        <v>12</v>
      </c>
      <c r="E26" s="17"/>
    </row>
    <row r="27" spans="1:16" ht="15" x14ac:dyDescent="0.2">
      <c r="A27" s="202" t="s">
        <v>61</v>
      </c>
      <c r="B27" s="188" t="s">
        <v>18</v>
      </c>
      <c r="C27" s="174" t="s">
        <v>42</v>
      </c>
      <c r="D27" s="174" t="s">
        <v>12</v>
      </c>
      <c r="E27" s="17"/>
    </row>
    <row r="28" spans="1:16" ht="15" x14ac:dyDescent="0.2">
      <c r="A28" s="202"/>
      <c r="B28" s="188" t="s">
        <v>19</v>
      </c>
      <c r="C28" s="174" t="s">
        <v>42</v>
      </c>
      <c r="D28" s="174" t="s">
        <v>12</v>
      </c>
      <c r="E28" s="38"/>
    </row>
    <row r="29" spans="1:16" ht="15" x14ac:dyDescent="0.2">
      <c r="A29" s="203" t="s">
        <v>61</v>
      </c>
      <c r="B29" s="195" t="s">
        <v>16</v>
      </c>
      <c r="C29" s="181" t="s">
        <v>42</v>
      </c>
      <c r="D29" s="181" t="s">
        <v>12</v>
      </c>
      <c r="E29" s="17"/>
    </row>
    <row r="30" spans="1:16" x14ac:dyDescent="0.2">
      <c r="A30" s="99" t="s">
        <v>236</v>
      </c>
      <c r="B30" s="159" t="s">
        <v>237</v>
      </c>
      <c r="C30" s="159" t="s">
        <v>238</v>
      </c>
      <c r="D30" s="159" t="s">
        <v>239</v>
      </c>
      <c r="E30" s="159" t="s">
        <v>240</v>
      </c>
      <c r="F30" s="159" t="s">
        <v>241</v>
      </c>
      <c r="G30" s="159" t="s">
        <v>242</v>
      </c>
      <c r="H30" s="159" t="s">
        <v>65</v>
      </c>
      <c r="I30" s="159" t="s">
        <v>66</v>
      </c>
      <c r="J30" s="159" t="s">
        <v>209</v>
      </c>
      <c r="K30" s="159" t="s">
        <v>210</v>
      </c>
      <c r="L30" s="159" t="s">
        <v>45</v>
      </c>
      <c r="M30" s="159" t="s">
        <v>243</v>
      </c>
      <c r="N30" s="159" t="s">
        <v>244</v>
      </c>
      <c r="O30" s="159" t="s">
        <v>245</v>
      </c>
      <c r="P30" s="159" t="s">
        <v>233</v>
      </c>
    </row>
    <row r="31" spans="1:16" ht="15" x14ac:dyDescent="0.2">
      <c r="A31" s="97" t="s">
        <v>236</v>
      </c>
      <c r="B31" s="160" t="s">
        <v>12</v>
      </c>
      <c r="C31" s="160" t="s">
        <v>12</v>
      </c>
      <c r="D31" s="160" t="s">
        <v>12</v>
      </c>
      <c r="E31" s="160" t="s">
        <v>12</v>
      </c>
      <c r="F31" s="160" t="s">
        <v>12</v>
      </c>
      <c r="G31" s="160" t="s">
        <v>12</v>
      </c>
      <c r="H31" s="160" t="s">
        <v>12</v>
      </c>
      <c r="I31" s="160" t="s">
        <v>12</v>
      </c>
      <c r="J31" s="160" t="s">
        <v>12</v>
      </c>
      <c r="K31" s="160" t="s">
        <v>12</v>
      </c>
      <c r="L31" s="160" t="s">
        <v>12</v>
      </c>
      <c r="M31" s="160" t="s">
        <v>12</v>
      </c>
      <c r="N31" s="160" t="s">
        <v>12</v>
      </c>
      <c r="O31" s="160" t="s">
        <v>12</v>
      </c>
      <c r="P31" s="160" t="s">
        <v>12</v>
      </c>
    </row>
    <row r="32" spans="1:16" x14ac:dyDescent="0.2">
      <c r="A32" s="99" t="s">
        <v>63</v>
      </c>
      <c r="B32" s="171" t="s">
        <v>64</v>
      </c>
      <c r="C32" s="17"/>
    </row>
    <row r="33" spans="1:9" ht="15" x14ac:dyDescent="0.2">
      <c r="A33" s="97" t="s">
        <v>63</v>
      </c>
      <c r="B33" s="173" t="s">
        <v>33</v>
      </c>
      <c r="C33" s="7"/>
      <c r="D33" s="28"/>
      <c r="E33" s="28"/>
      <c r="F33" s="28"/>
    </row>
    <row r="34" spans="1:9" ht="25.5" x14ac:dyDescent="0.2">
      <c r="A34" s="99" t="s">
        <v>67</v>
      </c>
      <c r="B34" s="171" t="s">
        <v>65</v>
      </c>
      <c r="C34" s="171" t="s">
        <v>66</v>
      </c>
      <c r="D34" s="163"/>
      <c r="E34" s="29"/>
      <c r="F34" s="29"/>
    </row>
    <row r="35" spans="1:9" ht="25.5" x14ac:dyDescent="0.2">
      <c r="A35" s="97" t="s">
        <v>67</v>
      </c>
      <c r="B35" s="173" t="s">
        <v>12</v>
      </c>
      <c r="C35" s="207" t="s">
        <v>12</v>
      </c>
      <c r="D35" s="162"/>
      <c r="E35" s="28"/>
    </row>
    <row r="36" spans="1:9" x14ac:dyDescent="0.2">
      <c r="A36" s="99" t="s">
        <v>68</v>
      </c>
      <c r="B36" s="201" t="s">
        <v>69</v>
      </c>
      <c r="C36" s="10"/>
      <c r="D36" s="29"/>
      <c r="E36" s="29"/>
    </row>
    <row r="37" spans="1:9" ht="15" x14ac:dyDescent="0.2">
      <c r="A37" s="97" t="s">
        <v>68</v>
      </c>
      <c r="B37" s="204" t="s">
        <v>12</v>
      </c>
      <c r="C37" s="17"/>
    </row>
    <row r="38" spans="1:9" x14ac:dyDescent="0.2">
      <c r="A38" s="16"/>
      <c r="B38" s="3"/>
    </row>
    <row r="39" spans="1:9" ht="15" x14ac:dyDescent="0.2">
      <c r="A39" s="175" t="s">
        <v>34</v>
      </c>
      <c r="B39" s="19" t="s">
        <v>70</v>
      </c>
      <c r="C39" s="7"/>
      <c r="D39" s="16"/>
      <c r="E39" s="16"/>
      <c r="F39" s="16"/>
    </row>
    <row r="40" spans="1:9" ht="22.5" x14ac:dyDescent="0.2">
      <c r="A40" s="99" t="s">
        <v>36</v>
      </c>
      <c r="B40" s="24" t="s">
        <v>37</v>
      </c>
      <c r="C40" s="24" t="s">
        <v>38</v>
      </c>
      <c r="D40" s="24" t="s">
        <v>39</v>
      </c>
      <c r="E40" s="24" t="s">
        <v>40</v>
      </c>
      <c r="F40" s="24" t="s">
        <v>41</v>
      </c>
      <c r="G40" s="26"/>
    </row>
    <row r="41" spans="1:9" ht="30" x14ac:dyDescent="0.2">
      <c r="A41" s="97" t="s">
        <v>36</v>
      </c>
      <c r="B41" s="42" t="s">
        <v>71</v>
      </c>
      <c r="C41" s="42" t="s">
        <v>44</v>
      </c>
      <c r="D41" s="12" t="s">
        <v>87</v>
      </c>
      <c r="E41" s="12" t="s">
        <v>73</v>
      </c>
      <c r="F41" s="42" t="s">
        <v>12</v>
      </c>
      <c r="G41" s="13"/>
    </row>
    <row r="42" spans="1:9" ht="22.5" x14ac:dyDescent="0.2">
      <c r="A42" s="99" t="s">
        <v>45</v>
      </c>
      <c r="B42" s="24" t="s">
        <v>46</v>
      </c>
      <c r="C42" s="24" t="s">
        <v>47</v>
      </c>
      <c r="D42" s="147" t="s">
        <v>212</v>
      </c>
      <c r="E42" s="24" t="s">
        <v>48</v>
      </c>
      <c r="F42" s="24" t="s">
        <v>49</v>
      </c>
      <c r="G42" s="24" t="s">
        <v>50</v>
      </c>
      <c r="H42" s="24" t="s">
        <v>51</v>
      </c>
      <c r="I42" s="147" t="s">
        <v>246</v>
      </c>
    </row>
    <row r="43" spans="1:9" ht="30" x14ac:dyDescent="0.2">
      <c r="A43" s="96" t="s">
        <v>45</v>
      </c>
      <c r="B43" s="12" t="s">
        <v>74</v>
      </c>
      <c r="C43" s="12" t="s">
        <v>12</v>
      </c>
      <c r="D43" s="42" t="s">
        <v>12</v>
      </c>
      <c r="E43" s="12" t="s">
        <v>71</v>
      </c>
      <c r="F43" s="12" t="s">
        <v>44</v>
      </c>
      <c r="G43" s="12" t="s">
        <v>44</v>
      </c>
      <c r="H43" s="12" t="s">
        <v>75</v>
      </c>
      <c r="I43" s="42" t="s">
        <v>12</v>
      </c>
    </row>
    <row r="44" spans="1:9" ht="22.5" x14ac:dyDescent="0.2">
      <c r="A44" s="129" t="s">
        <v>162</v>
      </c>
      <c r="B44" s="182" t="s">
        <v>46</v>
      </c>
      <c r="C44" s="172" t="s">
        <v>47</v>
      </c>
      <c r="D44" s="172" t="s">
        <v>48</v>
      </c>
      <c r="E44" s="107"/>
      <c r="F44" s="107"/>
      <c r="G44" s="107"/>
      <c r="H44" s="81"/>
    </row>
    <row r="45" spans="1:9" ht="15" x14ac:dyDescent="0.2">
      <c r="A45" s="183" t="s">
        <v>162</v>
      </c>
      <c r="B45" s="184" t="s">
        <v>12</v>
      </c>
      <c r="C45" s="174" t="s">
        <v>12</v>
      </c>
      <c r="D45" s="174" t="s">
        <v>12</v>
      </c>
      <c r="E45" s="107"/>
      <c r="F45" s="107"/>
      <c r="G45" s="107"/>
      <c r="H45" s="81"/>
    </row>
    <row r="46" spans="1:9" ht="22.5" x14ac:dyDescent="0.2">
      <c r="A46" s="73" t="s">
        <v>52</v>
      </c>
      <c r="B46" s="32" t="s">
        <v>2</v>
      </c>
      <c r="C46" s="24" t="s">
        <v>53</v>
      </c>
      <c r="D46" s="24" t="s">
        <v>54</v>
      </c>
      <c r="E46" s="24" t="s">
        <v>5</v>
      </c>
      <c r="F46" s="24" t="s">
        <v>55</v>
      </c>
      <c r="G46" s="186" t="s">
        <v>211</v>
      </c>
    </row>
    <row r="47" spans="1:9" ht="15" x14ac:dyDescent="0.2">
      <c r="A47" s="74" t="s">
        <v>52</v>
      </c>
      <c r="B47" s="188" t="s">
        <v>14</v>
      </c>
      <c r="C47" s="180" t="s">
        <v>59</v>
      </c>
      <c r="D47" s="181" t="s">
        <v>132</v>
      </c>
      <c r="E47" s="180" t="s">
        <v>12</v>
      </c>
      <c r="F47" s="180">
        <v>0.5</v>
      </c>
      <c r="G47" s="190" t="s">
        <v>84</v>
      </c>
    </row>
    <row r="48" spans="1:9" ht="15" x14ac:dyDescent="0.2">
      <c r="A48" s="75" t="s">
        <v>52</v>
      </c>
      <c r="B48" s="188" t="s">
        <v>17</v>
      </c>
      <c r="C48" s="180" t="s">
        <v>59</v>
      </c>
      <c r="D48" s="180" t="s">
        <v>60</v>
      </c>
      <c r="E48" s="180" t="s">
        <v>12</v>
      </c>
      <c r="F48" s="189">
        <v>0.5</v>
      </c>
      <c r="G48" s="190" t="s">
        <v>84</v>
      </c>
    </row>
    <row r="49" spans="1:16" ht="22.5" x14ac:dyDescent="0.2">
      <c r="A49" s="73" t="s">
        <v>61</v>
      </c>
      <c r="B49" s="32" t="s">
        <v>2</v>
      </c>
      <c r="C49" s="24" t="s">
        <v>53</v>
      </c>
      <c r="D49" s="24" t="s">
        <v>54</v>
      </c>
      <c r="E49" s="10"/>
      <c r="F49" s="4"/>
    </row>
    <row r="50" spans="1:16" ht="15" x14ac:dyDescent="0.2">
      <c r="A50" s="74" t="s">
        <v>61</v>
      </c>
      <c r="B50" s="188" t="s">
        <v>102</v>
      </c>
      <c r="C50" s="181" t="s">
        <v>42</v>
      </c>
      <c r="D50" s="181" t="s">
        <v>12</v>
      </c>
      <c r="E50" s="17"/>
    </row>
    <row r="51" spans="1:16" ht="15" x14ac:dyDescent="0.2">
      <c r="A51" s="74" t="s">
        <v>61</v>
      </c>
      <c r="B51" s="102" t="s">
        <v>62</v>
      </c>
      <c r="C51" s="181" t="s">
        <v>42</v>
      </c>
      <c r="D51" s="181" t="s">
        <v>12</v>
      </c>
      <c r="E51" s="17"/>
    </row>
    <row r="52" spans="1:16" ht="15" x14ac:dyDescent="0.2">
      <c r="A52" s="74" t="s">
        <v>61</v>
      </c>
      <c r="B52" s="102" t="s">
        <v>57</v>
      </c>
      <c r="C52" s="174" t="s">
        <v>42</v>
      </c>
      <c r="D52" s="174" t="s">
        <v>12</v>
      </c>
      <c r="E52" s="17"/>
    </row>
    <row r="53" spans="1:16" ht="15" x14ac:dyDescent="0.2">
      <c r="A53" s="74" t="s">
        <v>61</v>
      </c>
      <c r="B53" s="188" t="s">
        <v>11</v>
      </c>
      <c r="C53" s="181" t="s">
        <v>42</v>
      </c>
      <c r="D53" s="181" t="s">
        <v>12</v>
      </c>
      <c r="E53" s="38"/>
    </row>
    <row r="54" spans="1:16" ht="15" x14ac:dyDescent="0.2">
      <c r="A54" s="74" t="s">
        <v>61</v>
      </c>
      <c r="B54" s="188" t="s">
        <v>13</v>
      </c>
      <c r="C54" s="181" t="s">
        <v>42</v>
      </c>
      <c r="D54" s="181" t="s">
        <v>12</v>
      </c>
      <c r="E54" s="38"/>
    </row>
    <row r="55" spans="1:16" ht="15" x14ac:dyDescent="0.2">
      <c r="A55" s="74" t="s">
        <v>61</v>
      </c>
      <c r="B55" s="188" t="s">
        <v>14</v>
      </c>
      <c r="C55" s="181" t="s">
        <v>42</v>
      </c>
      <c r="D55" s="181" t="s">
        <v>12</v>
      </c>
      <c r="E55" s="38"/>
    </row>
    <row r="56" spans="1:16" ht="15" x14ac:dyDescent="0.2">
      <c r="A56" s="74" t="s">
        <v>61</v>
      </c>
      <c r="B56" s="188" t="s">
        <v>15</v>
      </c>
      <c r="C56" s="174" t="s">
        <v>42</v>
      </c>
      <c r="D56" s="174" t="s">
        <v>12</v>
      </c>
      <c r="E56" s="17"/>
    </row>
    <row r="57" spans="1:16" ht="15" x14ac:dyDescent="0.2">
      <c r="A57" s="74" t="s">
        <v>61</v>
      </c>
      <c r="B57" s="188" t="s">
        <v>17</v>
      </c>
      <c r="C57" s="174" t="s">
        <v>42</v>
      </c>
      <c r="D57" s="174" t="s">
        <v>12</v>
      </c>
      <c r="E57" s="17"/>
    </row>
    <row r="58" spans="1:16" ht="15" x14ac:dyDescent="0.2">
      <c r="A58" s="74" t="s">
        <v>61</v>
      </c>
      <c r="B58" s="188" t="s">
        <v>18</v>
      </c>
      <c r="C58" s="174" t="s">
        <v>42</v>
      </c>
      <c r="D58" s="174" t="s">
        <v>12</v>
      </c>
      <c r="E58" s="17"/>
    </row>
    <row r="59" spans="1:16" ht="15" x14ac:dyDescent="0.2">
      <c r="A59" s="74"/>
      <c r="B59" s="188" t="s">
        <v>19</v>
      </c>
      <c r="C59" s="174" t="s">
        <v>42</v>
      </c>
      <c r="D59" s="174" t="s">
        <v>12</v>
      </c>
      <c r="E59" s="38"/>
    </row>
    <row r="60" spans="1:16" ht="15" x14ac:dyDescent="0.2">
      <c r="A60" s="75" t="s">
        <v>61</v>
      </c>
      <c r="B60" s="195" t="s">
        <v>16</v>
      </c>
      <c r="C60" s="181" t="s">
        <v>42</v>
      </c>
      <c r="D60" s="181" t="s">
        <v>12</v>
      </c>
      <c r="E60" s="17"/>
    </row>
    <row r="61" spans="1:16" x14ac:dyDescent="0.2">
      <c r="A61" s="99" t="s">
        <v>236</v>
      </c>
      <c r="B61" s="159" t="s">
        <v>237</v>
      </c>
      <c r="C61" s="159" t="s">
        <v>238</v>
      </c>
      <c r="D61" s="159" t="s">
        <v>239</v>
      </c>
      <c r="E61" s="159" t="s">
        <v>240</v>
      </c>
      <c r="F61" s="159" t="s">
        <v>241</v>
      </c>
      <c r="G61" s="159" t="s">
        <v>242</v>
      </c>
      <c r="H61" s="159" t="s">
        <v>65</v>
      </c>
      <c r="I61" s="159" t="s">
        <v>66</v>
      </c>
      <c r="J61" s="159" t="s">
        <v>209</v>
      </c>
      <c r="K61" s="159" t="s">
        <v>210</v>
      </c>
      <c r="L61" s="159" t="s">
        <v>45</v>
      </c>
      <c r="M61" s="159" t="s">
        <v>243</v>
      </c>
      <c r="N61" s="159" t="s">
        <v>244</v>
      </c>
      <c r="O61" s="159" t="s">
        <v>245</v>
      </c>
      <c r="P61" s="159" t="s">
        <v>233</v>
      </c>
    </row>
    <row r="62" spans="1:16" ht="15" x14ac:dyDescent="0.2">
      <c r="A62" s="97" t="s">
        <v>236</v>
      </c>
      <c r="B62" s="160" t="s">
        <v>12</v>
      </c>
      <c r="C62" s="160" t="s">
        <v>12</v>
      </c>
      <c r="D62" s="160" t="s">
        <v>12</v>
      </c>
      <c r="E62" s="160" t="s">
        <v>12</v>
      </c>
      <c r="F62" s="160" t="s">
        <v>12</v>
      </c>
      <c r="G62" s="160" t="s">
        <v>12</v>
      </c>
      <c r="H62" s="160" t="s">
        <v>12</v>
      </c>
      <c r="I62" s="160" t="s">
        <v>12</v>
      </c>
      <c r="J62" s="160" t="s">
        <v>12</v>
      </c>
      <c r="K62" s="160" t="s">
        <v>12</v>
      </c>
      <c r="L62" s="160" t="s">
        <v>12</v>
      </c>
      <c r="M62" s="160" t="s">
        <v>12</v>
      </c>
      <c r="N62" s="160" t="s">
        <v>12</v>
      </c>
      <c r="O62" s="160" t="s">
        <v>12</v>
      </c>
      <c r="P62" s="160" t="s">
        <v>12</v>
      </c>
    </row>
    <row r="63" spans="1:16" x14ac:dyDescent="0.2">
      <c r="A63" s="99" t="s">
        <v>63</v>
      </c>
      <c r="B63" s="24" t="s">
        <v>64</v>
      </c>
      <c r="C63" s="17"/>
    </row>
    <row r="64" spans="1:16" ht="15" x14ac:dyDescent="0.2">
      <c r="A64" s="97" t="s">
        <v>63</v>
      </c>
      <c r="B64" s="12" t="s">
        <v>33</v>
      </c>
      <c r="C64" s="7"/>
      <c r="D64" s="28"/>
      <c r="E64" s="28"/>
      <c r="F64" s="28"/>
    </row>
    <row r="65" spans="1:9" ht="25.5" x14ac:dyDescent="0.2">
      <c r="A65" s="99" t="s">
        <v>67</v>
      </c>
      <c r="B65" s="24" t="s">
        <v>65</v>
      </c>
      <c r="C65" s="24" t="s">
        <v>66</v>
      </c>
      <c r="D65" s="163"/>
      <c r="E65" s="29"/>
      <c r="F65" s="29"/>
    </row>
    <row r="66" spans="1:9" ht="25.5" x14ac:dyDescent="0.2">
      <c r="A66" s="97" t="s">
        <v>67</v>
      </c>
      <c r="B66" s="12" t="s">
        <v>12</v>
      </c>
      <c r="C66" s="164" t="s">
        <v>12</v>
      </c>
      <c r="D66" s="162"/>
      <c r="E66" s="28"/>
    </row>
    <row r="67" spans="1:9" x14ac:dyDescent="0.2">
      <c r="A67" s="99" t="s">
        <v>68</v>
      </c>
      <c r="B67" s="32" t="s">
        <v>69</v>
      </c>
      <c r="C67" s="10"/>
      <c r="D67" s="29"/>
      <c r="E67" s="29"/>
    </row>
    <row r="68" spans="1:9" ht="15" x14ac:dyDescent="0.2">
      <c r="A68" s="97" t="s">
        <v>68</v>
      </c>
      <c r="B68" s="33" t="s">
        <v>12</v>
      </c>
      <c r="C68" s="17"/>
    </row>
    <row r="69" spans="1:9" x14ac:dyDescent="0.2">
      <c r="A69" s="16"/>
      <c r="B69" s="3"/>
    </row>
    <row r="70" spans="1:9" ht="15" x14ac:dyDescent="0.2">
      <c r="A70" s="175" t="s">
        <v>34</v>
      </c>
      <c r="B70" s="19" t="s">
        <v>76</v>
      </c>
      <c r="C70" s="7"/>
      <c r="D70" s="16"/>
      <c r="E70" s="16"/>
      <c r="F70" s="16"/>
    </row>
    <row r="71" spans="1:9" ht="22.5" x14ac:dyDescent="0.2">
      <c r="A71" s="99" t="s">
        <v>36</v>
      </c>
      <c r="B71" s="24" t="s">
        <v>37</v>
      </c>
      <c r="C71" s="24" t="s">
        <v>38</v>
      </c>
      <c r="D71" s="24" t="s">
        <v>39</v>
      </c>
      <c r="E71" s="24" t="s">
        <v>40</v>
      </c>
      <c r="F71" s="24" t="s">
        <v>41</v>
      </c>
      <c r="G71" s="26"/>
    </row>
    <row r="72" spans="1:9" ht="15" x14ac:dyDescent="0.2">
      <c r="A72" s="97" t="s">
        <v>36</v>
      </c>
      <c r="B72" s="42" t="s">
        <v>12</v>
      </c>
      <c r="C72" s="42" t="s">
        <v>12</v>
      </c>
      <c r="D72" s="42" t="s">
        <v>12</v>
      </c>
      <c r="E72" s="42" t="s">
        <v>12</v>
      </c>
      <c r="F72" s="42" t="s">
        <v>12</v>
      </c>
      <c r="G72" s="13"/>
    </row>
    <row r="73" spans="1:9" ht="22.5" x14ac:dyDescent="0.2">
      <c r="A73" s="99" t="s">
        <v>45</v>
      </c>
      <c r="B73" s="24" t="s">
        <v>46</v>
      </c>
      <c r="C73" s="24" t="s">
        <v>47</v>
      </c>
      <c r="D73" s="147" t="s">
        <v>212</v>
      </c>
      <c r="E73" s="24" t="s">
        <v>48</v>
      </c>
      <c r="F73" s="24" t="s">
        <v>49</v>
      </c>
      <c r="G73" s="24" t="s">
        <v>50</v>
      </c>
      <c r="H73" s="24" t="s">
        <v>51</v>
      </c>
      <c r="I73" s="147" t="s">
        <v>246</v>
      </c>
    </row>
    <row r="74" spans="1:9" ht="15" x14ac:dyDescent="0.2">
      <c r="A74" s="97" t="s">
        <v>45</v>
      </c>
      <c r="B74" s="42" t="s">
        <v>12</v>
      </c>
      <c r="C74" s="42" t="s">
        <v>12</v>
      </c>
      <c r="D74" s="42" t="s">
        <v>12</v>
      </c>
      <c r="E74" s="42" t="s">
        <v>12</v>
      </c>
      <c r="F74" s="42" t="s">
        <v>12</v>
      </c>
      <c r="G74" s="42" t="s">
        <v>12</v>
      </c>
      <c r="H74" s="42" t="s">
        <v>12</v>
      </c>
      <c r="I74" s="42" t="s">
        <v>12</v>
      </c>
    </row>
    <row r="75" spans="1:9" ht="22.5" x14ac:dyDescent="0.2">
      <c r="A75" s="129" t="s">
        <v>162</v>
      </c>
      <c r="B75" s="182" t="s">
        <v>46</v>
      </c>
      <c r="C75" s="172" t="s">
        <v>47</v>
      </c>
      <c r="D75" s="172" t="s">
        <v>48</v>
      </c>
      <c r="E75" s="107"/>
      <c r="F75" s="107"/>
      <c r="G75" s="107"/>
      <c r="H75" s="81"/>
    </row>
    <row r="76" spans="1:9" ht="15" x14ac:dyDescent="0.2">
      <c r="A76" s="183" t="s">
        <v>162</v>
      </c>
      <c r="B76" s="184" t="s">
        <v>12</v>
      </c>
      <c r="C76" s="174" t="s">
        <v>12</v>
      </c>
      <c r="D76" s="174" t="s">
        <v>12</v>
      </c>
      <c r="E76" s="107"/>
      <c r="F76" s="107"/>
      <c r="G76" s="107"/>
      <c r="H76" s="81"/>
    </row>
    <row r="77" spans="1:9" ht="22.5" x14ac:dyDescent="0.2">
      <c r="A77" s="73" t="s">
        <v>52</v>
      </c>
      <c r="B77" s="24" t="s">
        <v>2</v>
      </c>
      <c r="C77" s="24" t="s">
        <v>53</v>
      </c>
      <c r="D77" s="24" t="s">
        <v>54</v>
      </c>
      <c r="E77" s="24" t="s">
        <v>5</v>
      </c>
      <c r="F77" s="24" t="s">
        <v>55</v>
      </c>
      <c r="G77" s="186" t="s">
        <v>211</v>
      </c>
    </row>
    <row r="78" spans="1:9" ht="15" x14ac:dyDescent="0.2">
      <c r="A78" s="74" t="s">
        <v>52</v>
      </c>
      <c r="B78" s="176" t="s">
        <v>14</v>
      </c>
      <c r="C78" s="180" t="s">
        <v>59</v>
      </c>
      <c r="D78" s="181" t="s">
        <v>132</v>
      </c>
      <c r="E78" s="180" t="s">
        <v>12</v>
      </c>
      <c r="F78" s="180">
        <v>0.5</v>
      </c>
      <c r="G78" s="190" t="s">
        <v>84</v>
      </c>
    </row>
    <row r="79" spans="1:9" ht="15" x14ac:dyDescent="0.2">
      <c r="A79" s="75" t="s">
        <v>52</v>
      </c>
      <c r="B79" s="198" t="s">
        <v>17</v>
      </c>
      <c r="C79" s="180" t="s">
        <v>59</v>
      </c>
      <c r="D79" s="180" t="s">
        <v>60</v>
      </c>
      <c r="E79" s="180" t="s">
        <v>12</v>
      </c>
      <c r="F79" s="189">
        <v>0.5</v>
      </c>
      <c r="G79" s="190" t="s">
        <v>84</v>
      </c>
    </row>
    <row r="80" spans="1:9" ht="22.5" x14ac:dyDescent="0.2">
      <c r="A80" s="73" t="s">
        <v>61</v>
      </c>
      <c r="B80" s="24" t="s">
        <v>2</v>
      </c>
      <c r="C80" s="24" t="s">
        <v>53</v>
      </c>
      <c r="D80" s="24" t="s">
        <v>54</v>
      </c>
      <c r="E80" s="10"/>
      <c r="F80" s="4"/>
    </row>
    <row r="81" spans="1:16" ht="15" x14ac:dyDescent="0.2">
      <c r="A81" s="74" t="s">
        <v>61</v>
      </c>
      <c r="B81" s="176" t="s">
        <v>102</v>
      </c>
      <c r="C81" s="181" t="s">
        <v>42</v>
      </c>
      <c r="D81" s="181" t="s">
        <v>12</v>
      </c>
      <c r="E81" s="17"/>
    </row>
    <row r="82" spans="1:16" ht="15" x14ac:dyDescent="0.2">
      <c r="A82" s="74" t="s">
        <v>61</v>
      </c>
      <c r="B82" s="20" t="s">
        <v>62</v>
      </c>
      <c r="C82" s="181" t="s">
        <v>42</v>
      </c>
      <c r="D82" s="181" t="s">
        <v>12</v>
      </c>
      <c r="E82" s="17"/>
    </row>
    <row r="83" spans="1:16" ht="15" x14ac:dyDescent="0.2">
      <c r="A83" s="74" t="s">
        <v>61</v>
      </c>
      <c r="B83" s="49" t="s">
        <v>57</v>
      </c>
      <c r="C83" s="174" t="s">
        <v>42</v>
      </c>
      <c r="D83" s="174" t="s">
        <v>12</v>
      </c>
      <c r="E83" s="17"/>
    </row>
    <row r="84" spans="1:16" ht="15" x14ac:dyDescent="0.2">
      <c r="A84" s="74" t="s">
        <v>61</v>
      </c>
      <c r="B84" s="176" t="s">
        <v>11</v>
      </c>
      <c r="C84" s="181" t="s">
        <v>42</v>
      </c>
      <c r="D84" s="181" t="s">
        <v>12</v>
      </c>
      <c r="E84" s="38"/>
    </row>
    <row r="85" spans="1:16" ht="15" x14ac:dyDescent="0.2">
      <c r="A85" s="74" t="s">
        <v>61</v>
      </c>
      <c r="B85" s="176" t="s">
        <v>13</v>
      </c>
      <c r="C85" s="181" t="s">
        <v>42</v>
      </c>
      <c r="D85" s="181" t="s">
        <v>12</v>
      </c>
      <c r="E85" s="38"/>
    </row>
    <row r="86" spans="1:16" ht="15" x14ac:dyDescent="0.2">
      <c r="A86" s="74" t="s">
        <v>61</v>
      </c>
      <c r="B86" s="176" t="s">
        <v>14</v>
      </c>
      <c r="C86" s="181" t="s">
        <v>42</v>
      </c>
      <c r="D86" s="181" t="s">
        <v>12</v>
      </c>
      <c r="E86" s="38"/>
    </row>
    <row r="87" spans="1:16" ht="15" x14ac:dyDescent="0.2">
      <c r="A87" s="74" t="s">
        <v>61</v>
      </c>
      <c r="B87" s="198" t="s">
        <v>15</v>
      </c>
      <c r="C87" s="174" t="s">
        <v>42</v>
      </c>
      <c r="D87" s="174" t="s">
        <v>12</v>
      </c>
      <c r="E87" s="17"/>
    </row>
    <row r="88" spans="1:16" ht="15" x14ac:dyDescent="0.2">
      <c r="A88" s="74" t="s">
        <v>61</v>
      </c>
      <c r="B88" s="198" t="s">
        <v>17</v>
      </c>
      <c r="C88" s="174" t="s">
        <v>42</v>
      </c>
      <c r="D88" s="174" t="s">
        <v>12</v>
      </c>
      <c r="E88" s="17"/>
    </row>
    <row r="89" spans="1:16" ht="15" x14ac:dyDescent="0.2">
      <c r="A89" s="74" t="s">
        <v>61</v>
      </c>
      <c r="B89" s="198" t="s">
        <v>18</v>
      </c>
      <c r="C89" s="174" t="s">
        <v>42</v>
      </c>
      <c r="D89" s="174" t="s">
        <v>12</v>
      </c>
      <c r="E89" s="17"/>
    </row>
    <row r="90" spans="1:16" ht="15" x14ac:dyDescent="0.2">
      <c r="A90" s="74"/>
      <c r="B90" s="176" t="s">
        <v>19</v>
      </c>
      <c r="C90" s="174" t="s">
        <v>42</v>
      </c>
      <c r="D90" s="174" t="s">
        <v>12</v>
      </c>
      <c r="E90" s="38"/>
    </row>
    <row r="91" spans="1:16" ht="15" x14ac:dyDescent="0.2">
      <c r="A91" s="75" t="s">
        <v>61</v>
      </c>
      <c r="B91" s="195" t="s">
        <v>16</v>
      </c>
      <c r="C91" s="181" t="s">
        <v>42</v>
      </c>
      <c r="D91" s="181" t="s">
        <v>12</v>
      </c>
      <c r="E91" s="17"/>
    </row>
    <row r="92" spans="1:16" x14ac:dyDescent="0.2">
      <c r="A92" s="99" t="s">
        <v>236</v>
      </c>
      <c r="B92" s="159" t="s">
        <v>237</v>
      </c>
      <c r="C92" s="159" t="s">
        <v>238</v>
      </c>
      <c r="D92" s="159" t="s">
        <v>239</v>
      </c>
      <c r="E92" s="159" t="s">
        <v>240</v>
      </c>
      <c r="F92" s="159" t="s">
        <v>241</v>
      </c>
      <c r="G92" s="159" t="s">
        <v>242</v>
      </c>
      <c r="H92" s="159" t="s">
        <v>65</v>
      </c>
      <c r="I92" s="159" t="s">
        <v>66</v>
      </c>
      <c r="J92" s="159" t="s">
        <v>209</v>
      </c>
      <c r="K92" s="159" t="s">
        <v>210</v>
      </c>
      <c r="L92" s="159" t="s">
        <v>45</v>
      </c>
      <c r="M92" s="159" t="s">
        <v>243</v>
      </c>
      <c r="N92" s="159" t="s">
        <v>244</v>
      </c>
      <c r="O92" s="159" t="s">
        <v>245</v>
      </c>
      <c r="P92" s="159" t="s">
        <v>233</v>
      </c>
    </row>
    <row r="93" spans="1:16" ht="15" x14ac:dyDescent="0.2">
      <c r="A93" s="97" t="s">
        <v>236</v>
      </c>
      <c r="B93" s="160" t="s">
        <v>12</v>
      </c>
      <c r="C93" s="160" t="s">
        <v>12</v>
      </c>
      <c r="D93" s="160" t="s">
        <v>12</v>
      </c>
      <c r="E93" s="160" t="s">
        <v>12</v>
      </c>
      <c r="F93" s="160" t="s">
        <v>12</v>
      </c>
      <c r="G93" s="160" t="s">
        <v>12</v>
      </c>
      <c r="H93" s="160" t="s">
        <v>12</v>
      </c>
      <c r="I93" s="160" t="s">
        <v>12</v>
      </c>
      <c r="J93" s="160" t="s">
        <v>12</v>
      </c>
      <c r="K93" s="160" t="s">
        <v>12</v>
      </c>
      <c r="L93" s="160" t="s">
        <v>12</v>
      </c>
      <c r="M93" s="160" t="s">
        <v>12</v>
      </c>
      <c r="N93" s="160" t="s">
        <v>12</v>
      </c>
      <c r="O93" s="160" t="s">
        <v>12</v>
      </c>
      <c r="P93" s="160" t="s">
        <v>12</v>
      </c>
    </row>
    <row r="94" spans="1:16" x14ac:dyDescent="0.2">
      <c r="A94" s="99" t="s">
        <v>63</v>
      </c>
      <c r="B94" s="24" t="s">
        <v>64</v>
      </c>
      <c r="C94" s="17"/>
    </row>
    <row r="95" spans="1:16" ht="15" x14ac:dyDescent="0.2">
      <c r="A95" s="97" t="s">
        <v>63</v>
      </c>
      <c r="B95" s="12" t="s">
        <v>33</v>
      </c>
      <c r="C95" s="7"/>
      <c r="D95" s="28"/>
      <c r="E95" s="28"/>
      <c r="F95" s="28"/>
    </row>
    <row r="96" spans="1:16" ht="25.5" x14ac:dyDescent="0.2">
      <c r="A96" s="99" t="s">
        <v>67</v>
      </c>
      <c r="B96" s="24" t="s">
        <v>65</v>
      </c>
      <c r="C96" s="24" t="s">
        <v>66</v>
      </c>
      <c r="D96" s="163"/>
      <c r="E96" s="29"/>
      <c r="F96" s="29"/>
    </row>
    <row r="97" spans="1:9" ht="25.5" x14ac:dyDescent="0.2">
      <c r="A97" s="97" t="s">
        <v>67</v>
      </c>
      <c r="B97" s="12" t="s">
        <v>12</v>
      </c>
      <c r="C97" s="164" t="s">
        <v>12</v>
      </c>
      <c r="D97" s="162"/>
      <c r="E97" s="28"/>
    </row>
    <row r="98" spans="1:9" x14ac:dyDescent="0.2">
      <c r="A98" s="99" t="s">
        <v>68</v>
      </c>
      <c r="B98" s="32" t="s">
        <v>69</v>
      </c>
      <c r="C98" s="10"/>
      <c r="D98" s="29"/>
      <c r="E98" s="29"/>
    </row>
    <row r="99" spans="1:9" ht="15" x14ac:dyDescent="0.2">
      <c r="A99" s="97" t="s">
        <v>68</v>
      </c>
      <c r="B99" s="33" t="s">
        <v>12</v>
      </c>
      <c r="C99" s="17"/>
    </row>
    <row r="100" spans="1:9" x14ac:dyDescent="0.2">
      <c r="A100" s="16"/>
      <c r="B100" s="3"/>
    </row>
    <row r="101" spans="1:9" ht="15" x14ac:dyDescent="0.2">
      <c r="A101" s="175" t="s">
        <v>34</v>
      </c>
      <c r="B101" s="19" t="s">
        <v>89</v>
      </c>
      <c r="C101" s="7"/>
      <c r="D101" s="16"/>
      <c r="E101" s="16"/>
      <c r="F101" s="16"/>
    </row>
    <row r="102" spans="1:9" ht="22.5" x14ac:dyDescent="0.2">
      <c r="A102" s="99" t="s">
        <v>36</v>
      </c>
      <c r="B102" s="24" t="s">
        <v>37</v>
      </c>
      <c r="C102" s="24" t="s">
        <v>38</v>
      </c>
      <c r="D102" s="24" t="s">
        <v>39</v>
      </c>
      <c r="E102" s="24" t="s">
        <v>40</v>
      </c>
      <c r="F102" s="24" t="s">
        <v>41</v>
      </c>
      <c r="G102" s="26"/>
    </row>
    <row r="103" spans="1:9" ht="30" x14ac:dyDescent="0.2">
      <c r="A103" s="97" t="s">
        <v>36</v>
      </c>
      <c r="B103" s="42" t="s">
        <v>77</v>
      </c>
      <c r="C103" s="12" t="s">
        <v>78</v>
      </c>
      <c r="D103" s="12" t="s">
        <v>79</v>
      </c>
      <c r="E103" s="12" t="s">
        <v>80</v>
      </c>
      <c r="F103" s="42" t="s">
        <v>12</v>
      </c>
      <c r="G103" s="13"/>
    </row>
    <row r="104" spans="1:9" ht="22.5" x14ac:dyDescent="0.2">
      <c r="A104" s="73" t="s">
        <v>45</v>
      </c>
      <c r="B104" s="24" t="s">
        <v>46</v>
      </c>
      <c r="C104" s="24" t="s">
        <v>47</v>
      </c>
      <c r="D104" s="147" t="s">
        <v>212</v>
      </c>
      <c r="E104" s="24" t="s">
        <v>48</v>
      </c>
      <c r="F104" s="24" t="s">
        <v>49</v>
      </c>
      <c r="G104" s="24" t="s">
        <v>50</v>
      </c>
      <c r="H104" s="24" t="s">
        <v>51</v>
      </c>
      <c r="I104" s="147" t="s">
        <v>246</v>
      </c>
    </row>
    <row r="105" spans="1:9" ht="15" x14ac:dyDescent="0.2">
      <c r="A105" s="74" t="s">
        <v>45</v>
      </c>
      <c r="B105" s="42" t="s">
        <v>74</v>
      </c>
      <c r="C105" s="42" t="s">
        <v>12</v>
      </c>
      <c r="D105" s="42" t="s">
        <v>12</v>
      </c>
      <c r="E105" s="42" t="s">
        <v>81</v>
      </c>
      <c r="F105" s="42" t="s">
        <v>82</v>
      </c>
      <c r="G105" s="42" t="s">
        <v>12</v>
      </c>
      <c r="H105" s="42" t="s">
        <v>12</v>
      </c>
      <c r="I105" s="42" t="s">
        <v>12</v>
      </c>
    </row>
    <row r="106" spans="1:9" ht="15" x14ac:dyDescent="0.2">
      <c r="A106" s="75" t="s">
        <v>45</v>
      </c>
      <c r="B106" s="12" t="s">
        <v>84</v>
      </c>
      <c r="C106" s="12">
        <v>1</v>
      </c>
      <c r="D106" s="42" t="s">
        <v>12</v>
      </c>
      <c r="E106" s="12" t="s">
        <v>85</v>
      </c>
      <c r="F106" s="12" t="s">
        <v>90</v>
      </c>
      <c r="G106" s="12" t="s">
        <v>12</v>
      </c>
      <c r="H106" s="12" t="s">
        <v>12</v>
      </c>
      <c r="I106" s="12" t="s">
        <v>12</v>
      </c>
    </row>
    <row r="107" spans="1:9" ht="22.5" x14ac:dyDescent="0.2">
      <c r="A107" s="129" t="s">
        <v>162</v>
      </c>
      <c r="B107" s="182" t="s">
        <v>46</v>
      </c>
      <c r="C107" s="172" t="s">
        <v>47</v>
      </c>
      <c r="D107" s="172" t="s">
        <v>48</v>
      </c>
      <c r="E107" s="107"/>
      <c r="F107" s="107"/>
      <c r="G107" s="107"/>
      <c r="H107" s="81"/>
    </row>
    <row r="108" spans="1:9" ht="15" x14ac:dyDescent="0.2">
      <c r="A108" s="183" t="s">
        <v>162</v>
      </c>
      <c r="B108" s="184" t="s">
        <v>84</v>
      </c>
      <c r="C108" s="174">
        <v>1</v>
      </c>
      <c r="D108" s="174" t="s">
        <v>85</v>
      </c>
      <c r="E108" s="107"/>
      <c r="F108" s="107"/>
      <c r="G108" s="107"/>
      <c r="H108" s="81"/>
    </row>
    <row r="109" spans="1:9" ht="22.5" x14ac:dyDescent="0.2">
      <c r="A109" s="73" t="s">
        <v>52</v>
      </c>
      <c r="B109" s="24" t="s">
        <v>2</v>
      </c>
      <c r="C109" s="24" t="s">
        <v>53</v>
      </c>
      <c r="D109" s="24" t="s">
        <v>54</v>
      </c>
      <c r="E109" s="24" t="s">
        <v>5</v>
      </c>
      <c r="F109" s="24" t="s">
        <v>55</v>
      </c>
      <c r="G109" s="186" t="s">
        <v>211</v>
      </c>
    </row>
    <row r="110" spans="1:9" ht="15" x14ac:dyDescent="0.2">
      <c r="A110" s="74" t="s">
        <v>52</v>
      </c>
      <c r="B110" s="176" t="s">
        <v>14</v>
      </c>
      <c r="C110" s="180" t="s">
        <v>59</v>
      </c>
      <c r="D110" s="181" t="s">
        <v>132</v>
      </c>
      <c r="E110" s="180" t="s">
        <v>12</v>
      </c>
      <c r="F110" s="180">
        <v>0.5</v>
      </c>
      <c r="G110" s="190" t="s">
        <v>84</v>
      </c>
    </row>
    <row r="111" spans="1:9" ht="15" x14ac:dyDescent="0.2">
      <c r="A111" s="75" t="s">
        <v>52</v>
      </c>
      <c r="B111" s="198" t="s">
        <v>17</v>
      </c>
      <c r="C111" s="180" t="s">
        <v>59</v>
      </c>
      <c r="D111" s="180" t="s">
        <v>60</v>
      </c>
      <c r="E111" s="180" t="s">
        <v>12</v>
      </c>
      <c r="F111" s="189">
        <v>0.5</v>
      </c>
      <c r="G111" s="190" t="s">
        <v>84</v>
      </c>
    </row>
    <row r="112" spans="1:9" ht="22.5" x14ac:dyDescent="0.2">
      <c r="A112" s="73" t="s">
        <v>61</v>
      </c>
      <c r="B112" s="24" t="s">
        <v>2</v>
      </c>
      <c r="C112" s="24" t="s">
        <v>53</v>
      </c>
      <c r="D112" s="24" t="s">
        <v>54</v>
      </c>
      <c r="E112" s="10"/>
      <c r="F112" s="4"/>
    </row>
    <row r="113" spans="1:16" ht="15" x14ac:dyDescent="0.2">
      <c r="A113" s="74" t="s">
        <v>61</v>
      </c>
      <c r="B113" s="176" t="s">
        <v>102</v>
      </c>
      <c r="C113" s="181" t="s">
        <v>42</v>
      </c>
      <c r="D113" s="181" t="s">
        <v>12</v>
      </c>
      <c r="E113" s="17"/>
    </row>
    <row r="114" spans="1:16" ht="15" x14ac:dyDescent="0.2">
      <c r="A114" s="74" t="s">
        <v>61</v>
      </c>
      <c r="B114" s="20" t="s">
        <v>62</v>
      </c>
      <c r="C114" s="181" t="s">
        <v>42</v>
      </c>
      <c r="D114" s="181" t="s">
        <v>12</v>
      </c>
      <c r="E114" s="17"/>
    </row>
    <row r="115" spans="1:16" ht="15" x14ac:dyDescent="0.2">
      <c r="A115" s="74" t="s">
        <v>61</v>
      </c>
      <c r="B115" s="49" t="s">
        <v>57</v>
      </c>
      <c r="C115" s="174" t="s">
        <v>42</v>
      </c>
      <c r="D115" s="174" t="s">
        <v>12</v>
      </c>
      <c r="E115" s="17"/>
    </row>
    <row r="116" spans="1:16" ht="15" x14ac:dyDescent="0.2">
      <c r="A116" s="74" t="s">
        <v>61</v>
      </c>
      <c r="B116" s="176" t="s">
        <v>11</v>
      </c>
      <c r="C116" s="181" t="s">
        <v>42</v>
      </c>
      <c r="D116" s="181" t="s">
        <v>12</v>
      </c>
      <c r="E116" s="38"/>
    </row>
    <row r="117" spans="1:16" ht="15" x14ac:dyDescent="0.2">
      <c r="A117" s="74" t="s">
        <v>61</v>
      </c>
      <c r="B117" s="176" t="s">
        <v>13</v>
      </c>
      <c r="C117" s="181" t="s">
        <v>42</v>
      </c>
      <c r="D117" s="181" t="s">
        <v>12</v>
      </c>
      <c r="E117" s="38"/>
    </row>
    <row r="118" spans="1:16" ht="15" x14ac:dyDescent="0.2">
      <c r="A118" s="74" t="s">
        <v>61</v>
      </c>
      <c r="B118" s="176" t="s">
        <v>14</v>
      </c>
      <c r="C118" s="181" t="s">
        <v>42</v>
      </c>
      <c r="D118" s="181" t="s">
        <v>12</v>
      </c>
      <c r="E118" s="38"/>
    </row>
    <row r="119" spans="1:16" ht="15" x14ac:dyDescent="0.2">
      <c r="A119" s="74" t="s">
        <v>61</v>
      </c>
      <c r="B119" s="198" t="s">
        <v>15</v>
      </c>
      <c r="C119" s="174" t="s">
        <v>42</v>
      </c>
      <c r="D119" s="174" t="s">
        <v>12</v>
      </c>
      <c r="E119" s="17"/>
    </row>
    <row r="120" spans="1:16" ht="15" x14ac:dyDescent="0.2">
      <c r="A120" s="74" t="s">
        <v>61</v>
      </c>
      <c r="B120" s="198" t="s">
        <v>17</v>
      </c>
      <c r="C120" s="174" t="s">
        <v>42</v>
      </c>
      <c r="D120" s="174" t="s">
        <v>12</v>
      </c>
      <c r="E120" s="17"/>
    </row>
    <row r="121" spans="1:16" ht="15" x14ac:dyDescent="0.2">
      <c r="A121" s="74" t="s">
        <v>61</v>
      </c>
      <c r="B121" s="198" t="s">
        <v>18</v>
      </c>
      <c r="C121" s="174" t="s">
        <v>42</v>
      </c>
      <c r="D121" s="174" t="s">
        <v>12</v>
      </c>
      <c r="E121" s="17"/>
    </row>
    <row r="122" spans="1:16" ht="15" x14ac:dyDescent="0.2">
      <c r="A122" s="74"/>
      <c r="B122" s="176" t="s">
        <v>19</v>
      </c>
      <c r="C122" s="174" t="s">
        <v>42</v>
      </c>
      <c r="D122" s="174" t="s">
        <v>12</v>
      </c>
      <c r="E122" s="38"/>
    </row>
    <row r="123" spans="1:16" ht="15" x14ac:dyDescent="0.2">
      <c r="A123" s="75" t="s">
        <v>61</v>
      </c>
      <c r="B123" s="195" t="s">
        <v>16</v>
      </c>
      <c r="C123" s="181" t="s">
        <v>42</v>
      </c>
      <c r="D123" s="181" t="s">
        <v>12</v>
      </c>
      <c r="E123" s="17"/>
    </row>
    <row r="124" spans="1:16" x14ac:dyDescent="0.2">
      <c r="A124" s="99" t="s">
        <v>236</v>
      </c>
      <c r="B124" s="159" t="s">
        <v>237</v>
      </c>
      <c r="C124" s="159" t="s">
        <v>238</v>
      </c>
      <c r="D124" s="159" t="s">
        <v>239</v>
      </c>
      <c r="E124" s="159" t="s">
        <v>240</v>
      </c>
      <c r="F124" s="159" t="s">
        <v>241</v>
      </c>
      <c r="G124" s="159" t="s">
        <v>242</v>
      </c>
      <c r="H124" s="159" t="s">
        <v>65</v>
      </c>
      <c r="I124" s="159" t="s">
        <v>66</v>
      </c>
      <c r="J124" s="159" t="s">
        <v>209</v>
      </c>
      <c r="K124" s="159" t="s">
        <v>210</v>
      </c>
      <c r="L124" s="159" t="s">
        <v>45</v>
      </c>
      <c r="M124" s="159" t="s">
        <v>243</v>
      </c>
      <c r="N124" s="159" t="s">
        <v>244</v>
      </c>
      <c r="O124" s="159" t="s">
        <v>245</v>
      </c>
      <c r="P124" s="159" t="s">
        <v>233</v>
      </c>
    </row>
    <row r="125" spans="1:16" ht="15" x14ac:dyDescent="0.2">
      <c r="A125" s="97" t="s">
        <v>236</v>
      </c>
      <c r="B125" s="160" t="s">
        <v>12</v>
      </c>
      <c r="C125" s="160" t="s">
        <v>12</v>
      </c>
      <c r="D125" s="160" t="s">
        <v>12</v>
      </c>
      <c r="E125" s="160" t="s">
        <v>12</v>
      </c>
      <c r="F125" s="160" t="s">
        <v>12</v>
      </c>
      <c r="G125" s="160" t="s">
        <v>12</v>
      </c>
      <c r="H125" s="160" t="s">
        <v>12</v>
      </c>
      <c r="I125" s="160" t="s">
        <v>12</v>
      </c>
      <c r="J125" s="160" t="s">
        <v>12</v>
      </c>
      <c r="K125" s="160" t="s">
        <v>12</v>
      </c>
      <c r="L125" s="160" t="s">
        <v>12</v>
      </c>
      <c r="M125" s="160" t="s">
        <v>12</v>
      </c>
      <c r="N125" s="160" t="s">
        <v>12</v>
      </c>
      <c r="O125" s="160" t="s">
        <v>12</v>
      </c>
      <c r="P125" s="160" t="s">
        <v>12</v>
      </c>
    </row>
    <row r="126" spans="1:16" x14ac:dyDescent="0.2">
      <c r="A126" s="99" t="s">
        <v>63</v>
      </c>
      <c r="B126" s="24" t="s">
        <v>64</v>
      </c>
      <c r="C126" s="17"/>
    </row>
    <row r="127" spans="1:16" ht="15" x14ac:dyDescent="0.2">
      <c r="A127" s="97" t="s">
        <v>63</v>
      </c>
      <c r="B127" s="12" t="s">
        <v>33</v>
      </c>
      <c r="C127" s="7"/>
      <c r="D127" s="28"/>
      <c r="E127" s="28"/>
      <c r="F127" s="28"/>
      <c r="G127" s="31"/>
    </row>
    <row r="128" spans="1:16" ht="25.5" x14ac:dyDescent="0.2">
      <c r="A128" s="99" t="s">
        <v>67</v>
      </c>
      <c r="B128" s="24" t="s">
        <v>65</v>
      </c>
      <c r="C128" s="24" t="s">
        <v>66</v>
      </c>
      <c r="D128" s="163"/>
      <c r="E128" s="29"/>
      <c r="F128" s="29"/>
    </row>
    <row r="129" spans="1:5" ht="25.5" x14ac:dyDescent="0.2">
      <c r="A129" s="97" t="s">
        <v>67</v>
      </c>
      <c r="B129" s="12" t="s">
        <v>12</v>
      </c>
      <c r="C129" s="164" t="s">
        <v>12</v>
      </c>
      <c r="D129" s="162"/>
      <c r="E129" s="28"/>
    </row>
    <row r="130" spans="1:5" x14ac:dyDescent="0.2">
      <c r="A130" s="99" t="s">
        <v>68</v>
      </c>
      <c r="B130" s="32" t="s">
        <v>69</v>
      </c>
      <c r="C130" s="10"/>
      <c r="D130" s="29"/>
      <c r="E130" s="29"/>
    </row>
    <row r="131" spans="1:5" ht="15" x14ac:dyDescent="0.2">
      <c r="A131" s="97" t="s">
        <v>68</v>
      </c>
      <c r="B131" s="33" t="s">
        <v>12</v>
      </c>
      <c r="C131" s="17"/>
    </row>
    <row r="132" spans="1:5" x14ac:dyDescent="0.2">
      <c r="B132"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
  <sheetViews>
    <sheetView zoomScaleNormal="100" workbookViewId="0"/>
  </sheetViews>
  <sheetFormatPr defaultColWidth="20.7109375" defaultRowHeight="12.75" x14ac:dyDescent="0.2"/>
  <cols>
    <col min="1" max="1" width="20.7109375" style="124"/>
    <col min="2" max="2" width="40.7109375" style="124" customWidth="1"/>
    <col min="3" max="16384" width="20.7109375" style="124"/>
  </cols>
  <sheetData>
    <row r="1" spans="1:9" s="105" customFormat="1" ht="15" x14ac:dyDescent="0.2">
      <c r="A1" s="6" t="s">
        <v>25</v>
      </c>
      <c r="B1" s="151" t="s">
        <v>218</v>
      </c>
      <c r="C1" s="100"/>
      <c r="D1" s="101"/>
      <c r="E1" s="199"/>
    </row>
    <row r="2" spans="1:9" ht="15" x14ac:dyDescent="0.2">
      <c r="A2" s="170" t="s">
        <v>26</v>
      </c>
      <c r="B2" s="34" t="s">
        <v>232</v>
      </c>
      <c r="C2" s="10"/>
      <c r="D2" s="4"/>
    </row>
    <row r="3" spans="1:9" ht="15" x14ac:dyDescent="0.2">
      <c r="A3" s="8" t="s">
        <v>27</v>
      </c>
      <c r="B3" s="34" t="s">
        <v>232</v>
      </c>
      <c r="C3" s="7"/>
      <c r="D3" s="21"/>
    </row>
    <row r="4" spans="1:9" ht="25.5" x14ac:dyDescent="0.2">
      <c r="A4" s="99" t="s">
        <v>28</v>
      </c>
      <c r="B4" s="171" t="s">
        <v>29</v>
      </c>
      <c r="C4" s="171" t="s">
        <v>30</v>
      </c>
      <c r="D4" s="171" t="s">
        <v>31</v>
      </c>
      <c r="E4" s="172" t="s">
        <v>208</v>
      </c>
      <c r="F4" s="172" t="s">
        <v>159</v>
      </c>
    </row>
    <row r="5" spans="1:9" ht="30" x14ac:dyDescent="0.2">
      <c r="A5" s="97" t="s">
        <v>28</v>
      </c>
      <c r="B5" s="173" t="s">
        <v>33</v>
      </c>
      <c r="C5" s="173" t="s">
        <v>32</v>
      </c>
      <c r="D5" s="173">
        <v>3</v>
      </c>
      <c r="E5" s="174" t="s">
        <v>12</v>
      </c>
      <c r="F5" s="174" t="s">
        <v>182</v>
      </c>
    </row>
    <row r="6" spans="1:9" x14ac:dyDescent="0.2">
      <c r="A6" s="2"/>
      <c r="B6" s="5"/>
      <c r="C6" s="1"/>
      <c r="D6" s="1"/>
    </row>
    <row r="7" spans="1:9" ht="15" x14ac:dyDescent="0.2">
      <c r="A7" s="175" t="s">
        <v>34</v>
      </c>
      <c r="B7" s="176" t="s">
        <v>35</v>
      </c>
      <c r="C7" s="7"/>
      <c r="D7" s="16"/>
      <c r="E7" s="16"/>
      <c r="F7" s="16"/>
    </row>
    <row r="8" spans="1:9" ht="22.5" x14ac:dyDescent="0.2">
      <c r="A8" s="99" t="s">
        <v>36</v>
      </c>
      <c r="B8" s="171" t="s">
        <v>37</v>
      </c>
      <c r="C8" s="171" t="s">
        <v>38</v>
      </c>
      <c r="D8" s="171" t="s">
        <v>39</v>
      </c>
      <c r="E8" s="171" t="s">
        <v>40</v>
      </c>
      <c r="F8" s="171" t="s">
        <v>41</v>
      </c>
      <c r="G8" s="177"/>
    </row>
    <row r="9" spans="1:9" ht="15" x14ac:dyDescent="0.2">
      <c r="A9" s="97" t="s">
        <v>36</v>
      </c>
      <c r="B9" s="173" t="s">
        <v>92</v>
      </c>
      <c r="C9" s="173" t="s">
        <v>93</v>
      </c>
      <c r="D9" s="173" t="s">
        <v>93</v>
      </c>
      <c r="E9" s="173" t="s">
        <v>12</v>
      </c>
      <c r="F9" s="173" t="s">
        <v>12</v>
      </c>
      <c r="G9" s="178"/>
    </row>
    <row r="10" spans="1:9" ht="22.5" x14ac:dyDescent="0.2">
      <c r="A10" s="99" t="s">
        <v>45</v>
      </c>
      <c r="B10" s="171" t="s">
        <v>46</v>
      </c>
      <c r="C10" s="171" t="s">
        <v>47</v>
      </c>
      <c r="D10" s="179" t="s">
        <v>212</v>
      </c>
      <c r="E10" s="171" t="s">
        <v>48</v>
      </c>
      <c r="F10" s="171" t="s">
        <v>49</v>
      </c>
      <c r="G10" s="171" t="s">
        <v>50</v>
      </c>
      <c r="H10" s="171" t="s">
        <v>51</v>
      </c>
      <c r="I10" s="179" t="s">
        <v>246</v>
      </c>
    </row>
    <row r="11" spans="1:9" ht="15" x14ac:dyDescent="0.2">
      <c r="A11" s="97" t="s">
        <v>45</v>
      </c>
      <c r="B11" s="173" t="s">
        <v>12</v>
      </c>
      <c r="C11" s="200" t="s">
        <v>12</v>
      </c>
      <c r="D11" s="200" t="s">
        <v>12</v>
      </c>
      <c r="E11" s="200" t="s">
        <v>12</v>
      </c>
      <c r="F11" s="200" t="s">
        <v>12</v>
      </c>
      <c r="G11" s="200" t="s">
        <v>12</v>
      </c>
      <c r="H11" s="200" t="s">
        <v>12</v>
      </c>
      <c r="I11" s="200" t="s">
        <v>12</v>
      </c>
    </row>
    <row r="12" spans="1:9" ht="22.5" x14ac:dyDescent="0.2">
      <c r="A12" s="129" t="s">
        <v>162</v>
      </c>
      <c r="B12" s="182" t="s">
        <v>46</v>
      </c>
      <c r="C12" s="172" t="s">
        <v>47</v>
      </c>
      <c r="D12" s="172" t="s">
        <v>48</v>
      </c>
      <c r="E12" s="107"/>
      <c r="F12" s="107"/>
      <c r="G12" s="107"/>
      <c r="H12" s="81"/>
    </row>
    <row r="13" spans="1:9" ht="15" x14ac:dyDescent="0.2">
      <c r="A13" s="183" t="s">
        <v>162</v>
      </c>
      <c r="B13" s="184" t="s">
        <v>12</v>
      </c>
      <c r="C13" s="174" t="s">
        <v>12</v>
      </c>
      <c r="D13" s="174" t="s">
        <v>247</v>
      </c>
      <c r="E13" s="107"/>
      <c r="F13" s="107"/>
      <c r="G13" s="107"/>
      <c r="H13" s="81"/>
    </row>
    <row r="14" spans="1:9" ht="22.5" x14ac:dyDescent="0.2">
      <c r="A14" s="98" t="s">
        <v>52</v>
      </c>
      <c r="B14" s="171" t="s">
        <v>2</v>
      </c>
      <c r="C14" s="171" t="s">
        <v>53</v>
      </c>
      <c r="D14" s="171" t="s">
        <v>54</v>
      </c>
      <c r="E14" s="171" t="s">
        <v>5</v>
      </c>
      <c r="F14" s="171" t="s">
        <v>55</v>
      </c>
      <c r="G14" s="186" t="s">
        <v>211</v>
      </c>
    </row>
    <row r="15" spans="1:9" ht="30" x14ac:dyDescent="0.2">
      <c r="A15" s="202" t="s">
        <v>52</v>
      </c>
      <c r="B15" s="49" t="s">
        <v>57</v>
      </c>
      <c r="C15" s="180" t="s">
        <v>12</v>
      </c>
      <c r="D15" s="180" t="s">
        <v>58</v>
      </c>
      <c r="E15" s="165" t="s">
        <v>107</v>
      </c>
      <c r="F15" s="189">
        <v>1</v>
      </c>
      <c r="G15" s="190" t="s">
        <v>74</v>
      </c>
    </row>
    <row r="16" spans="1:9" ht="22.5" x14ac:dyDescent="0.2">
      <c r="A16" s="98" t="s">
        <v>61</v>
      </c>
      <c r="B16" s="171" t="s">
        <v>2</v>
      </c>
      <c r="C16" s="171" t="s">
        <v>53</v>
      </c>
      <c r="D16" s="171" t="s">
        <v>54</v>
      </c>
      <c r="E16" s="10"/>
      <c r="F16" s="4"/>
    </row>
    <row r="17" spans="1:16" ht="15" x14ac:dyDescent="0.2">
      <c r="A17" s="203" t="s">
        <v>61</v>
      </c>
      <c r="B17" s="205" t="s">
        <v>12</v>
      </c>
      <c r="C17" s="181" t="s">
        <v>12</v>
      </c>
      <c r="D17" s="181" t="s">
        <v>12</v>
      </c>
      <c r="E17" s="17"/>
    </row>
    <row r="18" spans="1:16" x14ac:dyDescent="0.2">
      <c r="A18" s="99" t="s">
        <v>236</v>
      </c>
      <c r="B18" s="159" t="s">
        <v>237</v>
      </c>
      <c r="C18" s="159" t="s">
        <v>238</v>
      </c>
      <c r="D18" s="159" t="s">
        <v>239</v>
      </c>
      <c r="E18" s="159" t="s">
        <v>240</v>
      </c>
      <c r="F18" s="159" t="s">
        <v>241</v>
      </c>
      <c r="G18" s="159" t="s">
        <v>242</v>
      </c>
      <c r="H18" s="159" t="s">
        <v>65</v>
      </c>
      <c r="I18" s="159" t="s">
        <v>66</v>
      </c>
      <c r="J18" s="159" t="s">
        <v>209</v>
      </c>
      <c r="K18" s="159" t="s">
        <v>210</v>
      </c>
      <c r="L18" s="159" t="s">
        <v>45</v>
      </c>
      <c r="M18" s="159" t="s">
        <v>243</v>
      </c>
      <c r="N18" s="159" t="s">
        <v>244</v>
      </c>
      <c r="O18" s="159" t="s">
        <v>245</v>
      </c>
      <c r="P18" s="159" t="s">
        <v>233</v>
      </c>
    </row>
    <row r="19" spans="1:16" ht="15" x14ac:dyDescent="0.2">
      <c r="A19" s="97" t="s">
        <v>236</v>
      </c>
      <c r="B19" s="160" t="s">
        <v>12</v>
      </c>
      <c r="C19" s="160" t="s">
        <v>12</v>
      </c>
      <c r="D19" s="160" t="s">
        <v>12</v>
      </c>
      <c r="E19" s="160" t="s">
        <v>12</v>
      </c>
      <c r="F19" s="160" t="s">
        <v>12</v>
      </c>
      <c r="G19" s="160" t="s">
        <v>12</v>
      </c>
      <c r="H19" s="160" t="s">
        <v>12</v>
      </c>
      <c r="I19" s="160" t="s">
        <v>12</v>
      </c>
      <c r="J19" s="160" t="s">
        <v>12</v>
      </c>
      <c r="K19" s="160" t="s">
        <v>12</v>
      </c>
      <c r="L19" s="160" t="s">
        <v>12</v>
      </c>
      <c r="M19" s="160" t="s">
        <v>12</v>
      </c>
      <c r="N19" s="160" t="s">
        <v>12</v>
      </c>
      <c r="O19" s="160" t="s">
        <v>12</v>
      </c>
      <c r="P19" s="160" t="s">
        <v>12</v>
      </c>
    </row>
    <row r="20" spans="1:16" x14ac:dyDescent="0.2">
      <c r="A20" s="99" t="s">
        <v>63</v>
      </c>
      <c r="B20" s="171" t="s">
        <v>64</v>
      </c>
      <c r="C20" s="17"/>
    </row>
    <row r="21" spans="1:16" ht="15" x14ac:dyDescent="0.2">
      <c r="A21" s="97" t="s">
        <v>63</v>
      </c>
      <c r="B21" s="173" t="s">
        <v>33</v>
      </c>
      <c r="C21" s="7"/>
      <c r="D21" s="28"/>
      <c r="E21" s="28"/>
      <c r="F21" s="28"/>
    </row>
    <row r="22" spans="1:16" ht="25.5" x14ac:dyDescent="0.2">
      <c r="A22" s="99" t="s">
        <v>67</v>
      </c>
      <c r="B22" s="171" t="s">
        <v>65</v>
      </c>
      <c r="C22" s="171" t="s">
        <v>66</v>
      </c>
      <c r="D22" s="163"/>
      <c r="E22" s="29"/>
      <c r="F22" s="29"/>
    </row>
    <row r="23" spans="1:16" ht="25.5" x14ac:dyDescent="0.2">
      <c r="A23" s="97" t="s">
        <v>67</v>
      </c>
      <c r="B23" s="173" t="s">
        <v>12</v>
      </c>
      <c r="C23" s="207" t="s">
        <v>12</v>
      </c>
      <c r="D23" s="162"/>
      <c r="E23" s="28"/>
    </row>
    <row r="24" spans="1:16" x14ac:dyDescent="0.2">
      <c r="A24" s="99" t="s">
        <v>68</v>
      </c>
      <c r="B24" s="201" t="s">
        <v>69</v>
      </c>
      <c r="C24" s="10"/>
      <c r="D24" s="29"/>
      <c r="E24" s="29"/>
    </row>
    <row r="25" spans="1:16" ht="15" x14ac:dyDescent="0.2">
      <c r="A25" s="97" t="s">
        <v>68</v>
      </c>
      <c r="B25" s="204" t="s">
        <v>12</v>
      </c>
      <c r="C25" s="17"/>
    </row>
    <row r="26" spans="1:16" x14ac:dyDescent="0.2">
      <c r="A26" s="16"/>
      <c r="B26" s="3"/>
    </row>
    <row r="27" spans="1:16" ht="15" x14ac:dyDescent="0.2">
      <c r="A27" s="175" t="s">
        <v>34</v>
      </c>
      <c r="B27" s="19" t="s">
        <v>70</v>
      </c>
      <c r="C27" s="7"/>
      <c r="D27" s="16"/>
      <c r="E27" s="16"/>
      <c r="F27" s="16"/>
    </row>
    <row r="28" spans="1:16" ht="22.5" x14ac:dyDescent="0.2">
      <c r="A28" s="99" t="s">
        <v>36</v>
      </c>
      <c r="B28" s="24" t="s">
        <v>37</v>
      </c>
      <c r="C28" s="24" t="s">
        <v>38</v>
      </c>
      <c r="D28" s="24" t="s">
        <v>39</v>
      </c>
      <c r="E28" s="24" t="s">
        <v>40</v>
      </c>
      <c r="F28" s="24" t="s">
        <v>41</v>
      </c>
      <c r="G28" s="26"/>
    </row>
    <row r="29" spans="1:16" ht="15" x14ac:dyDescent="0.2">
      <c r="A29" s="97" t="s">
        <v>36</v>
      </c>
      <c r="B29" s="12" t="s">
        <v>12</v>
      </c>
      <c r="C29" s="12" t="s">
        <v>12</v>
      </c>
      <c r="D29" s="12" t="s">
        <v>12</v>
      </c>
      <c r="E29" s="12" t="s">
        <v>12</v>
      </c>
      <c r="F29" s="12" t="s">
        <v>94</v>
      </c>
      <c r="G29" s="13"/>
    </row>
    <row r="30" spans="1:16" ht="22.5" x14ac:dyDescent="0.2">
      <c r="A30" s="99" t="s">
        <v>45</v>
      </c>
      <c r="B30" s="24" t="s">
        <v>46</v>
      </c>
      <c r="C30" s="24" t="s">
        <v>47</v>
      </c>
      <c r="D30" s="147" t="s">
        <v>212</v>
      </c>
      <c r="E30" s="24" t="s">
        <v>48</v>
      </c>
      <c r="F30" s="24" t="s">
        <v>49</v>
      </c>
      <c r="G30" s="24" t="s">
        <v>50</v>
      </c>
      <c r="H30" s="24" t="s">
        <v>51</v>
      </c>
      <c r="I30" s="147" t="s">
        <v>246</v>
      </c>
    </row>
    <row r="31" spans="1:16" ht="30" x14ac:dyDescent="0.2">
      <c r="A31" s="97" t="s">
        <v>45</v>
      </c>
      <c r="B31" s="12" t="s">
        <v>74</v>
      </c>
      <c r="C31" s="12" t="s">
        <v>12</v>
      </c>
      <c r="D31" s="42" t="s">
        <v>12</v>
      </c>
      <c r="E31" s="12" t="s">
        <v>95</v>
      </c>
      <c r="F31" s="12" t="s">
        <v>88</v>
      </c>
      <c r="G31" s="42" t="s">
        <v>88</v>
      </c>
      <c r="H31" s="42" t="s">
        <v>141</v>
      </c>
      <c r="I31" s="42" t="s">
        <v>12</v>
      </c>
    </row>
    <row r="32" spans="1:16" ht="22.5" x14ac:dyDescent="0.2">
      <c r="A32" s="129" t="s">
        <v>162</v>
      </c>
      <c r="B32" s="182" t="s">
        <v>46</v>
      </c>
      <c r="C32" s="172" t="s">
        <v>47</v>
      </c>
      <c r="D32" s="172" t="s">
        <v>48</v>
      </c>
      <c r="E32" s="107"/>
      <c r="F32" s="107"/>
      <c r="G32" s="107"/>
      <c r="H32" s="81"/>
    </row>
    <row r="33" spans="1:16" ht="15" x14ac:dyDescent="0.2">
      <c r="A33" s="183" t="s">
        <v>162</v>
      </c>
      <c r="B33" s="184" t="s">
        <v>12</v>
      </c>
      <c r="C33" s="174" t="s">
        <v>12</v>
      </c>
      <c r="D33" s="174" t="s">
        <v>12</v>
      </c>
      <c r="E33" s="107"/>
      <c r="F33" s="107"/>
      <c r="G33" s="107"/>
      <c r="H33" s="81"/>
    </row>
    <row r="34" spans="1:16" ht="22.5" x14ac:dyDescent="0.2">
      <c r="A34" s="98" t="s">
        <v>52</v>
      </c>
      <c r="B34" s="24" t="s">
        <v>2</v>
      </c>
      <c r="C34" s="24" t="s">
        <v>53</v>
      </c>
      <c r="D34" s="24" t="s">
        <v>54</v>
      </c>
      <c r="E34" s="24" t="s">
        <v>5</v>
      </c>
      <c r="F34" s="24" t="s">
        <v>55</v>
      </c>
      <c r="G34" s="186" t="s">
        <v>211</v>
      </c>
    </row>
    <row r="35" spans="1:16" ht="30" x14ac:dyDescent="0.2">
      <c r="A35" s="202" t="s">
        <v>52</v>
      </c>
      <c r="B35" s="49" t="s">
        <v>57</v>
      </c>
      <c r="C35" s="180" t="s">
        <v>12</v>
      </c>
      <c r="D35" s="180" t="s">
        <v>12</v>
      </c>
      <c r="E35" s="165" t="s">
        <v>107</v>
      </c>
      <c r="F35" s="189">
        <v>1</v>
      </c>
      <c r="G35" s="190" t="s">
        <v>74</v>
      </c>
    </row>
    <row r="36" spans="1:16" ht="22.5" x14ac:dyDescent="0.2">
      <c r="A36" s="98" t="s">
        <v>61</v>
      </c>
      <c r="B36" s="24" t="s">
        <v>2</v>
      </c>
      <c r="C36" s="24" t="s">
        <v>53</v>
      </c>
      <c r="D36" s="24" t="s">
        <v>54</v>
      </c>
      <c r="E36" s="10"/>
      <c r="F36" s="4"/>
    </row>
    <row r="37" spans="1:16" ht="15" x14ac:dyDescent="0.2">
      <c r="A37" s="203" t="s">
        <v>61</v>
      </c>
      <c r="B37" s="161" t="s">
        <v>12</v>
      </c>
      <c r="C37" s="166" t="s">
        <v>12</v>
      </c>
      <c r="D37" s="166" t="s">
        <v>12</v>
      </c>
      <c r="E37" s="17"/>
    </row>
    <row r="38" spans="1:16" x14ac:dyDescent="0.2">
      <c r="A38" s="99" t="s">
        <v>236</v>
      </c>
      <c r="B38" s="159" t="s">
        <v>237</v>
      </c>
      <c r="C38" s="159" t="s">
        <v>238</v>
      </c>
      <c r="D38" s="159" t="s">
        <v>239</v>
      </c>
      <c r="E38" s="159" t="s">
        <v>240</v>
      </c>
      <c r="F38" s="159" t="s">
        <v>241</v>
      </c>
      <c r="G38" s="159" t="s">
        <v>242</v>
      </c>
      <c r="H38" s="159" t="s">
        <v>65</v>
      </c>
      <c r="I38" s="159" t="s">
        <v>66</v>
      </c>
      <c r="J38" s="159" t="s">
        <v>209</v>
      </c>
      <c r="K38" s="159" t="s">
        <v>210</v>
      </c>
      <c r="L38" s="159" t="s">
        <v>45</v>
      </c>
      <c r="M38" s="159" t="s">
        <v>243</v>
      </c>
      <c r="N38" s="159" t="s">
        <v>244</v>
      </c>
      <c r="O38" s="159" t="s">
        <v>245</v>
      </c>
      <c r="P38" s="159" t="s">
        <v>233</v>
      </c>
    </row>
    <row r="39" spans="1:16" ht="15" x14ac:dyDescent="0.2">
      <c r="A39" s="97" t="s">
        <v>236</v>
      </c>
      <c r="B39" s="160" t="s">
        <v>12</v>
      </c>
      <c r="C39" s="160" t="s">
        <v>12</v>
      </c>
      <c r="D39" s="160" t="s">
        <v>12</v>
      </c>
      <c r="E39" s="160" t="s">
        <v>12</v>
      </c>
      <c r="F39" s="160" t="s">
        <v>12</v>
      </c>
      <c r="G39" s="160" t="s">
        <v>12</v>
      </c>
      <c r="H39" s="160" t="s">
        <v>12</v>
      </c>
      <c r="I39" s="160" t="s">
        <v>12</v>
      </c>
      <c r="J39" s="160" t="s">
        <v>12</v>
      </c>
      <c r="K39" s="160" t="s">
        <v>12</v>
      </c>
      <c r="L39" s="160" t="s">
        <v>12</v>
      </c>
      <c r="M39" s="160" t="s">
        <v>12</v>
      </c>
      <c r="N39" s="160" t="s">
        <v>12</v>
      </c>
      <c r="O39" s="160" t="s">
        <v>12</v>
      </c>
      <c r="P39" s="160" t="s">
        <v>12</v>
      </c>
    </row>
    <row r="40" spans="1:16" x14ac:dyDescent="0.2">
      <c r="A40" s="99" t="s">
        <v>63</v>
      </c>
      <c r="B40" s="24" t="s">
        <v>64</v>
      </c>
      <c r="C40" s="17"/>
    </row>
    <row r="41" spans="1:16" ht="15" x14ac:dyDescent="0.2">
      <c r="A41" s="97" t="s">
        <v>63</v>
      </c>
      <c r="B41" s="12" t="s">
        <v>33</v>
      </c>
      <c r="C41" s="7"/>
      <c r="D41" s="28"/>
      <c r="E41" s="28"/>
      <c r="F41" s="28"/>
    </row>
    <row r="42" spans="1:16" ht="25.5" x14ac:dyDescent="0.2">
      <c r="A42" s="99" t="s">
        <v>67</v>
      </c>
      <c r="B42" s="24" t="s">
        <v>65</v>
      </c>
      <c r="C42" s="24" t="s">
        <v>66</v>
      </c>
      <c r="D42" s="163"/>
      <c r="E42" s="29"/>
      <c r="F42" s="29"/>
    </row>
    <row r="43" spans="1:16" ht="25.5" x14ac:dyDescent="0.2">
      <c r="A43" s="97" t="s">
        <v>67</v>
      </c>
      <c r="B43" s="12" t="s">
        <v>12</v>
      </c>
      <c r="C43" s="164" t="s">
        <v>12</v>
      </c>
      <c r="D43" s="162"/>
      <c r="E43" s="28"/>
    </row>
    <row r="44" spans="1:16" x14ac:dyDescent="0.2">
      <c r="A44" s="99" t="s">
        <v>68</v>
      </c>
      <c r="B44" s="32" t="s">
        <v>69</v>
      </c>
      <c r="C44" s="10"/>
      <c r="D44" s="29"/>
      <c r="E44" s="29"/>
    </row>
    <row r="45" spans="1:16" ht="15" x14ac:dyDescent="0.2">
      <c r="A45" s="97" t="s">
        <v>68</v>
      </c>
      <c r="B45" s="33" t="s">
        <v>12</v>
      </c>
      <c r="C45" s="17"/>
    </row>
    <row r="46" spans="1:16" x14ac:dyDescent="0.2">
      <c r="B46" s="4"/>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7"/>
  <sheetViews>
    <sheetView zoomScaleNormal="100" workbookViewId="0"/>
  </sheetViews>
  <sheetFormatPr defaultColWidth="20.7109375" defaultRowHeight="12.75" x14ac:dyDescent="0.2"/>
  <cols>
    <col min="1" max="1" width="20.7109375" style="124"/>
    <col min="2" max="2" width="40.7109375" style="124" customWidth="1"/>
    <col min="3" max="16384" width="20.7109375" style="124"/>
  </cols>
  <sheetData>
    <row r="1" spans="1:9" s="105" customFormat="1" ht="15" x14ac:dyDescent="0.2">
      <c r="A1" s="6" t="s">
        <v>25</v>
      </c>
      <c r="B1" s="151" t="s">
        <v>217</v>
      </c>
      <c r="C1" s="91"/>
      <c r="D1" s="92"/>
      <c r="E1" s="199"/>
    </row>
    <row r="2" spans="1:9" ht="15" x14ac:dyDescent="0.2">
      <c r="A2" s="170" t="s">
        <v>26</v>
      </c>
      <c r="B2" s="34" t="s">
        <v>232</v>
      </c>
      <c r="C2" s="10"/>
      <c r="D2" s="4"/>
    </row>
    <row r="3" spans="1:9" ht="15" x14ac:dyDescent="0.2">
      <c r="A3" s="8" t="s">
        <v>27</v>
      </c>
      <c r="B3" s="34" t="s">
        <v>232</v>
      </c>
      <c r="C3" s="7"/>
      <c r="D3" s="21"/>
    </row>
    <row r="4" spans="1:9" ht="25.5" x14ac:dyDescent="0.2">
      <c r="A4" s="99" t="s">
        <v>28</v>
      </c>
      <c r="B4" s="171" t="s">
        <v>29</v>
      </c>
      <c r="C4" s="171" t="s">
        <v>30</v>
      </c>
      <c r="D4" s="171" t="s">
        <v>31</v>
      </c>
      <c r="E4" s="172" t="s">
        <v>208</v>
      </c>
      <c r="F4" s="172" t="s">
        <v>159</v>
      </c>
    </row>
    <row r="5" spans="1:9" ht="25.5" x14ac:dyDescent="0.2">
      <c r="A5" s="97" t="s">
        <v>28</v>
      </c>
      <c r="B5" s="173" t="s">
        <v>33</v>
      </c>
      <c r="C5" s="173" t="s">
        <v>32</v>
      </c>
      <c r="D5" s="173">
        <v>4</v>
      </c>
      <c r="E5" s="174" t="s">
        <v>12</v>
      </c>
      <c r="F5" s="174" t="s">
        <v>12</v>
      </c>
    </row>
    <row r="6" spans="1:9" x14ac:dyDescent="0.2">
      <c r="A6" s="2"/>
      <c r="B6" s="5"/>
      <c r="C6" s="1"/>
      <c r="D6" s="1"/>
    </row>
    <row r="7" spans="1:9" ht="15" x14ac:dyDescent="0.2">
      <c r="A7" s="175" t="s">
        <v>34</v>
      </c>
      <c r="B7" s="176" t="s">
        <v>35</v>
      </c>
      <c r="C7" s="7"/>
      <c r="D7" s="16"/>
      <c r="E7" s="16"/>
      <c r="F7" s="16"/>
    </row>
    <row r="8" spans="1:9" ht="22.5" x14ac:dyDescent="0.2">
      <c r="A8" s="99" t="s">
        <v>36</v>
      </c>
      <c r="B8" s="171" t="s">
        <v>37</v>
      </c>
      <c r="C8" s="171" t="s">
        <v>38</v>
      </c>
      <c r="D8" s="171" t="s">
        <v>39</v>
      </c>
      <c r="E8" s="171" t="s">
        <v>40</v>
      </c>
      <c r="F8" s="171" t="s">
        <v>41</v>
      </c>
      <c r="G8" s="177"/>
    </row>
    <row r="9" spans="1:9" ht="15" x14ac:dyDescent="0.2">
      <c r="A9" s="97" t="s">
        <v>36</v>
      </c>
      <c r="B9" s="174" t="s">
        <v>234</v>
      </c>
      <c r="C9" s="173" t="s">
        <v>97</v>
      </c>
      <c r="D9" s="173" t="s">
        <v>97</v>
      </c>
      <c r="E9" s="173" t="s">
        <v>12</v>
      </c>
      <c r="F9" s="173" t="s">
        <v>12</v>
      </c>
      <c r="G9" s="178"/>
    </row>
    <row r="10" spans="1:9" ht="22.5" x14ac:dyDescent="0.2">
      <c r="A10" s="99" t="s">
        <v>45</v>
      </c>
      <c r="B10" s="171" t="s">
        <v>46</v>
      </c>
      <c r="C10" s="171" t="s">
        <v>47</v>
      </c>
      <c r="D10" s="179" t="s">
        <v>212</v>
      </c>
      <c r="E10" s="171" t="s">
        <v>48</v>
      </c>
      <c r="F10" s="171" t="s">
        <v>49</v>
      </c>
      <c r="G10" s="171" t="s">
        <v>50</v>
      </c>
      <c r="H10" s="171" t="s">
        <v>51</v>
      </c>
      <c r="I10" s="179" t="s">
        <v>246</v>
      </c>
    </row>
    <row r="11" spans="1:9" ht="15" x14ac:dyDescent="0.2">
      <c r="A11" s="96" t="s">
        <v>45</v>
      </c>
      <c r="B11" s="173" t="s">
        <v>12</v>
      </c>
      <c r="C11" s="181" t="s">
        <v>12</v>
      </c>
      <c r="D11" s="181" t="s">
        <v>12</v>
      </c>
      <c r="E11" s="181" t="s">
        <v>12</v>
      </c>
      <c r="F11" s="181" t="s">
        <v>12</v>
      </c>
      <c r="G11" s="181" t="s">
        <v>12</v>
      </c>
      <c r="H11" s="181" t="s">
        <v>12</v>
      </c>
      <c r="I11" s="181" t="s">
        <v>12</v>
      </c>
    </row>
    <row r="12" spans="1:9" ht="22.5" x14ac:dyDescent="0.2">
      <c r="A12" s="129" t="s">
        <v>162</v>
      </c>
      <c r="B12" s="182" t="s">
        <v>46</v>
      </c>
      <c r="C12" s="172" t="s">
        <v>47</v>
      </c>
      <c r="D12" s="172" t="s">
        <v>48</v>
      </c>
      <c r="E12" s="107"/>
      <c r="F12" s="107"/>
      <c r="G12" s="107"/>
      <c r="H12" s="81"/>
    </row>
    <row r="13" spans="1:9" ht="15" x14ac:dyDescent="0.2">
      <c r="A13" s="183" t="s">
        <v>162</v>
      </c>
      <c r="B13" s="184" t="s">
        <v>12</v>
      </c>
      <c r="C13" s="174" t="s">
        <v>12</v>
      </c>
      <c r="D13" s="174" t="s">
        <v>12</v>
      </c>
      <c r="E13" s="107"/>
      <c r="F13" s="107"/>
      <c r="G13" s="107"/>
      <c r="H13" s="81"/>
    </row>
    <row r="14" spans="1:9" ht="22.5" x14ac:dyDescent="0.2">
      <c r="A14" s="98" t="s">
        <v>52</v>
      </c>
      <c r="B14" s="201" t="s">
        <v>2</v>
      </c>
      <c r="C14" s="171" t="s">
        <v>53</v>
      </c>
      <c r="D14" s="171" t="s">
        <v>54</v>
      </c>
      <c r="E14" s="171" t="s">
        <v>5</v>
      </c>
      <c r="F14" s="171" t="s">
        <v>55</v>
      </c>
      <c r="G14" s="186" t="s">
        <v>211</v>
      </c>
    </row>
    <row r="15" spans="1:9" ht="15" x14ac:dyDescent="0.2">
      <c r="A15" s="202" t="s">
        <v>52</v>
      </c>
      <c r="B15" s="195" t="s">
        <v>16</v>
      </c>
      <c r="C15" s="180" t="s">
        <v>97</v>
      </c>
      <c r="D15" s="180" t="s">
        <v>12</v>
      </c>
      <c r="E15" s="181" t="s">
        <v>12</v>
      </c>
      <c r="F15" s="189">
        <v>1</v>
      </c>
      <c r="G15" s="190" t="s">
        <v>74</v>
      </c>
    </row>
    <row r="16" spans="1:9" ht="22.5" x14ac:dyDescent="0.2">
      <c r="A16" s="98" t="s">
        <v>61</v>
      </c>
      <c r="B16" s="201" t="s">
        <v>2</v>
      </c>
      <c r="C16" s="171" t="s">
        <v>53</v>
      </c>
      <c r="D16" s="171" t="s">
        <v>54</v>
      </c>
      <c r="E16" s="10"/>
      <c r="F16" s="4"/>
    </row>
    <row r="17" spans="1:16" ht="15" x14ac:dyDescent="0.2">
      <c r="A17" s="203" t="s">
        <v>61</v>
      </c>
      <c r="B17" s="206" t="s">
        <v>12</v>
      </c>
      <c r="C17" s="181" t="s">
        <v>12</v>
      </c>
      <c r="D17" s="181" t="s">
        <v>12</v>
      </c>
      <c r="E17" s="17"/>
    </row>
    <row r="18" spans="1:16" x14ac:dyDescent="0.2">
      <c r="A18" s="99" t="s">
        <v>236</v>
      </c>
      <c r="B18" s="159" t="s">
        <v>237</v>
      </c>
      <c r="C18" s="159" t="s">
        <v>238</v>
      </c>
      <c r="D18" s="159" t="s">
        <v>239</v>
      </c>
      <c r="E18" s="159" t="s">
        <v>240</v>
      </c>
      <c r="F18" s="159" t="s">
        <v>241</v>
      </c>
      <c r="G18" s="159" t="s">
        <v>242</v>
      </c>
      <c r="H18" s="159" t="s">
        <v>65</v>
      </c>
      <c r="I18" s="159" t="s">
        <v>66</v>
      </c>
      <c r="J18" s="159" t="s">
        <v>209</v>
      </c>
      <c r="K18" s="159" t="s">
        <v>210</v>
      </c>
      <c r="L18" s="159" t="s">
        <v>45</v>
      </c>
      <c r="M18" s="159" t="s">
        <v>243</v>
      </c>
      <c r="N18" s="159" t="s">
        <v>244</v>
      </c>
      <c r="O18" s="159" t="s">
        <v>245</v>
      </c>
      <c r="P18" s="159" t="s">
        <v>233</v>
      </c>
    </row>
    <row r="19" spans="1:16" ht="15" x14ac:dyDescent="0.2">
      <c r="A19" s="97" t="s">
        <v>236</v>
      </c>
      <c r="B19" s="160" t="s">
        <v>12</v>
      </c>
      <c r="C19" s="160" t="s">
        <v>12</v>
      </c>
      <c r="D19" s="160" t="s">
        <v>12</v>
      </c>
      <c r="E19" s="160" t="s">
        <v>12</v>
      </c>
      <c r="F19" s="160" t="s">
        <v>12</v>
      </c>
      <c r="G19" s="160" t="s">
        <v>12</v>
      </c>
      <c r="H19" s="160" t="s">
        <v>12</v>
      </c>
      <c r="I19" s="160" t="s">
        <v>12</v>
      </c>
      <c r="J19" s="160" t="s">
        <v>12</v>
      </c>
      <c r="K19" s="160" t="s">
        <v>12</v>
      </c>
      <c r="L19" s="160" t="s">
        <v>12</v>
      </c>
      <c r="M19" s="160" t="s">
        <v>12</v>
      </c>
      <c r="N19" s="160" t="s">
        <v>12</v>
      </c>
      <c r="O19" s="160" t="s">
        <v>12</v>
      </c>
      <c r="P19" s="160" t="s">
        <v>12</v>
      </c>
    </row>
    <row r="20" spans="1:16" x14ac:dyDescent="0.2">
      <c r="A20" s="99" t="s">
        <v>63</v>
      </c>
      <c r="B20" s="171" t="s">
        <v>64</v>
      </c>
      <c r="C20" s="17"/>
    </row>
    <row r="21" spans="1:16" ht="15" x14ac:dyDescent="0.2">
      <c r="A21" s="97" t="s">
        <v>63</v>
      </c>
      <c r="B21" s="173" t="s">
        <v>33</v>
      </c>
      <c r="C21" s="7"/>
      <c r="D21" s="28"/>
      <c r="E21" s="28"/>
      <c r="F21" s="28"/>
    </row>
    <row r="22" spans="1:16" ht="25.5" x14ac:dyDescent="0.2">
      <c r="A22" s="99" t="s">
        <v>67</v>
      </c>
      <c r="B22" s="171" t="s">
        <v>65</v>
      </c>
      <c r="C22" s="171" t="s">
        <v>66</v>
      </c>
      <c r="D22" s="163"/>
      <c r="E22" s="29"/>
      <c r="F22" s="29"/>
    </row>
    <row r="23" spans="1:16" ht="25.5" x14ac:dyDescent="0.2">
      <c r="A23" s="97" t="s">
        <v>67</v>
      </c>
      <c r="B23" s="173" t="s">
        <v>12</v>
      </c>
      <c r="C23" s="207" t="s">
        <v>12</v>
      </c>
      <c r="D23" s="162"/>
      <c r="E23" s="28"/>
    </row>
    <row r="24" spans="1:16" x14ac:dyDescent="0.2">
      <c r="A24" s="99" t="s">
        <v>68</v>
      </c>
      <c r="B24" s="201" t="s">
        <v>69</v>
      </c>
      <c r="C24" s="10"/>
      <c r="D24" s="29"/>
      <c r="E24" s="29"/>
    </row>
    <row r="25" spans="1:16" ht="15" x14ac:dyDescent="0.2">
      <c r="A25" s="97" t="s">
        <v>68</v>
      </c>
      <c r="B25" s="204" t="s">
        <v>12</v>
      </c>
      <c r="C25" s="17"/>
    </row>
    <row r="26" spans="1:16" x14ac:dyDescent="0.2">
      <c r="A26" s="16"/>
      <c r="B26" s="3"/>
    </row>
    <row r="27" spans="1:16" ht="15" x14ac:dyDescent="0.2">
      <c r="A27" s="175" t="s">
        <v>34</v>
      </c>
      <c r="B27" s="19" t="s">
        <v>70</v>
      </c>
      <c r="C27" s="7"/>
      <c r="D27" s="16"/>
      <c r="E27" s="16"/>
      <c r="F27" s="16"/>
    </row>
    <row r="28" spans="1:16" ht="22.5" x14ac:dyDescent="0.2">
      <c r="A28" s="99" t="s">
        <v>36</v>
      </c>
      <c r="B28" s="24" t="s">
        <v>37</v>
      </c>
      <c r="C28" s="24" t="s">
        <v>38</v>
      </c>
      <c r="D28" s="24" t="s">
        <v>39</v>
      </c>
      <c r="E28" s="24" t="s">
        <v>40</v>
      </c>
      <c r="F28" s="24" t="s">
        <v>41</v>
      </c>
      <c r="G28" s="26"/>
    </row>
    <row r="29" spans="1:16" ht="15" x14ac:dyDescent="0.2">
      <c r="A29" s="97" t="s">
        <v>36</v>
      </c>
      <c r="B29" s="12" t="s">
        <v>12</v>
      </c>
      <c r="C29" s="42" t="s">
        <v>12</v>
      </c>
      <c r="D29" s="42" t="s">
        <v>12</v>
      </c>
      <c r="E29" s="42" t="s">
        <v>12</v>
      </c>
      <c r="F29" s="42" t="s">
        <v>12</v>
      </c>
      <c r="G29" s="13"/>
    </row>
    <row r="30" spans="1:16" ht="22.5" x14ac:dyDescent="0.2">
      <c r="A30" s="99" t="s">
        <v>45</v>
      </c>
      <c r="B30" s="24" t="s">
        <v>46</v>
      </c>
      <c r="C30" s="24" t="s">
        <v>47</v>
      </c>
      <c r="D30" s="147" t="s">
        <v>212</v>
      </c>
      <c r="E30" s="24" t="s">
        <v>48</v>
      </c>
      <c r="F30" s="24" t="s">
        <v>49</v>
      </c>
      <c r="G30" s="24" t="s">
        <v>50</v>
      </c>
      <c r="H30" s="24" t="s">
        <v>51</v>
      </c>
      <c r="I30" s="147" t="s">
        <v>246</v>
      </c>
    </row>
    <row r="31" spans="1:16" ht="15" x14ac:dyDescent="0.2">
      <c r="A31" s="97" t="s">
        <v>45</v>
      </c>
      <c r="B31" s="12" t="s">
        <v>74</v>
      </c>
      <c r="C31" s="12" t="s">
        <v>12</v>
      </c>
      <c r="D31" s="42" t="s">
        <v>12</v>
      </c>
      <c r="E31" s="12" t="s">
        <v>71</v>
      </c>
      <c r="F31" s="12" t="s">
        <v>44</v>
      </c>
      <c r="G31" s="12" t="s">
        <v>44</v>
      </c>
      <c r="H31" s="42" t="s">
        <v>12</v>
      </c>
      <c r="I31" s="42" t="s">
        <v>12</v>
      </c>
    </row>
    <row r="32" spans="1:16" ht="22.5" x14ac:dyDescent="0.2">
      <c r="A32" s="129" t="s">
        <v>162</v>
      </c>
      <c r="B32" s="182" t="s">
        <v>46</v>
      </c>
      <c r="C32" s="172" t="s">
        <v>47</v>
      </c>
      <c r="D32" s="172" t="s">
        <v>48</v>
      </c>
      <c r="E32" s="107"/>
      <c r="F32" s="107"/>
      <c r="G32" s="107"/>
      <c r="H32" s="81"/>
    </row>
    <row r="33" spans="1:16" ht="15" x14ac:dyDescent="0.2">
      <c r="A33" s="183" t="s">
        <v>162</v>
      </c>
      <c r="B33" s="184" t="s">
        <v>12</v>
      </c>
      <c r="C33" s="174" t="s">
        <v>12</v>
      </c>
      <c r="D33" s="174" t="s">
        <v>12</v>
      </c>
      <c r="E33" s="107"/>
      <c r="F33" s="107"/>
      <c r="G33" s="107"/>
      <c r="H33" s="81"/>
    </row>
    <row r="34" spans="1:16" ht="22.5" x14ac:dyDescent="0.2">
      <c r="A34" s="98" t="s">
        <v>52</v>
      </c>
      <c r="B34" s="24" t="s">
        <v>2</v>
      </c>
      <c r="C34" s="24" t="s">
        <v>53</v>
      </c>
      <c r="D34" s="24" t="s">
        <v>54</v>
      </c>
      <c r="E34" s="24" t="s">
        <v>5</v>
      </c>
      <c r="F34" s="24" t="s">
        <v>55</v>
      </c>
      <c r="G34" s="186" t="s">
        <v>211</v>
      </c>
    </row>
    <row r="35" spans="1:16" ht="15" x14ac:dyDescent="0.2">
      <c r="A35" s="202" t="s">
        <v>52</v>
      </c>
      <c r="B35" s="208" t="s">
        <v>16</v>
      </c>
      <c r="C35" s="180" t="s">
        <v>97</v>
      </c>
      <c r="D35" s="180" t="s">
        <v>12</v>
      </c>
      <c r="E35" s="181" t="s">
        <v>12</v>
      </c>
      <c r="F35" s="189">
        <v>1</v>
      </c>
      <c r="G35" s="190" t="s">
        <v>74</v>
      </c>
    </row>
    <row r="36" spans="1:16" ht="22.5" x14ac:dyDescent="0.2">
      <c r="A36" s="98" t="s">
        <v>61</v>
      </c>
      <c r="B36" s="24" t="s">
        <v>2</v>
      </c>
      <c r="C36" s="24" t="s">
        <v>53</v>
      </c>
      <c r="D36" s="24" t="s">
        <v>54</v>
      </c>
      <c r="E36" s="10"/>
      <c r="F36" s="4"/>
    </row>
    <row r="37" spans="1:16" ht="15" x14ac:dyDescent="0.2">
      <c r="A37" s="203" t="s">
        <v>61</v>
      </c>
      <c r="B37" s="153" t="s">
        <v>57</v>
      </c>
      <c r="C37" s="166" t="s">
        <v>12</v>
      </c>
      <c r="D37" s="166" t="s">
        <v>12</v>
      </c>
      <c r="E37" s="17"/>
    </row>
    <row r="38" spans="1:16" x14ac:dyDescent="0.2">
      <c r="A38" s="99" t="s">
        <v>236</v>
      </c>
      <c r="B38" s="159" t="s">
        <v>237</v>
      </c>
      <c r="C38" s="159" t="s">
        <v>238</v>
      </c>
      <c r="D38" s="159" t="s">
        <v>239</v>
      </c>
      <c r="E38" s="159" t="s">
        <v>240</v>
      </c>
      <c r="F38" s="159" t="s">
        <v>241</v>
      </c>
      <c r="G38" s="159" t="s">
        <v>242</v>
      </c>
      <c r="H38" s="159" t="s">
        <v>65</v>
      </c>
      <c r="I38" s="159" t="s">
        <v>66</v>
      </c>
      <c r="J38" s="159" t="s">
        <v>209</v>
      </c>
      <c r="K38" s="159" t="s">
        <v>210</v>
      </c>
      <c r="L38" s="159" t="s">
        <v>45</v>
      </c>
      <c r="M38" s="159" t="s">
        <v>243</v>
      </c>
      <c r="N38" s="159" t="s">
        <v>244</v>
      </c>
      <c r="O38" s="159" t="s">
        <v>245</v>
      </c>
      <c r="P38" s="159" t="s">
        <v>233</v>
      </c>
    </row>
    <row r="39" spans="1:16" ht="15" x14ac:dyDescent="0.2">
      <c r="A39" s="97" t="s">
        <v>236</v>
      </c>
      <c r="B39" s="160" t="s">
        <v>12</v>
      </c>
      <c r="C39" s="160" t="s">
        <v>12</v>
      </c>
      <c r="D39" s="160" t="s">
        <v>12</v>
      </c>
      <c r="E39" s="160" t="s">
        <v>12</v>
      </c>
      <c r="F39" s="160" t="s">
        <v>12</v>
      </c>
      <c r="G39" s="160" t="s">
        <v>12</v>
      </c>
      <c r="H39" s="160" t="s">
        <v>12</v>
      </c>
      <c r="I39" s="160" t="s">
        <v>12</v>
      </c>
      <c r="J39" s="160" t="s">
        <v>12</v>
      </c>
      <c r="K39" s="160" t="s">
        <v>12</v>
      </c>
      <c r="L39" s="160" t="s">
        <v>12</v>
      </c>
      <c r="M39" s="160" t="s">
        <v>12</v>
      </c>
      <c r="N39" s="160" t="s">
        <v>12</v>
      </c>
      <c r="O39" s="160" t="s">
        <v>12</v>
      </c>
      <c r="P39" s="160" t="s">
        <v>12</v>
      </c>
    </row>
    <row r="40" spans="1:16" x14ac:dyDescent="0.2">
      <c r="A40" s="99" t="s">
        <v>63</v>
      </c>
      <c r="B40" s="24" t="s">
        <v>64</v>
      </c>
      <c r="C40" s="17"/>
    </row>
    <row r="41" spans="1:16" ht="15" x14ac:dyDescent="0.2">
      <c r="A41" s="97" t="s">
        <v>63</v>
      </c>
      <c r="B41" s="12" t="s">
        <v>33</v>
      </c>
      <c r="C41" s="7"/>
      <c r="D41" s="28"/>
      <c r="E41" s="28"/>
      <c r="F41" s="28"/>
      <c r="G41" s="31"/>
    </row>
    <row r="42" spans="1:16" ht="25.5" x14ac:dyDescent="0.2">
      <c r="A42" s="99" t="s">
        <v>67</v>
      </c>
      <c r="B42" s="24" t="s">
        <v>65</v>
      </c>
      <c r="C42" s="24" t="s">
        <v>66</v>
      </c>
      <c r="D42" s="163"/>
      <c r="E42" s="29"/>
      <c r="F42" s="29"/>
    </row>
    <row r="43" spans="1:16" ht="25.5" x14ac:dyDescent="0.2">
      <c r="A43" s="97" t="s">
        <v>67</v>
      </c>
      <c r="B43" s="12" t="s">
        <v>12</v>
      </c>
      <c r="C43" s="164" t="s">
        <v>12</v>
      </c>
      <c r="D43" s="162"/>
      <c r="E43" s="28"/>
    </row>
    <row r="44" spans="1:16" x14ac:dyDescent="0.2">
      <c r="A44" s="99" t="s">
        <v>68</v>
      </c>
      <c r="B44" s="32" t="s">
        <v>69</v>
      </c>
      <c r="C44" s="10"/>
      <c r="D44" s="29"/>
      <c r="E44" s="29"/>
    </row>
    <row r="45" spans="1:16" ht="15" x14ac:dyDescent="0.2">
      <c r="A45" s="97" t="s">
        <v>68</v>
      </c>
      <c r="B45" s="33" t="s">
        <v>12</v>
      </c>
      <c r="C45" s="17"/>
    </row>
    <row r="46" spans="1:16" x14ac:dyDescent="0.2">
      <c r="A46" s="16"/>
      <c r="B46" s="3"/>
    </row>
    <row r="47" spans="1:16" ht="15" x14ac:dyDescent="0.2">
      <c r="A47" s="175" t="s">
        <v>34</v>
      </c>
      <c r="B47" s="19" t="s">
        <v>76</v>
      </c>
      <c r="C47" s="7"/>
      <c r="D47" s="16"/>
      <c r="E47" s="16"/>
      <c r="F47" s="16"/>
    </row>
    <row r="48" spans="1:16" ht="22.5" x14ac:dyDescent="0.2">
      <c r="A48" s="99" t="s">
        <v>36</v>
      </c>
      <c r="B48" s="24" t="s">
        <v>37</v>
      </c>
      <c r="C48" s="24" t="s">
        <v>38</v>
      </c>
      <c r="D48" s="24" t="s">
        <v>39</v>
      </c>
      <c r="E48" s="24" t="s">
        <v>40</v>
      </c>
      <c r="F48" s="24" t="s">
        <v>41</v>
      </c>
      <c r="G48" s="26"/>
    </row>
    <row r="49" spans="1:16" ht="15" x14ac:dyDescent="0.2">
      <c r="A49" s="96" t="s">
        <v>36</v>
      </c>
      <c r="B49" s="12" t="s">
        <v>12</v>
      </c>
      <c r="C49" s="42" t="s">
        <v>12</v>
      </c>
      <c r="D49" s="42" t="s">
        <v>12</v>
      </c>
      <c r="E49" s="42" t="s">
        <v>12</v>
      </c>
      <c r="F49" s="42" t="s">
        <v>12</v>
      </c>
      <c r="G49" s="13"/>
    </row>
    <row r="50" spans="1:16" ht="22.5" x14ac:dyDescent="0.2">
      <c r="A50" s="73" t="s">
        <v>45</v>
      </c>
      <c r="B50" s="32" t="s">
        <v>46</v>
      </c>
      <c r="C50" s="24" t="s">
        <v>47</v>
      </c>
      <c r="D50" s="147" t="s">
        <v>212</v>
      </c>
      <c r="E50" s="24" t="s">
        <v>48</v>
      </c>
      <c r="F50" s="24" t="s">
        <v>49</v>
      </c>
      <c r="G50" s="24" t="s">
        <v>50</v>
      </c>
      <c r="H50" s="24" t="s">
        <v>51</v>
      </c>
      <c r="I50" s="147" t="s">
        <v>246</v>
      </c>
    </row>
    <row r="51" spans="1:16" ht="15" x14ac:dyDescent="0.2">
      <c r="A51" s="74" t="s">
        <v>45</v>
      </c>
      <c r="B51" s="33" t="s">
        <v>74</v>
      </c>
      <c r="C51" s="12" t="s">
        <v>12</v>
      </c>
      <c r="D51" s="42" t="s">
        <v>12</v>
      </c>
      <c r="E51" s="12" t="s">
        <v>98</v>
      </c>
      <c r="F51" s="12" t="s">
        <v>99</v>
      </c>
      <c r="G51" s="12" t="s">
        <v>99</v>
      </c>
      <c r="H51" s="42" t="s">
        <v>12</v>
      </c>
      <c r="I51" s="42" t="s">
        <v>12</v>
      </c>
    </row>
    <row r="52" spans="1:16" ht="15" x14ac:dyDescent="0.2">
      <c r="A52" s="75" t="s">
        <v>45</v>
      </c>
      <c r="B52" s="33" t="s">
        <v>84</v>
      </c>
      <c r="C52" s="12">
        <v>1</v>
      </c>
      <c r="D52" s="42" t="s">
        <v>12</v>
      </c>
      <c r="E52" s="12" t="s">
        <v>79</v>
      </c>
      <c r="F52" s="12" t="s">
        <v>79</v>
      </c>
      <c r="G52" s="12" t="s">
        <v>79</v>
      </c>
      <c r="H52" s="42" t="s">
        <v>12</v>
      </c>
      <c r="I52" s="42" t="s">
        <v>12</v>
      </c>
    </row>
    <row r="53" spans="1:16" ht="22.5" x14ac:dyDescent="0.2">
      <c r="A53" s="129" t="s">
        <v>162</v>
      </c>
      <c r="B53" s="182" t="s">
        <v>46</v>
      </c>
      <c r="C53" s="172" t="s">
        <v>47</v>
      </c>
      <c r="D53" s="172" t="s">
        <v>48</v>
      </c>
      <c r="E53" s="107"/>
      <c r="F53" s="107"/>
      <c r="G53" s="107"/>
      <c r="H53" s="81"/>
    </row>
    <row r="54" spans="1:16" ht="15" x14ac:dyDescent="0.2">
      <c r="A54" s="183" t="s">
        <v>162</v>
      </c>
      <c r="B54" s="184" t="s">
        <v>12</v>
      </c>
      <c r="C54" s="174" t="s">
        <v>12</v>
      </c>
      <c r="D54" s="174" t="s">
        <v>12</v>
      </c>
      <c r="E54" s="107"/>
      <c r="F54" s="107"/>
      <c r="G54" s="107"/>
      <c r="H54" s="81"/>
    </row>
    <row r="55" spans="1:16" ht="22.5" x14ac:dyDescent="0.2">
      <c r="A55" s="98" t="s">
        <v>52</v>
      </c>
      <c r="B55" s="24" t="s">
        <v>2</v>
      </c>
      <c r="C55" s="24" t="s">
        <v>53</v>
      </c>
      <c r="D55" s="24" t="s">
        <v>54</v>
      </c>
      <c r="E55" s="24" t="s">
        <v>5</v>
      </c>
      <c r="F55" s="24" t="s">
        <v>55</v>
      </c>
      <c r="G55" s="186" t="s">
        <v>211</v>
      </c>
    </row>
    <row r="56" spans="1:16" ht="15" x14ac:dyDescent="0.2">
      <c r="A56" s="202" t="s">
        <v>52</v>
      </c>
      <c r="B56" s="208" t="s">
        <v>16</v>
      </c>
      <c r="C56" s="180" t="s">
        <v>97</v>
      </c>
      <c r="D56" s="180" t="s">
        <v>12</v>
      </c>
      <c r="E56" s="181" t="s">
        <v>12</v>
      </c>
      <c r="F56" s="189">
        <v>1</v>
      </c>
      <c r="G56" s="190" t="s">
        <v>74</v>
      </c>
    </row>
    <row r="57" spans="1:16" ht="22.5" x14ac:dyDescent="0.2">
      <c r="A57" s="98" t="s">
        <v>61</v>
      </c>
      <c r="B57" s="24" t="s">
        <v>2</v>
      </c>
      <c r="C57" s="24" t="s">
        <v>53</v>
      </c>
      <c r="D57" s="24" t="s">
        <v>54</v>
      </c>
      <c r="E57" s="10"/>
      <c r="F57" s="4"/>
    </row>
    <row r="58" spans="1:16" ht="15" x14ac:dyDescent="0.2">
      <c r="A58" s="203" t="s">
        <v>61</v>
      </c>
      <c r="B58" s="153" t="s">
        <v>57</v>
      </c>
      <c r="C58" s="166" t="s">
        <v>12</v>
      </c>
      <c r="D58" s="166" t="s">
        <v>12</v>
      </c>
      <c r="E58" s="17"/>
    </row>
    <row r="59" spans="1:16" x14ac:dyDescent="0.2">
      <c r="A59" s="99" t="s">
        <v>236</v>
      </c>
      <c r="B59" s="159" t="s">
        <v>237</v>
      </c>
      <c r="C59" s="159" t="s">
        <v>238</v>
      </c>
      <c r="D59" s="159" t="s">
        <v>239</v>
      </c>
      <c r="E59" s="159" t="s">
        <v>240</v>
      </c>
      <c r="F59" s="159" t="s">
        <v>241</v>
      </c>
      <c r="G59" s="159" t="s">
        <v>242</v>
      </c>
      <c r="H59" s="159" t="s">
        <v>65</v>
      </c>
      <c r="I59" s="159" t="s">
        <v>66</v>
      </c>
      <c r="J59" s="159" t="s">
        <v>209</v>
      </c>
      <c r="K59" s="159" t="s">
        <v>210</v>
      </c>
      <c r="L59" s="159" t="s">
        <v>45</v>
      </c>
      <c r="M59" s="159" t="s">
        <v>243</v>
      </c>
      <c r="N59" s="159" t="s">
        <v>244</v>
      </c>
      <c r="O59" s="159" t="s">
        <v>245</v>
      </c>
      <c r="P59" s="159" t="s">
        <v>233</v>
      </c>
    </row>
    <row r="60" spans="1:16" ht="15" x14ac:dyDescent="0.2">
      <c r="A60" s="97" t="s">
        <v>236</v>
      </c>
      <c r="B60" s="160" t="s">
        <v>12</v>
      </c>
      <c r="C60" s="160" t="s">
        <v>12</v>
      </c>
      <c r="D60" s="160" t="s">
        <v>12</v>
      </c>
      <c r="E60" s="160" t="s">
        <v>12</v>
      </c>
      <c r="F60" s="160" t="s">
        <v>12</v>
      </c>
      <c r="G60" s="160" t="s">
        <v>12</v>
      </c>
      <c r="H60" s="160" t="s">
        <v>12</v>
      </c>
      <c r="I60" s="160" t="s">
        <v>12</v>
      </c>
      <c r="J60" s="160" t="s">
        <v>12</v>
      </c>
      <c r="K60" s="160" t="s">
        <v>12</v>
      </c>
      <c r="L60" s="160" t="s">
        <v>12</v>
      </c>
      <c r="M60" s="160" t="s">
        <v>12</v>
      </c>
      <c r="N60" s="160" t="s">
        <v>12</v>
      </c>
      <c r="O60" s="160" t="s">
        <v>12</v>
      </c>
      <c r="P60" s="160" t="s">
        <v>12</v>
      </c>
    </row>
    <row r="61" spans="1:16" x14ac:dyDescent="0.2">
      <c r="A61" s="99" t="s">
        <v>63</v>
      </c>
      <c r="B61" s="24" t="s">
        <v>64</v>
      </c>
      <c r="C61" s="17"/>
    </row>
    <row r="62" spans="1:16" ht="15" x14ac:dyDescent="0.2">
      <c r="A62" s="97" t="s">
        <v>63</v>
      </c>
      <c r="B62" s="12" t="s">
        <v>33</v>
      </c>
      <c r="C62" s="7"/>
      <c r="D62" s="28"/>
      <c r="E62" s="28"/>
      <c r="F62" s="28"/>
    </row>
    <row r="63" spans="1:16" ht="25.5" x14ac:dyDescent="0.2">
      <c r="A63" s="99" t="s">
        <v>67</v>
      </c>
      <c r="B63" s="24" t="s">
        <v>65</v>
      </c>
      <c r="C63" s="24" t="s">
        <v>66</v>
      </c>
      <c r="D63" s="163"/>
      <c r="E63" s="29"/>
      <c r="F63" s="29"/>
    </row>
    <row r="64" spans="1:16" ht="25.5" x14ac:dyDescent="0.2">
      <c r="A64" s="97" t="s">
        <v>67</v>
      </c>
      <c r="B64" s="12" t="s">
        <v>12</v>
      </c>
      <c r="C64" s="164" t="s">
        <v>12</v>
      </c>
      <c r="D64" s="162"/>
      <c r="E64" s="28"/>
    </row>
    <row r="65" spans="1:5" x14ac:dyDescent="0.2">
      <c r="A65" s="99" t="s">
        <v>68</v>
      </c>
      <c r="B65" s="32" t="s">
        <v>69</v>
      </c>
      <c r="C65" s="10"/>
      <c r="D65" s="29"/>
      <c r="E65" s="29"/>
    </row>
    <row r="66" spans="1:5" ht="15" x14ac:dyDescent="0.2">
      <c r="A66" s="97" t="s">
        <v>68</v>
      </c>
      <c r="B66" s="33" t="s">
        <v>12</v>
      </c>
      <c r="C66" s="17"/>
    </row>
    <row r="67" spans="1:5" x14ac:dyDescent="0.2">
      <c r="B67" s="4"/>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6"/>
  <sheetViews>
    <sheetView zoomScaleNormal="100" workbookViewId="0"/>
  </sheetViews>
  <sheetFormatPr defaultColWidth="20.7109375" defaultRowHeight="12.75" x14ac:dyDescent="0.2"/>
  <cols>
    <col min="1" max="1" width="20.7109375" style="124"/>
    <col min="2" max="2" width="40.7109375" style="124" customWidth="1"/>
    <col min="3" max="16384" width="20.7109375" style="124"/>
  </cols>
  <sheetData>
    <row r="1" spans="1:9" s="105" customFormat="1" ht="15" x14ac:dyDescent="0.2">
      <c r="A1" s="6" t="s">
        <v>25</v>
      </c>
      <c r="B1" s="151" t="s">
        <v>213</v>
      </c>
      <c r="C1" s="91"/>
      <c r="D1" s="92"/>
      <c r="E1" s="199"/>
    </row>
    <row r="2" spans="1:9" ht="15" x14ac:dyDescent="0.2">
      <c r="A2" s="170" t="s">
        <v>26</v>
      </c>
      <c r="B2" s="34" t="s">
        <v>232</v>
      </c>
      <c r="C2" s="10"/>
      <c r="D2" s="4"/>
    </row>
    <row r="3" spans="1:9" ht="15" x14ac:dyDescent="0.2">
      <c r="A3" s="8" t="s">
        <v>27</v>
      </c>
      <c r="B3" s="34" t="s">
        <v>232</v>
      </c>
      <c r="C3" s="7"/>
      <c r="D3" s="21"/>
    </row>
    <row r="4" spans="1:9" ht="25.5" x14ac:dyDescent="0.2">
      <c r="A4" s="99" t="s">
        <v>28</v>
      </c>
      <c r="B4" s="171" t="s">
        <v>29</v>
      </c>
      <c r="C4" s="171" t="s">
        <v>30</v>
      </c>
      <c r="D4" s="171" t="s">
        <v>31</v>
      </c>
      <c r="E4" s="172" t="s">
        <v>208</v>
      </c>
      <c r="F4" s="172" t="s">
        <v>159</v>
      </c>
    </row>
    <row r="5" spans="1:9" ht="25.5" x14ac:dyDescent="0.2">
      <c r="A5" s="97" t="s">
        <v>28</v>
      </c>
      <c r="B5" s="173" t="s">
        <v>33</v>
      </c>
      <c r="C5" s="173" t="s">
        <v>32</v>
      </c>
      <c r="D5" s="173">
        <v>5</v>
      </c>
      <c r="E5" s="174" t="s">
        <v>12</v>
      </c>
      <c r="F5" s="174" t="s">
        <v>12</v>
      </c>
    </row>
    <row r="6" spans="1:9" x14ac:dyDescent="0.2">
      <c r="A6" s="2"/>
      <c r="B6" s="5"/>
      <c r="C6" s="1"/>
      <c r="D6" s="1"/>
    </row>
    <row r="7" spans="1:9" ht="15" x14ac:dyDescent="0.2">
      <c r="A7" s="175" t="s">
        <v>34</v>
      </c>
      <c r="B7" s="176" t="s">
        <v>35</v>
      </c>
      <c r="C7" s="7"/>
      <c r="D7" s="16"/>
      <c r="E7" s="16"/>
      <c r="F7" s="16"/>
    </row>
    <row r="8" spans="1:9" ht="22.5" x14ac:dyDescent="0.2">
      <c r="A8" s="99" t="s">
        <v>36</v>
      </c>
      <c r="B8" s="171" t="s">
        <v>37</v>
      </c>
      <c r="C8" s="171" t="s">
        <v>38</v>
      </c>
      <c r="D8" s="171" t="s">
        <v>39</v>
      </c>
      <c r="E8" s="171" t="s">
        <v>40</v>
      </c>
      <c r="F8" s="171" t="s">
        <v>41</v>
      </c>
      <c r="G8" s="177"/>
    </row>
    <row r="9" spans="1:9" ht="15" x14ac:dyDescent="0.2">
      <c r="A9" s="97" t="s">
        <v>36</v>
      </c>
      <c r="B9" s="174" t="s">
        <v>234</v>
      </c>
      <c r="C9" s="173" t="s">
        <v>97</v>
      </c>
      <c r="D9" s="173" t="s">
        <v>97</v>
      </c>
      <c r="E9" s="173" t="s">
        <v>12</v>
      </c>
      <c r="F9" s="173" t="s">
        <v>12</v>
      </c>
      <c r="G9" s="178"/>
    </row>
    <row r="10" spans="1:9" ht="22.5" x14ac:dyDescent="0.2">
      <c r="A10" s="99" t="s">
        <v>45</v>
      </c>
      <c r="B10" s="171" t="s">
        <v>46</v>
      </c>
      <c r="C10" s="171" t="s">
        <v>47</v>
      </c>
      <c r="D10" s="179" t="s">
        <v>212</v>
      </c>
      <c r="E10" s="171" t="s">
        <v>48</v>
      </c>
      <c r="F10" s="171" t="s">
        <v>49</v>
      </c>
      <c r="G10" s="171" t="s">
        <v>50</v>
      </c>
      <c r="H10" s="171" t="s">
        <v>51</v>
      </c>
      <c r="I10" s="179" t="s">
        <v>246</v>
      </c>
    </row>
    <row r="11" spans="1:9" ht="15" x14ac:dyDescent="0.2">
      <c r="A11" s="96" t="s">
        <v>45</v>
      </c>
      <c r="B11" s="173" t="s">
        <v>12</v>
      </c>
      <c r="C11" s="181" t="s">
        <v>12</v>
      </c>
      <c r="D11" s="181" t="s">
        <v>12</v>
      </c>
      <c r="E11" s="181" t="s">
        <v>12</v>
      </c>
      <c r="F11" s="181" t="s">
        <v>12</v>
      </c>
      <c r="G11" s="181" t="s">
        <v>12</v>
      </c>
      <c r="H11" s="181" t="s">
        <v>12</v>
      </c>
      <c r="I11" s="181" t="s">
        <v>12</v>
      </c>
    </row>
    <row r="12" spans="1:9" ht="22.5" x14ac:dyDescent="0.2">
      <c r="A12" s="129" t="s">
        <v>162</v>
      </c>
      <c r="B12" s="182" t="s">
        <v>46</v>
      </c>
      <c r="C12" s="172" t="s">
        <v>47</v>
      </c>
      <c r="D12" s="172" t="s">
        <v>48</v>
      </c>
      <c r="E12" s="107"/>
      <c r="F12" s="107"/>
      <c r="G12" s="107"/>
      <c r="H12" s="81"/>
    </row>
    <row r="13" spans="1:9" ht="15" x14ac:dyDescent="0.2">
      <c r="A13" s="183" t="s">
        <v>162</v>
      </c>
      <c r="B13" s="184" t="s">
        <v>12</v>
      </c>
      <c r="C13" s="174" t="s">
        <v>12</v>
      </c>
      <c r="D13" s="174" t="s">
        <v>12</v>
      </c>
      <c r="E13" s="107"/>
      <c r="F13" s="107"/>
      <c r="G13" s="107"/>
      <c r="H13" s="81"/>
    </row>
    <row r="14" spans="1:9" ht="22.5" x14ac:dyDescent="0.2">
      <c r="A14" s="98" t="s">
        <v>52</v>
      </c>
      <c r="B14" s="201" t="s">
        <v>2</v>
      </c>
      <c r="C14" s="171" t="s">
        <v>53</v>
      </c>
      <c r="D14" s="171" t="s">
        <v>54</v>
      </c>
      <c r="E14" s="171" t="s">
        <v>5</v>
      </c>
      <c r="F14" s="171" t="s">
        <v>55</v>
      </c>
      <c r="G14" s="186" t="s">
        <v>211</v>
      </c>
    </row>
    <row r="15" spans="1:9" ht="15" x14ac:dyDescent="0.2">
      <c r="A15" s="202" t="s">
        <v>52</v>
      </c>
      <c r="B15" s="195" t="s">
        <v>16</v>
      </c>
      <c r="C15" s="180" t="s">
        <v>97</v>
      </c>
      <c r="D15" s="180" t="s">
        <v>12</v>
      </c>
      <c r="E15" s="181" t="s">
        <v>12</v>
      </c>
      <c r="F15" s="189">
        <v>1</v>
      </c>
      <c r="G15" s="190" t="s">
        <v>74</v>
      </c>
    </row>
    <row r="16" spans="1:9" ht="22.5" x14ac:dyDescent="0.2">
      <c r="A16" s="98" t="s">
        <v>61</v>
      </c>
      <c r="B16" s="201" t="s">
        <v>2</v>
      </c>
      <c r="C16" s="171" t="s">
        <v>53</v>
      </c>
      <c r="D16" s="171" t="s">
        <v>54</v>
      </c>
      <c r="E16" s="10"/>
      <c r="F16" s="4"/>
    </row>
    <row r="17" spans="1:16" ht="15" x14ac:dyDescent="0.2">
      <c r="A17" s="203" t="s">
        <v>61</v>
      </c>
      <c r="B17" s="206" t="s">
        <v>12</v>
      </c>
      <c r="C17" s="181" t="s">
        <v>12</v>
      </c>
      <c r="D17" s="181" t="s">
        <v>12</v>
      </c>
      <c r="E17" s="17"/>
    </row>
    <row r="18" spans="1:16" x14ac:dyDescent="0.2">
      <c r="A18" s="99" t="s">
        <v>236</v>
      </c>
      <c r="B18" s="159" t="s">
        <v>237</v>
      </c>
      <c r="C18" s="159" t="s">
        <v>238</v>
      </c>
      <c r="D18" s="159" t="s">
        <v>239</v>
      </c>
      <c r="E18" s="159" t="s">
        <v>240</v>
      </c>
      <c r="F18" s="159" t="s">
        <v>241</v>
      </c>
      <c r="G18" s="159" t="s">
        <v>242</v>
      </c>
      <c r="H18" s="159" t="s">
        <v>65</v>
      </c>
      <c r="I18" s="159" t="s">
        <v>66</v>
      </c>
      <c r="J18" s="159" t="s">
        <v>209</v>
      </c>
      <c r="K18" s="159" t="s">
        <v>210</v>
      </c>
      <c r="L18" s="159" t="s">
        <v>45</v>
      </c>
      <c r="M18" s="159" t="s">
        <v>243</v>
      </c>
      <c r="N18" s="159" t="s">
        <v>244</v>
      </c>
      <c r="O18" s="159" t="s">
        <v>245</v>
      </c>
      <c r="P18" s="159" t="s">
        <v>233</v>
      </c>
    </row>
    <row r="19" spans="1:16" ht="15" x14ac:dyDescent="0.2">
      <c r="A19" s="97" t="s">
        <v>236</v>
      </c>
      <c r="B19" s="160" t="s">
        <v>12</v>
      </c>
      <c r="C19" s="160" t="s">
        <v>12</v>
      </c>
      <c r="D19" s="160" t="s">
        <v>12</v>
      </c>
      <c r="E19" s="160" t="s">
        <v>12</v>
      </c>
      <c r="F19" s="160" t="s">
        <v>12</v>
      </c>
      <c r="G19" s="160" t="s">
        <v>12</v>
      </c>
      <c r="H19" s="160" t="s">
        <v>12</v>
      </c>
      <c r="I19" s="160" t="s">
        <v>12</v>
      </c>
      <c r="J19" s="160" t="s">
        <v>12</v>
      </c>
      <c r="K19" s="160" t="s">
        <v>12</v>
      </c>
      <c r="L19" s="160" t="s">
        <v>12</v>
      </c>
      <c r="M19" s="160" t="s">
        <v>12</v>
      </c>
      <c r="N19" s="160" t="s">
        <v>12</v>
      </c>
      <c r="O19" s="160" t="s">
        <v>12</v>
      </c>
      <c r="P19" s="160" t="s">
        <v>12</v>
      </c>
    </row>
    <row r="20" spans="1:16" x14ac:dyDescent="0.2">
      <c r="A20" s="99" t="s">
        <v>63</v>
      </c>
      <c r="B20" s="171" t="s">
        <v>64</v>
      </c>
      <c r="C20" s="17"/>
    </row>
    <row r="21" spans="1:16" ht="15" x14ac:dyDescent="0.2">
      <c r="A21" s="97" t="s">
        <v>63</v>
      </c>
      <c r="B21" s="173" t="s">
        <v>33</v>
      </c>
      <c r="C21" s="7"/>
      <c r="D21" s="28"/>
      <c r="E21" s="28"/>
      <c r="F21" s="28"/>
    </row>
    <row r="22" spans="1:16" ht="25.5" x14ac:dyDescent="0.2">
      <c r="A22" s="99" t="s">
        <v>67</v>
      </c>
      <c r="B22" s="171" t="s">
        <v>65</v>
      </c>
      <c r="C22" s="171" t="s">
        <v>66</v>
      </c>
      <c r="D22" s="163"/>
      <c r="E22" s="29"/>
      <c r="F22" s="29"/>
    </row>
    <row r="23" spans="1:16" ht="25.5" x14ac:dyDescent="0.2">
      <c r="A23" s="97" t="s">
        <v>67</v>
      </c>
      <c r="B23" s="173" t="s">
        <v>12</v>
      </c>
      <c r="C23" s="207" t="s">
        <v>12</v>
      </c>
      <c r="D23" s="162"/>
      <c r="E23" s="28"/>
    </row>
    <row r="24" spans="1:16" x14ac:dyDescent="0.2">
      <c r="A24" s="99" t="s">
        <v>68</v>
      </c>
      <c r="B24" s="201" t="s">
        <v>69</v>
      </c>
      <c r="C24" s="10"/>
      <c r="D24" s="29"/>
      <c r="E24" s="29"/>
    </row>
    <row r="25" spans="1:16" ht="15" x14ac:dyDescent="0.2">
      <c r="A25" s="97" t="s">
        <v>68</v>
      </c>
      <c r="B25" s="204" t="s">
        <v>12</v>
      </c>
      <c r="C25" s="17"/>
    </row>
    <row r="26" spans="1:16" x14ac:dyDescent="0.2">
      <c r="A26" s="16"/>
      <c r="B26" s="3"/>
    </row>
    <row r="27" spans="1:16" ht="15" x14ac:dyDescent="0.2">
      <c r="A27" s="175" t="s">
        <v>34</v>
      </c>
      <c r="B27" s="19" t="s">
        <v>70</v>
      </c>
      <c r="C27" s="7"/>
      <c r="D27" s="16"/>
      <c r="E27" s="16"/>
      <c r="F27" s="16"/>
    </row>
    <row r="28" spans="1:16" ht="22.5" x14ac:dyDescent="0.2">
      <c r="A28" s="99" t="s">
        <v>36</v>
      </c>
      <c r="B28" s="24" t="s">
        <v>37</v>
      </c>
      <c r="C28" s="24" t="s">
        <v>38</v>
      </c>
      <c r="D28" s="24" t="s">
        <v>39</v>
      </c>
      <c r="E28" s="24" t="s">
        <v>40</v>
      </c>
      <c r="F28" s="24" t="s">
        <v>41</v>
      </c>
      <c r="G28" s="26"/>
    </row>
    <row r="29" spans="1:16" ht="15" x14ac:dyDescent="0.2">
      <c r="A29" s="97" t="s">
        <v>36</v>
      </c>
      <c r="B29" s="12" t="s">
        <v>12</v>
      </c>
      <c r="C29" s="42" t="s">
        <v>12</v>
      </c>
      <c r="D29" s="42" t="s">
        <v>12</v>
      </c>
      <c r="E29" s="42" t="s">
        <v>12</v>
      </c>
      <c r="F29" s="42" t="s">
        <v>12</v>
      </c>
      <c r="G29" s="13"/>
    </row>
    <row r="30" spans="1:16" ht="22.5" x14ac:dyDescent="0.2">
      <c r="A30" s="99" t="s">
        <v>45</v>
      </c>
      <c r="B30" s="24" t="s">
        <v>46</v>
      </c>
      <c r="C30" s="24" t="s">
        <v>47</v>
      </c>
      <c r="D30" s="147" t="s">
        <v>212</v>
      </c>
      <c r="E30" s="24" t="s">
        <v>48</v>
      </c>
      <c r="F30" s="24" t="s">
        <v>49</v>
      </c>
      <c r="G30" s="24" t="s">
        <v>50</v>
      </c>
      <c r="H30" s="24" t="s">
        <v>51</v>
      </c>
      <c r="I30" s="147" t="s">
        <v>246</v>
      </c>
    </row>
    <row r="31" spans="1:16" ht="15" x14ac:dyDescent="0.2">
      <c r="A31" s="97" t="s">
        <v>45</v>
      </c>
      <c r="B31" s="12" t="s">
        <v>74</v>
      </c>
      <c r="C31" s="12" t="s">
        <v>12</v>
      </c>
      <c r="D31" s="42" t="s">
        <v>12</v>
      </c>
      <c r="E31" s="42" t="s">
        <v>214</v>
      </c>
      <c r="F31" s="42" t="s">
        <v>214</v>
      </c>
      <c r="G31" s="42" t="s">
        <v>214</v>
      </c>
      <c r="H31" s="42" t="s">
        <v>12</v>
      </c>
      <c r="I31" s="42" t="s">
        <v>12</v>
      </c>
    </row>
    <row r="32" spans="1:16" ht="22.5" x14ac:dyDescent="0.2">
      <c r="A32" s="129" t="s">
        <v>162</v>
      </c>
      <c r="B32" s="182" t="s">
        <v>46</v>
      </c>
      <c r="C32" s="172" t="s">
        <v>47</v>
      </c>
      <c r="D32" s="172" t="s">
        <v>48</v>
      </c>
      <c r="E32" s="107"/>
      <c r="F32" s="107"/>
      <c r="G32" s="107"/>
      <c r="H32" s="81"/>
    </row>
    <row r="33" spans="1:16" ht="15" x14ac:dyDescent="0.2">
      <c r="A33" s="183" t="s">
        <v>162</v>
      </c>
      <c r="B33" s="184" t="s">
        <v>12</v>
      </c>
      <c r="C33" s="174" t="s">
        <v>12</v>
      </c>
      <c r="D33" s="174" t="s">
        <v>12</v>
      </c>
      <c r="E33" s="107"/>
      <c r="F33" s="107"/>
      <c r="G33" s="107"/>
      <c r="H33" s="81"/>
    </row>
    <row r="34" spans="1:16" ht="22.5" x14ac:dyDescent="0.2">
      <c r="A34" s="98" t="s">
        <v>52</v>
      </c>
      <c r="B34" s="24" t="s">
        <v>2</v>
      </c>
      <c r="C34" s="24" t="s">
        <v>53</v>
      </c>
      <c r="D34" s="24" t="s">
        <v>54</v>
      </c>
      <c r="E34" s="24" t="s">
        <v>5</v>
      </c>
      <c r="F34" s="24" t="s">
        <v>55</v>
      </c>
      <c r="G34" s="186" t="s">
        <v>211</v>
      </c>
    </row>
    <row r="35" spans="1:16" ht="15" x14ac:dyDescent="0.2">
      <c r="A35" s="202" t="s">
        <v>52</v>
      </c>
      <c r="B35" s="208" t="s">
        <v>16</v>
      </c>
      <c r="C35" s="180" t="s">
        <v>97</v>
      </c>
      <c r="D35" s="180" t="s">
        <v>12</v>
      </c>
      <c r="E35" s="181" t="s">
        <v>12</v>
      </c>
      <c r="F35" s="189">
        <v>1</v>
      </c>
      <c r="G35" s="190" t="s">
        <v>74</v>
      </c>
    </row>
    <row r="36" spans="1:16" ht="22.5" x14ac:dyDescent="0.2">
      <c r="A36" s="98" t="s">
        <v>61</v>
      </c>
      <c r="B36" s="24" t="s">
        <v>2</v>
      </c>
      <c r="C36" s="24" t="s">
        <v>53</v>
      </c>
      <c r="D36" s="24" t="s">
        <v>54</v>
      </c>
      <c r="E36" s="10"/>
      <c r="F36" s="4"/>
    </row>
    <row r="37" spans="1:16" ht="15" x14ac:dyDescent="0.2">
      <c r="A37" s="203" t="s">
        <v>61</v>
      </c>
      <c r="B37" s="167" t="s">
        <v>12</v>
      </c>
      <c r="C37" s="166" t="s">
        <v>12</v>
      </c>
      <c r="D37" s="166" t="s">
        <v>12</v>
      </c>
      <c r="E37" s="17"/>
    </row>
    <row r="38" spans="1:16" x14ac:dyDescent="0.2">
      <c r="A38" s="99" t="s">
        <v>236</v>
      </c>
      <c r="B38" s="159" t="s">
        <v>237</v>
      </c>
      <c r="C38" s="159" t="s">
        <v>238</v>
      </c>
      <c r="D38" s="159" t="s">
        <v>239</v>
      </c>
      <c r="E38" s="159" t="s">
        <v>240</v>
      </c>
      <c r="F38" s="159" t="s">
        <v>241</v>
      </c>
      <c r="G38" s="159" t="s">
        <v>242</v>
      </c>
      <c r="H38" s="159" t="s">
        <v>65</v>
      </c>
      <c r="I38" s="159" t="s">
        <v>66</v>
      </c>
      <c r="J38" s="159" t="s">
        <v>209</v>
      </c>
      <c r="K38" s="159" t="s">
        <v>210</v>
      </c>
      <c r="L38" s="159" t="s">
        <v>45</v>
      </c>
      <c r="M38" s="159" t="s">
        <v>243</v>
      </c>
      <c r="N38" s="159" t="s">
        <v>244</v>
      </c>
      <c r="O38" s="159" t="s">
        <v>245</v>
      </c>
      <c r="P38" s="159" t="s">
        <v>233</v>
      </c>
    </row>
    <row r="39" spans="1:16" ht="15" x14ac:dyDescent="0.2">
      <c r="A39" s="97" t="s">
        <v>236</v>
      </c>
      <c r="B39" s="160" t="s">
        <v>12</v>
      </c>
      <c r="C39" s="160" t="s">
        <v>12</v>
      </c>
      <c r="D39" s="160" t="s">
        <v>12</v>
      </c>
      <c r="E39" s="160" t="s">
        <v>12</v>
      </c>
      <c r="F39" s="160" t="s">
        <v>12</v>
      </c>
      <c r="G39" s="160" t="s">
        <v>12</v>
      </c>
      <c r="H39" s="160" t="s">
        <v>12</v>
      </c>
      <c r="I39" s="160" t="s">
        <v>12</v>
      </c>
      <c r="J39" s="160" t="s">
        <v>12</v>
      </c>
      <c r="K39" s="160" t="s">
        <v>12</v>
      </c>
      <c r="L39" s="160" t="s">
        <v>12</v>
      </c>
      <c r="M39" s="160" t="s">
        <v>12</v>
      </c>
      <c r="N39" s="160" t="s">
        <v>12</v>
      </c>
      <c r="O39" s="160" t="s">
        <v>12</v>
      </c>
      <c r="P39" s="160" t="s">
        <v>12</v>
      </c>
    </row>
    <row r="40" spans="1:16" x14ac:dyDescent="0.2">
      <c r="A40" s="99" t="s">
        <v>63</v>
      </c>
      <c r="B40" s="24" t="s">
        <v>64</v>
      </c>
      <c r="C40" s="17"/>
    </row>
    <row r="41" spans="1:16" ht="15" x14ac:dyDescent="0.2">
      <c r="A41" s="97" t="s">
        <v>63</v>
      </c>
      <c r="B41" s="12" t="s">
        <v>33</v>
      </c>
      <c r="C41" s="7"/>
      <c r="D41" s="28"/>
      <c r="E41" s="28"/>
      <c r="F41" s="28"/>
    </row>
    <row r="42" spans="1:16" ht="25.5" x14ac:dyDescent="0.2">
      <c r="A42" s="99" t="s">
        <v>67</v>
      </c>
      <c r="B42" s="24" t="s">
        <v>65</v>
      </c>
      <c r="C42" s="24" t="s">
        <v>66</v>
      </c>
      <c r="D42" s="163"/>
      <c r="E42" s="29"/>
      <c r="F42" s="29"/>
    </row>
    <row r="43" spans="1:16" ht="25.5" x14ac:dyDescent="0.2">
      <c r="A43" s="97" t="s">
        <v>67</v>
      </c>
      <c r="B43" s="12" t="s">
        <v>12</v>
      </c>
      <c r="C43" s="164" t="s">
        <v>12</v>
      </c>
      <c r="D43" s="162"/>
      <c r="E43" s="28"/>
    </row>
    <row r="44" spans="1:16" x14ac:dyDescent="0.2">
      <c r="A44" s="99" t="s">
        <v>68</v>
      </c>
      <c r="B44" s="32" t="s">
        <v>69</v>
      </c>
      <c r="C44" s="10"/>
      <c r="D44" s="29"/>
      <c r="E44" s="29"/>
    </row>
    <row r="45" spans="1:16" ht="15" x14ac:dyDescent="0.2">
      <c r="A45" s="97" t="s">
        <v>68</v>
      </c>
      <c r="B45" s="33" t="s">
        <v>12</v>
      </c>
      <c r="C45" s="17"/>
    </row>
    <row r="46" spans="1:16" x14ac:dyDescent="0.2">
      <c r="A46" s="16"/>
      <c r="B46" s="3"/>
    </row>
    <row r="47" spans="1:16" ht="15" x14ac:dyDescent="0.2">
      <c r="A47" s="175" t="s">
        <v>34</v>
      </c>
      <c r="B47" s="19" t="s">
        <v>76</v>
      </c>
      <c r="C47" s="7"/>
      <c r="D47" s="16"/>
      <c r="E47" s="16"/>
      <c r="F47" s="16"/>
    </row>
    <row r="48" spans="1:16" ht="22.5" x14ac:dyDescent="0.2">
      <c r="A48" s="99" t="s">
        <v>36</v>
      </c>
      <c r="B48" s="24" t="s">
        <v>37</v>
      </c>
      <c r="C48" s="24" t="s">
        <v>38</v>
      </c>
      <c r="D48" s="24" t="s">
        <v>39</v>
      </c>
      <c r="E48" s="24" t="s">
        <v>40</v>
      </c>
      <c r="F48" s="24" t="s">
        <v>41</v>
      </c>
      <c r="G48" s="26"/>
    </row>
    <row r="49" spans="1:16" ht="15" x14ac:dyDescent="0.2">
      <c r="A49" s="96" t="s">
        <v>36</v>
      </c>
      <c r="B49" s="12" t="s">
        <v>12</v>
      </c>
      <c r="C49" s="42" t="s">
        <v>12</v>
      </c>
      <c r="D49" s="42" t="s">
        <v>12</v>
      </c>
      <c r="E49" s="42" t="s">
        <v>12</v>
      </c>
      <c r="F49" s="42" t="s">
        <v>12</v>
      </c>
      <c r="G49" s="13"/>
    </row>
    <row r="50" spans="1:16" ht="22.5" x14ac:dyDescent="0.2">
      <c r="A50" s="73" t="s">
        <v>45</v>
      </c>
      <c r="B50" s="32" t="s">
        <v>46</v>
      </c>
      <c r="C50" s="24" t="s">
        <v>47</v>
      </c>
      <c r="D50" s="147" t="s">
        <v>212</v>
      </c>
      <c r="E50" s="24" t="s">
        <v>48</v>
      </c>
      <c r="F50" s="24" t="s">
        <v>49</v>
      </c>
      <c r="G50" s="24" t="s">
        <v>50</v>
      </c>
      <c r="H50" s="24" t="s">
        <v>51</v>
      </c>
      <c r="I50" s="147" t="s">
        <v>246</v>
      </c>
    </row>
    <row r="51" spans="1:16" ht="15" x14ac:dyDescent="0.2">
      <c r="A51" s="74" t="s">
        <v>45</v>
      </c>
      <c r="B51" s="33" t="s">
        <v>74</v>
      </c>
      <c r="C51" s="12" t="s">
        <v>12</v>
      </c>
      <c r="D51" s="42" t="s">
        <v>12</v>
      </c>
      <c r="E51" s="42" t="s">
        <v>248</v>
      </c>
      <c r="F51" s="42" t="s">
        <v>248</v>
      </c>
      <c r="G51" s="42" t="s">
        <v>248</v>
      </c>
      <c r="H51" s="42" t="s">
        <v>249</v>
      </c>
      <c r="I51" s="42" t="s">
        <v>12</v>
      </c>
    </row>
    <row r="52" spans="1:16" ht="22.5" x14ac:dyDescent="0.2">
      <c r="A52" s="129" t="s">
        <v>162</v>
      </c>
      <c r="B52" s="182" t="s">
        <v>46</v>
      </c>
      <c r="C52" s="172" t="s">
        <v>47</v>
      </c>
      <c r="D52" s="172" t="s">
        <v>48</v>
      </c>
      <c r="E52" s="107"/>
      <c r="F52" s="107"/>
      <c r="G52" s="107"/>
      <c r="H52" s="81"/>
    </row>
    <row r="53" spans="1:16" ht="15" x14ac:dyDescent="0.2">
      <c r="A53" s="183" t="s">
        <v>162</v>
      </c>
      <c r="B53" s="184" t="s">
        <v>12</v>
      </c>
      <c r="C53" s="174" t="s">
        <v>12</v>
      </c>
      <c r="D53" s="174" t="s">
        <v>12</v>
      </c>
      <c r="E53" s="107"/>
      <c r="F53" s="107"/>
      <c r="G53" s="107"/>
      <c r="H53" s="81"/>
    </row>
    <row r="54" spans="1:16" ht="22.5" x14ac:dyDescent="0.2">
      <c r="A54" s="98" t="s">
        <v>52</v>
      </c>
      <c r="B54" s="24" t="s">
        <v>2</v>
      </c>
      <c r="C54" s="24" t="s">
        <v>53</v>
      </c>
      <c r="D54" s="24" t="s">
        <v>54</v>
      </c>
      <c r="E54" s="24" t="s">
        <v>5</v>
      </c>
      <c r="F54" s="24" t="s">
        <v>55</v>
      </c>
      <c r="G54" s="186" t="s">
        <v>211</v>
      </c>
    </row>
    <row r="55" spans="1:16" ht="15" x14ac:dyDescent="0.2">
      <c r="A55" s="202" t="s">
        <v>52</v>
      </c>
      <c r="B55" s="208" t="s">
        <v>16</v>
      </c>
      <c r="C55" s="180" t="s">
        <v>97</v>
      </c>
      <c r="D55" s="180" t="s">
        <v>12</v>
      </c>
      <c r="E55" s="181" t="s">
        <v>12</v>
      </c>
      <c r="F55" s="189">
        <v>1</v>
      </c>
      <c r="G55" s="190" t="s">
        <v>74</v>
      </c>
    </row>
    <row r="56" spans="1:16" ht="22.5" x14ac:dyDescent="0.2">
      <c r="A56" s="98" t="s">
        <v>61</v>
      </c>
      <c r="B56" s="24" t="s">
        <v>2</v>
      </c>
      <c r="C56" s="24" t="s">
        <v>53</v>
      </c>
      <c r="D56" s="24" t="s">
        <v>54</v>
      </c>
      <c r="E56" s="10"/>
      <c r="F56" s="4"/>
    </row>
    <row r="57" spans="1:16" ht="15" x14ac:dyDescent="0.2">
      <c r="A57" s="203" t="s">
        <v>61</v>
      </c>
      <c r="B57" s="153" t="s">
        <v>12</v>
      </c>
      <c r="C57" s="166" t="s">
        <v>12</v>
      </c>
      <c r="D57" s="166" t="s">
        <v>12</v>
      </c>
      <c r="E57" s="17"/>
    </row>
    <row r="58" spans="1:16" x14ac:dyDescent="0.2">
      <c r="A58" s="99" t="s">
        <v>236</v>
      </c>
      <c r="B58" s="159" t="s">
        <v>237</v>
      </c>
      <c r="C58" s="159" t="s">
        <v>238</v>
      </c>
      <c r="D58" s="159" t="s">
        <v>239</v>
      </c>
      <c r="E58" s="159" t="s">
        <v>240</v>
      </c>
      <c r="F58" s="159" t="s">
        <v>241</v>
      </c>
      <c r="G58" s="159" t="s">
        <v>242</v>
      </c>
      <c r="H58" s="159" t="s">
        <v>65</v>
      </c>
      <c r="I58" s="159" t="s">
        <v>66</v>
      </c>
      <c r="J58" s="159" t="s">
        <v>209</v>
      </c>
      <c r="K58" s="159" t="s">
        <v>210</v>
      </c>
      <c r="L58" s="159" t="s">
        <v>45</v>
      </c>
      <c r="M58" s="159" t="s">
        <v>243</v>
      </c>
      <c r="N58" s="159" t="s">
        <v>244</v>
      </c>
      <c r="O58" s="159" t="s">
        <v>245</v>
      </c>
      <c r="P58" s="159" t="s">
        <v>233</v>
      </c>
    </row>
    <row r="59" spans="1:16" ht="15" x14ac:dyDescent="0.2">
      <c r="A59" s="97" t="s">
        <v>236</v>
      </c>
      <c r="B59" s="160" t="s">
        <v>12</v>
      </c>
      <c r="C59" s="160" t="s">
        <v>12</v>
      </c>
      <c r="D59" s="160" t="s">
        <v>12</v>
      </c>
      <c r="E59" s="160" t="s">
        <v>12</v>
      </c>
      <c r="F59" s="160" t="s">
        <v>12</v>
      </c>
      <c r="G59" s="160" t="s">
        <v>12</v>
      </c>
      <c r="H59" s="160" t="s">
        <v>12</v>
      </c>
      <c r="I59" s="160" t="s">
        <v>12</v>
      </c>
      <c r="J59" s="160" t="s">
        <v>12</v>
      </c>
      <c r="K59" s="160" t="s">
        <v>12</v>
      </c>
      <c r="L59" s="160" t="s">
        <v>12</v>
      </c>
      <c r="M59" s="160" t="s">
        <v>12</v>
      </c>
      <c r="N59" s="160" t="s">
        <v>12</v>
      </c>
      <c r="O59" s="160" t="s">
        <v>12</v>
      </c>
      <c r="P59" s="160" t="s">
        <v>12</v>
      </c>
    </row>
    <row r="60" spans="1:16" x14ac:dyDescent="0.2">
      <c r="A60" s="99" t="s">
        <v>63</v>
      </c>
      <c r="B60" s="24" t="s">
        <v>64</v>
      </c>
      <c r="C60" s="17"/>
    </row>
    <row r="61" spans="1:16" ht="15" x14ac:dyDescent="0.2">
      <c r="A61" s="97" t="s">
        <v>63</v>
      </c>
      <c r="B61" s="12" t="s">
        <v>33</v>
      </c>
      <c r="C61" s="7"/>
      <c r="D61" s="28"/>
      <c r="E61" s="28"/>
      <c r="F61" s="28"/>
    </row>
    <row r="62" spans="1:16" ht="25.5" x14ac:dyDescent="0.2">
      <c r="A62" s="99" t="s">
        <v>67</v>
      </c>
      <c r="B62" s="24" t="s">
        <v>65</v>
      </c>
      <c r="C62" s="24" t="s">
        <v>66</v>
      </c>
      <c r="D62" s="163"/>
      <c r="E62" s="29"/>
      <c r="F62" s="29"/>
    </row>
    <row r="63" spans="1:16" ht="25.5" x14ac:dyDescent="0.2">
      <c r="A63" s="97" t="s">
        <v>67</v>
      </c>
      <c r="B63" s="12" t="s">
        <v>12</v>
      </c>
      <c r="C63" s="164" t="s">
        <v>12</v>
      </c>
      <c r="D63" s="162"/>
      <c r="E63" s="28"/>
    </row>
    <row r="64" spans="1:16" x14ac:dyDescent="0.2">
      <c r="A64" s="99" t="s">
        <v>68</v>
      </c>
      <c r="B64" s="32" t="s">
        <v>69</v>
      </c>
      <c r="C64" s="10"/>
      <c r="D64" s="29"/>
      <c r="E64" s="29"/>
    </row>
    <row r="65" spans="1:16" ht="15" x14ac:dyDescent="0.2">
      <c r="A65" s="97" t="s">
        <v>68</v>
      </c>
      <c r="B65" s="33" t="s">
        <v>12</v>
      </c>
      <c r="C65" s="17"/>
    </row>
    <row r="66" spans="1:16" x14ac:dyDescent="0.2">
      <c r="B66" s="4"/>
    </row>
    <row r="67" spans="1:16" ht="15" x14ac:dyDescent="0.2">
      <c r="A67" s="175" t="s">
        <v>34</v>
      </c>
      <c r="B67" s="150" t="s">
        <v>89</v>
      </c>
      <c r="C67" s="7"/>
      <c r="D67" s="16"/>
      <c r="E67" s="16"/>
      <c r="F67" s="16"/>
    </row>
    <row r="68" spans="1:16" ht="22.5" x14ac:dyDescent="0.2">
      <c r="A68" s="99" t="s">
        <v>36</v>
      </c>
      <c r="B68" s="24" t="s">
        <v>37</v>
      </c>
      <c r="C68" s="24" t="s">
        <v>38</v>
      </c>
      <c r="D68" s="24" t="s">
        <v>39</v>
      </c>
      <c r="E68" s="24" t="s">
        <v>40</v>
      </c>
      <c r="F68" s="24" t="s">
        <v>41</v>
      </c>
      <c r="G68" s="26"/>
    </row>
    <row r="69" spans="1:16" ht="15" x14ac:dyDescent="0.2">
      <c r="A69" s="96" t="s">
        <v>36</v>
      </c>
      <c r="B69" s="12" t="s">
        <v>12</v>
      </c>
      <c r="C69" s="42" t="s">
        <v>12</v>
      </c>
      <c r="D69" s="42" t="s">
        <v>12</v>
      </c>
      <c r="E69" s="42" t="s">
        <v>12</v>
      </c>
      <c r="F69" s="42" t="s">
        <v>12</v>
      </c>
      <c r="G69" s="13"/>
    </row>
    <row r="70" spans="1:16" ht="22.5" x14ac:dyDescent="0.2">
      <c r="A70" s="73" t="s">
        <v>45</v>
      </c>
      <c r="B70" s="32" t="s">
        <v>46</v>
      </c>
      <c r="C70" s="24" t="s">
        <v>47</v>
      </c>
      <c r="D70" s="147" t="s">
        <v>212</v>
      </c>
      <c r="E70" s="24" t="s">
        <v>48</v>
      </c>
      <c r="F70" s="24" t="s">
        <v>49</v>
      </c>
      <c r="G70" s="24" t="s">
        <v>50</v>
      </c>
      <c r="H70" s="24" t="s">
        <v>51</v>
      </c>
      <c r="I70" s="147" t="s">
        <v>246</v>
      </c>
    </row>
    <row r="71" spans="1:16" ht="15" x14ac:dyDescent="0.2">
      <c r="A71" s="74" t="s">
        <v>45</v>
      </c>
      <c r="B71" s="152" t="s">
        <v>84</v>
      </c>
      <c r="C71" s="12">
        <v>1</v>
      </c>
      <c r="D71" s="42" t="s">
        <v>12</v>
      </c>
      <c r="E71" s="42" t="s">
        <v>215</v>
      </c>
      <c r="F71" s="42" t="s">
        <v>216</v>
      </c>
      <c r="G71" s="42" t="s">
        <v>216</v>
      </c>
      <c r="H71" s="42" t="s">
        <v>12</v>
      </c>
      <c r="I71" s="42" t="s">
        <v>12</v>
      </c>
    </row>
    <row r="72" spans="1:16" ht="22.5" x14ac:dyDescent="0.2">
      <c r="A72" s="129" t="s">
        <v>162</v>
      </c>
      <c r="B72" s="182" t="s">
        <v>46</v>
      </c>
      <c r="C72" s="172" t="s">
        <v>47</v>
      </c>
      <c r="D72" s="172" t="s">
        <v>48</v>
      </c>
      <c r="E72" s="107"/>
      <c r="F72" s="107"/>
      <c r="G72" s="107"/>
      <c r="H72" s="81"/>
    </row>
    <row r="73" spans="1:16" ht="15" x14ac:dyDescent="0.2">
      <c r="A73" s="183" t="s">
        <v>162</v>
      </c>
      <c r="B73" s="184" t="s">
        <v>12</v>
      </c>
      <c r="C73" s="174" t="s">
        <v>12</v>
      </c>
      <c r="D73" s="174" t="s">
        <v>12</v>
      </c>
      <c r="E73" s="107"/>
      <c r="F73" s="107"/>
      <c r="G73" s="107"/>
      <c r="H73" s="81"/>
    </row>
    <row r="74" spans="1:16" ht="22.5" x14ac:dyDescent="0.2">
      <c r="A74" s="98" t="s">
        <v>52</v>
      </c>
      <c r="B74" s="24" t="s">
        <v>2</v>
      </c>
      <c r="C74" s="24" t="s">
        <v>53</v>
      </c>
      <c r="D74" s="24" t="s">
        <v>54</v>
      </c>
      <c r="E74" s="24" t="s">
        <v>5</v>
      </c>
      <c r="F74" s="24" t="s">
        <v>55</v>
      </c>
      <c r="G74" s="186" t="s">
        <v>211</v>
      </c>
    </row>
    <row r="75" spans="1:16" ht="15" x14ac:dyDescent="0.2">
      <c r="A75" s="202" t="s">
        <v>52</v>
      </c>
      <c r="B75" s="208" t="s">
        <v>16</v>
      </c>
      <c r="C75" s="180" t="s">
        <v>97</v>
      </c>
      <c r="D75" s="180" t="s">
        <v>12</v>
      </c>
      <c r="E75" s="181" t="s">
        <v>12</v>
      </c>
      <c r="F75" s="189">
        <v>1</v>
      </c>
      <c r="G75" s="190" t="s">
        <v>74</v>
      </c>
    </row>
    <row r="76" spans="1:16" ht="22.5" x14ac:dyDescent="0.2">
      <c r="A76" s="98" t="s">
        <v>61</v>
      </c>
      <c r="B76" s="24" t="s">
        <v>2</v>
      </c>
      <c r="C76" s="24" t="s">
        <v>53</v>
      </c>
      <c r="D76" s="24" t="s">
        <v>54</v>
      </c>
      <c r="E76" s="10"/>
      <c r="F76" s="4"/>
    </row>
    <row r="77" spans="1:16" ht="15" x14ac:dyDescent="0.2">
      <c r="A77" s="203" t="s">
        <v>61</v>
      </c>
      <c r="B77" s="153" t="s">
        <v>12</v>
      </c>
      <c r="C77" s="166" t="s">
        <v>12</v>
      </c>
      <c r="D77" s="166" t="s">
        <v>12</v>
      </c>
      <c r="E77" s="17"/>
    </row>
    <row r="78" spans="1:16" x14ac:dyDescent="0.2">
      <c r="A78" s="99" t="s">
        <v>236</v>
      </c>
      <c r="B78" s="159" t="s">
        <v>237</v>
      </c>
      <c r="C78" s="159" t="s">
        <v>238</v>
      </c>
      <c r="D78" s="159" t="s">
        <v>239</v>
      </c>
      <c r="E78" s="159" t="s">
        <v>240</v>
      </c>
      <c r="F78" s="159" t="s">
        <v>241</v>
      </c>
      <c r="G78" s="159" t="s">
        <v>242</v>
      </c>
      <c r="H78" s="159" t="s">
        <v>65</v>
      </c>
      <c r="I78" s="159" t="s">
        <v>66</v>
      </c>
      <c r="J78" s="159" t="s">
        <v>209</v>
      </c>
      <c r="K78" s="159" t="s">
        <v>210</v>
      </c>
      <c r="L78" s="159" t="s">
        <v>45</v>
      </c>
      <c r="M78" s="159" t="s">
        <v>243</v>
      </c>
      <c r="N78" s="159" t="s">
        <v>244</v>
      </c>
      <c r="O78" s="159" t="s">
        <v>245</v>
      </c>
      <c r="P78" s="159" t="s">
        <v>233</v>
      </c>
    </row>
    <row r="79" spans="1:16" ht="15" x14ac:dyDescent="0.2">
      <c r="A79" s="97" t="s">
        <v>236</v>
      </c>
      <c r="B79" s="160" t="s">
        <v>12</v>
      </c>
      <c r="C79" s="160" t="s">
        <v>12</v>
      </c>
      <c r="D79" s="160" t="s">
        <v>12</v>
      </c>
      <c r="E79" s="160" t="s">
        <v>12</v>
      </c>
      <c r="F79" s="160" t="s">
        <v>12</v>
      </c>
      <c r="G79" s="160" t="s">
        <v>12</v>
      </c>
      <c r="H79" s="160" t="s">
        <v>12</v>
      </c>
      <c r="I79" s="160" t="s">
        <v>12</v>
      </c>
      <c r="J79" s="160" t="s">
        <v>12</v>
      </c>
      <c r="K79" s="160" t="s">
        <v>12</v>
      </c>
      <c r="L79" s="160" t="s">
        <v>12</v>
      </c>
      <c r="M79" s="160" t="s">
        <v>12</v>
      </c>
      <c r="N79" s="160" t="s">
        <v>12</v>
      </c>
      <c r="O79" s="160" t="s">
        <v>12</v>
      </c>
      <c r="P79" s="160" t="s">
        <v>12</v>
      </c>
    </row>
    <row r="80" spans="1:16" x14ac:dyDescent="0.2">
      <c r="A80" s="99" t="s">
        <v>63</v>
      </c>
      <c r="B80" s="24" t="s">
        <v>64</v>
      </c>
      <c r="C80" s="17"/>
    </row>
    <row r="81" spans="1:6" ht="15" x14ac:dyDescent="0.2">
      <c r="A81" s="97" t="s">
        <v>63</v>
      </c>
      <c r="B81" s="12" t="s">
        <v>33</v>
      </c>
      <c r="C81" s="7"/>
      <c r="D81" s="28"/>
      <c r="E81" s="28"/>
      <c r="F81" s="28"/>
    </row>
    <row r="82" spans="1:6" ht="25.5" x14ac:dyDescent="0.2">
      <c r="A82" s="99" t="s">
        <v>67</v>
      </c>
      <c r="B82" s="24" t="s">
        <v>65</v>
      </c>
      <c r="C82" s="24" t="s">
        <v>66</v>
      </c>
      <c r="D82" s="163"/>
      <c r="E82" s="29"/>
      <c r="F82" s="29"/>
    </row>
    <row r="83" spans="1:6" ht="25.5" x14ac:dyDescent="0.2">
      <c r="A83" s="97" t="s">
        <v>67</v>
      </c>
      <c r="B83" s="12" t="s">
        <v>12</v>
      </c>
      <c r="C83" s="164" t="s">
        <v>12</v>
      </c>
      <c r="D83" s="162"/>
      <c r="E83" s="28"/>
    </row>
    <row r="84" spans="1:6" x14ac:dyDescent="0.2">
      <c r="A84" s="99" t="s">
        <v>68</v>
      </c>
      <c r="B84" s="32" t="s">
        <v>69</v>
      </c>
      <c r="C84" s="10"/>
      <c r="D84" s="29"/>
      <c r="E84" s="29"/>
    </row>
    <row r="85" spans="1:6" ht="15" x14ac:dyDescent="0.2">
      <c r="A85" s="97" t="s">
        <v>68</v>
      </c>
      <c r="B85" s="33" t="s">
        <v>12</v>
      </c>
      <c r="C85" s="17"/>
    </row>
    <row r="86" spans="1:6" x14ac:dyDescent="0.2">
      <c r="B86" s="4"/>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Antigen Series Overview</vt:lpstr>
      <vt:lpstr>Change History</vt:lpstr>
      <vt:lpstr>Immunity</vt:lpstr>
      <vt:lpstr>HepB 3-Dose Primary Series</vt:lpstr>
      <vt:lpstr>DV-IDENTITY-0</vt:lpstr>
      <vt:lpstr>HepB 4-Dose Series</vt:lpstr>
      <vt:lpstr>HepB 2-Dose Adolescent Series</vt:lpstr>
      <vt:lpstr>Twinrix 3-Dose Series</vt:lpstr>
      <vt:lpstr>Twinrix 4 Dose Series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Speights, Patricia L. (CDC/OID/NCIRD) (CTR)</cp:lastModifiedBy>
  <dcterms:created xsi:type="dcterms:W3CDTF">2012-10-22T14:28:56Z</dcterms:created>
  <dcterms:modified xsi:type="dcterms:W3CDTF">2015-12-31T19:39:00Z</dcterms:modified>
</cp:coreProperties>
</file>