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qe\mqe\"/>
    </mc:Choice>
  </mc:AlternateContent>
  <xr:revisionPtr revIDLastSave="0" documentId="10_ncr:100000_{7B6FE735-BB4D-4E2E-B335-A99F35CED23C}" xr6:coauthVersionLast="31" xr6:coauthVersionMax="31" xr10:uidLastSave="{00000000-0000-0000-0000-000000000000}"/>
  <bookViews>
    <workbookView xWindow="0" yWindow="0" windowWidth="21570" windowHeight="7980" xr2:uid="{EA09C086-8686-4247-97C6-9D5ADAE3C9CB}"/>
  </bookViews>
  <sheets>
    <sheet name="Overview" sheetId="1" r:id="rId1"/>
    <sheet name="Report" sheetId="3" r:id="rId2"/>
    <sheet name="Data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/>
  <c r="C13" i="1"/>
  <c r="B14" i="1"/>
  <c r="E9" i="2"/>
  <c r="E12" i="2"/>
  <c r="E11" i="2"/>
  <c r="E10" i="2"/>
  <c r="E8" i="2"/>
  <c r="E7" i="2"/>
  <c r="E6" i="2"/>
  <c r="E5" i="2"/>
  <c r="E4" i="2"/>
  <c r="A1" i="2" l="1"/>
  <c r="F38" i="3"/>
  <c r="F37" i="3"/>
  <c r="F35" i="3"/>
  <c r="F34" i="3"/>
  <c r="F32" i="3"/>
  <c r="C43" i="3"/>
  <c r="Q11" i="1"/>
  <c r="P11" i="1"/>
  <c r="Q12" i="1"/>
  <c r="P12" i="1"/>
  <c r="E42" i="3"/>
  <c r="E43" i="3" s="1"/>
  <c r="C42" i="3"/>
  <c r="X2" i="2" l="1"/>
  <c r="D32" i="3" s="1"/>
  <c r="D2" i="2"/>
  <c r="E2" i="2"/>
  <c r="C4" i="3" s="1"/>
  <c r="F42" i="3"/>
  <c r="D45" i="3" s="1"/>
  <c r="L2" i="2"/>
  <c r="D20" i="3" s="1"/>
  <c r="I2" i="2"/>
  <c r="D10" i="3" s="1"/>
  <c r="D12" i="3" s="1"/>
  <c r="F12" i="3" s="1"/>
  <c r="K2" i="2"/>
  <c r="D19" i="3" s="1"/>
  <c r="T2" i="2"/>
  <c r="D28" i="3" s="1"/>
  <c r="U2" i="2"/>
  <c r="D29" i="3" s="1"/>
  <c r="S2" i="2"/>
  <c r="D27" i="3" s="1"/>
  <c r="AA2" i="2"/>
  <c r="D35" i="3" s="1"/>
  <c r="AB2" i="2"/>
  <c r="D36" i="3" s="1"/>
  <c r="C2" i="2"/>
  <c r="B3" i="1" s="1"/>
  <c r="AC2" i="2"/>
  <c r="D37" i="3" s="1"/>
  <c r="M2" i="2"/>
  <c r="D21" i="3" s="1"/>
  <c r="W2" i="2"/>
  <c r="D31" i="3" s="1"/>
  <c r="N2" i="2"/>
  <c r="D22" i="3" s="1"/>
  <c r="O2" i="2"/>
  <c r="D23" i="3" s="1"/>
  <c r="F2" i="2"/>
  <c r="B4" i="1" s="1"/>
  <c r="R2" i="2"/>
  <c r="D26" i="3" s="1"/>
  <c r="AE2" i="2"/>
  <c r="D39" i="3" s="1"/>
  <c r="AF2" i="2"/>
  <c r="C60" i="3" s="1"/>
  <c r="G2" i="2"/>
  <c r="B5" i="1" s="1"/>
  <c r="P2" i="2"/>
  <c r="D24" i="3" s="1"/>
  <c r="Y2" i="2"/>
  <c r="D33" i="3" s="1"/>
  <c r="AG2" i="2"/>
  <c r="C61" i="3" s="1"/>
  <c r="H2" i="2"/>
  <c r="D3" i="3" s="1"/>
  <c r="D5" i="3" s="1"/>
  <c r="F5" i="3" s="1"/>
  <c r="Q2" i="2"/>
  <c r="D25" i="3" s="1"/>
  <c r="Z2" i="2"/>
  <c r="D34" i="3" s="1"/>
  <c r="AI2" i="2"/>
  <c r="C63" i="3" s="1"/>
  <c r="V2" i="2"/>
  <c r="D30" i="3" s="1"/>
  <c r="E30" i="3" s="1"/>
  <c r="F30" i="3" s="1"/>
  <c r="AD2" i="2"/>
  <c r="D38" i="3" s="1"/>
  <c r="AH2" i="2"/>
  <c r="C62" i="3" s="1"/>
  <c r="J2" i="2"/>
  <c r="D18" i="3" s="1"/>
  <c r="B2" i="2"/>
  <c r="B2" i="1" s="1"/>
  <c r="F43" i="3"/>
  <c r="D47" i="3" s="1"/>
  <c r="E33" i="3" l="1"/>
  <c r="F33" i="3" s="1"/>
  <c r="E31" i="3"/>
  <c r="F31" i="3" s="1"/>
  <c r="J12" i="1"/>
  <c r="D13" i="3"/>
  <c r="F13" i="3" s="1"/>
  <c r="I13" i="3" s="1"/>
  <c r="K13" i="3" s="1"/>
  <c r="J11" i="1" s="1"/>
  <c r="E32" i="3"/>
  <c r="E35" i="3"/>
  <c r="E27" i="3"/>
  <c r="F27" i="3" s="1"/>
  <c r="E22" i="3"/>
  <c r="F22" i="3" s="1"/>
  <c r="E38" i="3"/>
  <c r="E37" i="3"/>
  <c r="E24" i="3"/>
  <c r="F24" i="3" s="1"/>
  <c r="E20" i="3"/>
  <c r="F20" i="3" s="1"/>
  <c r="E25" i="3"/>
  <c r="F25" i="3" s="1"/>
  <c r="E23" i="3"/>
  <c r="F23" i="3" s="1"/>
  <c r="E29" i="3"/>
  <c r="F29" i="3" s="1"/>
  <c r="E28" i="3"/>
  <c r="F28" i="3" s="1"/>
  <c r="E26" i="3"/>
  <c r="F26" i="3" s="1"/>
  <c r="E39" i="3"/>
  <c r="F39" i="3" s="1"/>
  <c r="E34" i="3"/>
  <c r="E21" i="3"/>
  <c r="F21" i="3" s="1"/>
  <c r="E19" i="3"/>
  <c r="F19" i="3" s="1"/>
  <c r="E18" i="3"/>
  <c r="F18" i="3" s="1"/>
  <c r="E61" i="3"/>
  <c r="J19" i="1"/>
  <c r="J20" i="1"/>
  <c r="C56" i="3"/>
  <c r="C57" i="3" s="1"/>
  <c r="D62" i="3" s="1"/>
  <c r="E62" i="3" s="1"/>
  <c r="G12" i="1"/>
  <c r="D6" i="3"/>
  <c r="F6" i="3" s="1"/>
  <c r="E36" i="3"/>
  <c r="F36" i="3" s="1"/>
  <c r="I6" i="3" l="1"/>
  <c r="K6" i="3" s="1"/>
  <c r="G11" i="1" s="1"/>
  <c r="C48" i="3"/>
  <c r="G20" i="1" s="1"/>
  <c r="C46" i="3"/>
  <c r="G19" i="1" s="1"/>
  <c r="C47" i="3"/>
  <c r="E47" i="3" s="1"/>
  <c r="C45" i="3"/>
  <c r="E45" i="3" s="1"/>
  <c r="D63" i="3"/>
  <c r="E63" i="3" s="1"/>
  <c r="D60" i="3"/>
  <c r="E60" i="3" s="1"/>
  <c r="E46" i="3" l="1"/>
  <c r="E48" i="3"/>
  <c r="I63" i="3"/>
  <c r="K63" i="3" s="1"/>
  <c r="J18" i="1" s="1"/>
  <c r="I48" i="3" l="1"/>
  <c r="K48" i="3" s="1"/>
  <c r="G18" i="1" s="1"/>
  <c r="K68" i="3" l="1"/>
  <c r="G25" i="1" s="1"/>
</calcChain>
</file>

<file path=xl/sharedStrings.xml><?xml version="1.0" encoding="utf-8"?>
<sst xmlns="http://schemas.openxmlformats.org/spreadsheetml/2006/main" count="132" uniqueCount="88">
  <si>
    <t>Errors</t>
  </si>
  <si>
    <t>Warnings</t>
  </si>
  <si>
    <t>Data Complete</t>
  </si>
  <si>
    <t>Vaccine</t>
  </si>
  <si>
    <t>Vaccine Complete</t>
  </si>
  <si>
    <t>Error Count</t>
  </si>
  <si>
    <t>Warning Count</t>
  </si>
  <si>
    <t>Administered Vaccination Count</t>
  </si>
  <si>
    <t>Clinic</t>
  </si>
  <si>
    <t>Date</t>
  </si>
  <si>
    <t>Harris</t>
  </si>
  <si>
    <t>New Castle</t>
  </si>
  <si>
    <t>Winchester</t>
  </si>
  <si>
    <t>Lambton</t>
  </si>
  <si>
    <t>Hartford</t>
  </si>
  <si>
    <t>Points</t>
  </si>
  <si>
    <t>Total number</t>
  </si>
  <si>
    <t>Count</t>
  </si>
  <si>
    <t>Total</t>
  </si>
  <si>
    <t>Demerit for the rest</t>
  </si>
  <si>
    <t>First</t>
  </si>
  <si>
    <t>Demerit for first (x) errors</t>
  </si>
  <si>
    <t>Demerit for first (x) warnings</t>
  </si>
  <si>
    <t>Max</t>
  </si>
  <si>
    <t>Adjusted</t>
  </si>
  <si>
    <t>Patient Name First</t>
  </si>
  <si>
    <t>Patient Name Middle</t>
  </si>
  <si>
    <t>Patient Name Last</t>
  </si>
  <si>
    <t>Patient MRN</t>
  </si>
  <si>
    <t>Patient Date of Birth</t>
  </si>
  <si>
    <t>Patient Sex</t>
  </si>
  <si>
    <t>Patient Mother Maiden Name</t>
  </si>
  <si>
    <t>Patient Address</t>
  </si>
  <si>
    <t>Patient Phone</t>
  </si>
  <si>
    <t>Patient Email</t>
  </si>
  <si>
    <t>Patient Race</t>
  </si>
  <si>
    <t>Patient Ethnicity</t>
  </si>
  <si>
    <t>Vaccination Code</t>
  </si>
  <si>
    <t>Vaccination Date</t>
  </si>
  <si>
    <t>Vaccination Amount</t>
  </si>
  <si>
    <t>Vaccination Manufacturer</t>
  </si>
  <si>
    <t>Vaccination Expiration Date</t>
  </si>
  <si>
    <t>Vaccination Funding Source</t>
  </si>
  <si>
    <t>Vaccination Funding Eligibility</t>
  </si>
  <si>
    <t>Vaccination Site</t>
  </si>
  <si>
    <t>Vaccination Route</t>
  </si>
  <si>
    <t>Vaccination Lot Number</t>
  </si>
  <si>
    <t>Target</t>
  </si>
  <si>
    <t>Actual</t>
  </si>
  <si>
    <t>Patient Count</t>
  </si>
  <si>
    <t>Expected was present</t>
  </si>
  <si>
    <t>Expected was not present</t>
  </si>
  <si>
    <t>Not expected was present</t>
  </si>
  <si>
    <t>Not possible was present</t>
  </si>
  <si>
    <t>Total number of groups</t>
  </si>
  <si>
    <t>Points possible per group</t>
  </si>
  <si>
    <t>Count patient fields meeting target</t>
  </si>
  <si>
    <t>Count vaccination fields meeting target</t>
  </si>
  <si>
    <t>Count of patient fields below target</t>
  </si>
  <si>
    <t>Count of vaccination fields below target</t>
  </si>
  <si>
    <t>Patient fields count</t>
  </si>
  <si>
    <t>Vaccination fields count</t>
  </si>
  <si>
    <t>Per</t>
  </si>
  <si>
    <t>Meets</t>
  </si>
  <si>
    <t>Div</t>
  </si>
  <si>
    <t>Coverage</t>
  </si>
  <si>
    <t>Patient and</t>
  </si>
  <si>
    <t>Total Score</t>
  </si>
  <si>
    <t>Messages</t>
  </si>
  <si>
    <t>Vaccinations</t>
  </si>
  <si>
    <t>Vaccination Fields</t>
  </si>
  <si>
    <t>Id</t>
  </si>
  <si>
    <t>A</t>
  </si>
  <si>
    <t>Almost Meets</t>
  </si>
  <si>
    <t>Does Not Meet</t>
  </si>
  <si>
    <t>How improve your quality score:</t>
  </si>
  <si>
    <t xml:space="preserve">Fix this error: </t>
  </si>
  <si>
    <t>Send in Vaccine Funding Source (it was missing on 100% of messages)</t>
  </si>
  <si>
    <t>Getting worse or better?</t>
  </si>
  <si>
    <t>Compare to previous day? Week? Month? With the monthly?</t>
  </si>
  <si>
    <t>Can have a trend</t>
  </si>
  <si>
    <t xml:space="preserve">Confidence Level? Based on number of messages? </t>
  </si>
  <si>
    <t>Number of Days</t>
  </si>
  <si>
    <t>Start Date</t>
  </si>
  <si>
    <t>End Date</t>
  </si>
  <si>
    <t>Days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</si>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</sst>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+0;\-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20"/>
      <color theme="7" tint="0.39997558519241921"/>
      <name val="Calibri"/>
      <family val="2"/>
      <scheme val="minor"/>
    </font>
    <font>
      <sz val="20"/>
      <color theme="7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9"/>
      <color theme="5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color theme="7" tint="-0.499984740745262"/>
      <name val="Calibri"/>
      <family val="2"/>
      <scheme val="minor"/>
    </font>
    <font>
      <sz val="9"/>
      <color theme="7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5" borderId="0" xfId="0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3" fillId="4" borderId="0" xfId="0" applyFont="1" applyFill="1" applyBorder="1" applyAlignment="1">
      <alignment horizontal="center"/>
    </xf>
    <xf numFmtId="0" fontId="0" fillId="4" borderId="5" xfId="0" applyFill="1" applyBorder="1"/>
    <xf numFmtId="0" fontId="0" fillId="4" borderId="0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68" fontId="7" fillId="4" borderId="0" xfId="0" applyNumberFormat="1" applyFont="1" applyFill="1" applyBorder="1" applyAlignment="1">
      <alignment horizontal="center"/>
    </xf>
    <xf numFmtId="168" fontId="5" fillId="2" borderId="0" xfId="0" applyNumberFormat="1" applyFont="1" applyFill="1" applyBorder="1" applyAlignment="1">
      <alignment horizontal="center"/>
    </xf>
    <xf numFmtId="168" fontId="4" fillId="6" borderId="0" xfId="0" applyNumberFormat="1" applyFont="1" applyFill="1" applyBorder="1" applyAlignment="1">
      <alignment horizontal="center"/>
    </xf>
    <xf numFmtId="168" fontId="6" fillId="3" borderId="0" xfId="0" applyNumberFormat="1" applyFont="1" applyFill="1" applyBorder="1" applyAlignment="1">
      <alignment horizontal="center"/>
    </xf>
    <xf numFmtId="0" fontId="2" fillId="0" borderId="0" xfId="0" applyFont="1"/>
    <xf numFmtId="0" fontId="2" fillId="5" borderId="0" xfId="0" applyFont="1" applyFill="1"/>
    <xf numFmtId="0" fontId="0" fillId="5" borderId="0" xfId="0" applyFill="1" applyAlignment="1">
      <alignment horizontal="right" wrapText="1"/>
    </xf>
    <xf numFmtId="14" fontId="0" fillId="0" borderId="0" xfId="0" applyNumberFormat="1"/>
    <xf numFmtId="0" fontId="0" fillId="0" borderId="7" xfId="0" applyBorder="1"/>
    <xf numFmtId="0" fontId="0" fillId="0" borderId="9" xfId="0" applyBorder="1"/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center"/>
    </xf>
    <xf numFmtId="9" fontId="0" fillId="0" borderId="0" xfId="0" applyNumberFormat="1"/>
    <xf numFmtId="168" fontId="10" fillId="6" borderId="0" xfId="0" applyNumberFormat="1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168" fontId="12" fillId="2" borderId="0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4" borderId="4" xfId="0" applyFont="1" applyFill="1" applyBorder="1"/>
    <xf numFmtId="0" fontId="13" fillId="4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FAA5-24DB-4A97-872D-143ED717A2AC}">
  <dimension ref="A1:Q44"/>
  <sheetViews>
    <sheetView tabSelected="1" workbookViewId="0">
      <selection activeCell="C14" sqref="C14"/>
    </sheetView>
  </sheetViews>
  <sheetFormatPr defaultRowHeight="15" x14ac:dyDescent="0.25"/>
  <cols>
    <col min="1" max="1" width="13.140625" customWidth="1"/>
    <col min="2" max="2" width="9.7109375" bestFit="1" customWidth="1"/>
    <col min="6" max="6" width="1.85546875" customWidth="1"/>
    <col min="7" max="7" width="33" customWidth="1"/>
    <col min="8" max="9" width="1.85546875" customWidth="1"/>
    <col min="10" max="10" width="22.28515625" customWidth="1"/>
    <col min="11" max="11" width="1.85546875" customWidth="1"/>
  </cols>
  <sheetData>
    <row r="1" spans="1:17" x14ac:dyDescent="0.25">
      <c r="A1" t="s">
        <v>71</v>
      </c>
      <c r="B1">
        <v>1</v>
      </c>
    </row>
    <row r="2" spans="1:17" x14ac:dyDescent="0.25">
      <c r="A2" t="s">
        <v>8</v>
      </c>
      <c r="B2" t="str">
        <f>Data!B2</f>
        <v>Harris</v>
      </c>
    </row>
    <row r="3" spans="1:17" x14ac:dyDescent="0.25">
      <c r="A3" t="s">
        <v>9</v>
      </c>
      <c r="B3" s="49">
        <f>Data!C2</f>
        <v>43435</v>
      </c>
    </row>
    <row r="4" spans="1:17" x14ac:dyDescent="0.25">
      <c r="A4" t="s">
        <v>68</v>
      </c>
      <c r="B4">
        <f>Data!F2</f>
        <v>1000</v>
      </c>
    </row>
    <row r="5" spans="1:17" x14ac:dyDescent="0.25">
      <c r="A5" t="s">
        <v>69</v>
      </c>
      <c r="B5">
        <f>Data!G2</f>
        <v>2000</v>
      </c>
    </row>
    <row r="8" spans="1:17" x14ac:dyDescent="0.25">
      <c r="F8" s="2"/>
      <c r="G8" s="3"/>
      <c r="H8" s="4"/>
      <c r="I8" s="12"/>
      <c r="J8" s="18"/>
      <c r="K8" s="13"/>
    </row>
    <row r="9" spans="1:17" ht="26.25" x14ac:dyDescent="0.4">
      <c r="F9" s="5"/>
      <c r="G9" s="6" t="s">
        <v>0</v>
      </c>
      <c r="H9" s="7"/>
      <c r="I9" s="15"/>
      <c r="J9" s="21" t="s">
        <v>1</v>
      </c>
      <c r="K9" s="14"/>
    </row>
    <row r="10" spans="1:17" x14ac:dyDescent="0.25">
      <c r="F10" s="5"/>
      <c r="G10" s="8"/>
      <c r="H10" s="7"/>
      <c r="I10" s="15"/>
      <c r="J10" s="19"/>
      <c r="K10" s="14"/>
    </row>
    <row r="11" spans="1:17" ht="26.25" x14ac:dyDescent="0.4">
      <c r="F11" s="5"/>
      <c r="G11" s="44">
        <f>Report!K6</f>
        <v>-375</v>
      </c>
      <c r="H11" s="7"/>
      <c r="I11" s="15"/>
      <c r="J11" s="43">
        <f>Report!K13</f>
        <v>-234</v>
      </c>
      <c r="K11" s="14"/>
      <c r="P11" s="59">
        <f>Report!J6</f>
        <v>-375</v>
      </c>
      <c r="Q11" s="62">
        <f>Report!J13</f>
        <v>-234</v>
      </c>
    </row>
    <row r="12" spans="1:17" x14ac:dyDescent="0.25">
      <c r="B12">
        <v>1000</v>
      </c>
      <c r="F12" s="5"/>
      <c r="G12" s="71" t="str">
        <f>"Total: "&amp;Report!D3</f>
        <v>Total: 50</v>
      </c>
      <c r="H12" s="60"/>
      <c r="I12" s="61"/>
      <c r="J12" s="70" t="str">
        <f>"Total: "&amp;Report!D10</f>
        <v>Total: 78</v>
      </c>
      <c r="K12" s="14"/>
      <c r="P12" s="66">
        <f>Report!J48</f>
        <v>625</v>
      </c>
      <c r="Q12" s="65">
        <f>Report!J63</f>
        <v>375</v>
      </c>
    </row>
    <row r="13" spans="1:17" x14ac:dyDescent="0.25">
      <c r="B13">
        <v>-375</v>
      </c>
      <c r="C13">
        <f>B13/25</f>
        <v>-15</v>
      </c>
      <c r="F13" s="9"/>
      <c r="G13" s="10"/>
      <c r="H13" s="11"/>
      <c r="I13" s="16"/>
      <c r="J13" s="20"/>
      <c r="K13" s="17"/>
    </row>
    <row r="14" spans="1:17" x14ac:dyDescent="0.25">
      <c r="B14">
        <f>B13+B12</f>
        <v>625</v>
      </c>
      <c r="F14" s="22"/>
      <c r="G14" s="23"/>
      <c r="H14" s="24"/>
      <c r="I14" s="32"/>
      <c r="J14" s="33"/>
      <c r="K14" s="34"/>
    </row>
    <row r="15" spans="1:17" ht="26.25" x14ac:dyDescent="0.4">
      <c r="F15" s="25"/>
      <c r="G15" s="26" t="s">
        <v>66</v>
      </c>
      <c r="H15" s="27"/>
      <c r="I15" s="35"/>
      <c r="J15" s="36" t="s">
        <v>3</v>
      </c>
      <c r="K15" s="37"/>
    </row>
    <row r="16" spans="1:17" ht="26.25" x14ac:dyDescent="0.4">
      <c r="F16" s="25"/>
      <c r="G16" s="26" t="s">
        <v>70</v>
      </c>
      <c r="H16" s="27"/>
      <c r="I16" s="35"/>
      <c r="J16" s="36" t="s">
        <v>65</v>
      </c>
      <c r="K16" s="37"/>
    </row>
    <row r="17" spans="2:11" x14ac:dyDescent="0.25">
      <c r="F17" s="25"/>
      <c r="G17" s="28"/>
      <c r="H17" s="27"/>
      <c r="I17" s="35"/>
      <c r="J17" s="38"/>
      <c r="K17" s="37"/>
    </row>
    <row r="18" spans="2:11" ht="26.25" x14ac:dyDescent="0.4">
      <c r="F18" s="25"/>
      <c r="G18" s="45">
        <f>Report!K48</f>
        <v>512</v>
      </c>
      <c r="H18" s="27"/>
      <c r="I18" s="35"/>
      <c r="J18" s="42">
        <f>Report!K63</f>
        <v>240</v>
      </c>
      <c r="K18" s="37"/>
    </row>
    <row r="19" spans="2:11" x14ac:dyDescent="0.25">
      <c r="F19" s="25"/>
      <c r="G19" s="68" t="str">
        <f>IF(Report!C46 &gt; 0,"Patient fields below target: " &amp;Report!C46,"")</f>
        <v>Patient fields below target: 2</v>
      </c>
      <c r="H19" s="63"/>
      <c r="I19" s="64"/>
      <c r="J19" s="69" t="str">
        <f>"Groups not present: "&amp;Report!C61</f>
        <v>Groups not present: 7</v>
      </c>
      <c r="K19" s="37"/>
    </row>
    <row r="20" spans="2:11" x14ac:dyDescent="0.25">
      <c r="F20" s="25"/>
      <c r="G20" s="68" t="str">
        <f>IF(Report!C48 &gt; 0,"Vaccination fields below target: " &amp;Report!C48,"")</f>
        <v>Vaccination fields below target: 1</v>
      </c>
      <c r="H20" s="63"/>
      <c r="I20" s="64"/>
      <c r="J20" s="69" t="str">
        <f>"Unexpected groups: "&amp;(Report!C62+Report!C63)</f>
        <v>Unexpected groups: 3</v>
      </c>
      <c r="K20" s="37"/>
    </row>
    <row r="21" spans="2:11" x14ac:dyDescent="0.25">
      <c r="F21" s="25"/>
      <c r="G21" s="28"/>
      <c r="H21" s="27"/>
      <c r="I21" s="35"/>
      <c r="J21" s="38"/>
      <c r="K21" s="37"/>
    </row>
    <row r="22" spans="2:11" x14ac:dyDescent="0.25">
      <c r="F22" s="29"/>
      <c r="G22" s="30"/>
      <c r="H22" s="31"/>
      <c r="I22" s="39"/>
      <c r="J22" s="40"/>
      <c r="K22" s="41"/>
    </row>
    <row r="24" spans="2:11" ht="28.5" x14ac:dyDescent="0.45">
      <c r="G24" s="67" t="s">
        <v>67</v>
      </c>
      <c r="H24" s="67"/>
      <c r="I24" s="67"/>
      <c r="J24" s="67"/>
    </row>
    <row r="25" spans="2:11" ht="28.5" x14ac:dyDescent="0.45">
      <c r="G25" s="67">
        <f>Report!K68</f>
        <v>143</v>
      </c>
      <c r="H25" s="67"/>
      <c r="I25" s="67"/>
      <c r="J25" s="67"/>
    </row>
    <row r="26" spans="2:11" x14ac:dyDescent="0.25">
      <c r="B26">
        <v>700</v>
      </c>
      <c r="C26">
        <v>1000</v>
      </c>
      <c r="D26" t="s">
        <v>63</v>
      </c>
      <c r="G26" t="s">
        <v>86</v>
      </c>
    </row>
    <row r="27" spans="2:11" x14ac:dyDescent="0.25">
      <c r="B27">
        <v>625</v>
      </c>
      <c r="C27">
        <v>699</v>
      </c>
      <c r="D27" t="s">
        <v>73</v>
      </c>
      <c r="G27" t="s">
        <v>72</v>
      </c>
    </row>
    <row r="28" spans="2:11" x14ac:dyDescent="0.25">
      <c r="B28">
        <v>0</v>
      </c>
      <c r="C28">
        <v>499</v>
      </c>
      <c r="D28" t="s">
        <v>74</v>
      </c>
      <c r="G28" t="s">
        <v>87</v>
      </c>
    </row>
    <row r="30" spans="2:11" x14ac:dyDescent="0.25">
      <c r="B30" t="s">
        <v>75</v>
      </c>
    </row>
    <row r="31" spans="2:11" x14ac:dyDescent="0.25">
      <c r="C31" t="s">
        <v>76</v>
      </c>
    </row>
    <row r="32" spans="2:11" x14ac:dyDescent="0.25">
      <c r="C32" t="s">
        <v>77</v>
      </c>
    </row>
    <row r="35" spans="2:3" x14ac:dyDescent="0.25">
      <c r="B35" t="s">
        <v>78</v>
      </c>
    </row>
    <row r="36" spans="2:3" x14ac:dyDescent="0.25">
      <c r="C36" t="s">
        <v>79</v>
      </c>
    </row>
    <row r="37" spans="2:3" x14ac:dyDescent="0.25">
      <c r="C37" t="s">
        <v>80</v>
      </c>
    </row>
    <row r="44" spans="2:3" x14ac:dyDescent="0.25">
      <c r="B44" t="s">
        <v>81</v>
      </c>
    </row>
  </sheetData>
  <mergeCells count="2">
    <mergeCell ref="G24:J24"/>
    <mergeCell ref="G25:J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92D0-A3AF-4B36-9FBA-0C06ECEFC6E4}">
  <dimension ref="A1:K68"/>
  <sheetViews>
    <sheetView topLeftCell="A13" workbookViewId="0">
      <selection activeCell="B44" sqref="B44"/>
    </sheetView>
  </sheetViews>
  <sheetFormatPr defaultRowHeight="15" x14ac:dyDescent="0.25"/>
  <cols>
    <col min="1" max="1" width="17.28515625" style="46" bestFit="1" customWidth="1"/>
    <col min="2" max="2" width="37" bestFit="1" customWidth="1"/>
    <col min="3" max="6" width="6.140625" customWidth="1"/>
  </cols>
  <sheetData>
    <row r="1" spans="1:11" s="1" customFormat="1" x14ac:dyDescent="0.25">
      <c r="A1" s="47" t="s">
        <v>0</v>
      </c>
      <c r="F1" s="47"/>
      <c r="H1" s="54"/>
      <c r="I1" s="54" t="s">
        <v>18</v>
      </c>
      <c r="J1" s="54" t="s">
        <v>23</v>
      </c>
      <c r="K1" s="54" t="s">
        <v>24</v>
      </c>
    </row>
    <row r="2" spans="1:11" x14ac:dyDescent="0.25">
      <c r="B2" s="50"/>
      <c r="C2" s="52" t="s">
        <v>20</v>
      </c>
      <c r="D2" s="52" t="s">
        <v>17</v>
      </c>
      <c r="E2" s="52" t="s">
        <v>15</v>
      </c>
      <c r="F2" s="50"/>
    </row>
    <row r="3" spans="1:11" x14ac:dyDescent="0.25">
      <c r="B3" s="51" t="s">
        <v>16</v>
      </c>
      <c r="C3" s="51"/>
      <c r="D3" s="51">
        <f>Data!H2</f>
        <v>50</v>
      </c>
      <c r="E3" s="51"/>
      <c r="F3" s="51"/>
    </row>
    <row r="4" spans="1:11" x14ac:dyDescent="0.25">
      <c r="B4" s="51" t="s">
        <v>82</v>
      </c>
      <c r="C4" s="51">
        <f>Data!E2</f>
        <v>1</v>
      </c>
      <c r="D4" s="51"/>
      <c r="E4" s="51"/>
      <c r="F4" s="51"/>
    </row>
    <row r="5" spans="1:11" x14ac:dyDescent="0.25">
      <c r="B5" s="51" t="s">
        <v>21</v>
      </c>
      <c r="C5" s="51">
        <v>10</v>
      </c>
      <c r="D5" s="51">
        <f>IF(D3&gt;C5,C5,D3)</f>
        <v>10</v>
      </c>
      <c r="E5" s="51">
        <v>-25</v>
      </c>
      <c r="F5" s="51">
        <f>E5*D5</f>
        <v>-250</v>
      </c>
    </row>
    <row r="6" spans="1:11" x14ac:dyDescent="0.25">
      <c r="B6" s="51" t="s">
        <v>19</v>
      </c>
      <c r="C6" s="51"/>
      <c r="D6" s="51">
        <f>D3-D5</f>
        <v>40</v>
      </c>
      <c r="E6" s="51">
        <v>-25</v>
      </c>
      <c r="F6" s="51">
        <f>E6*D6</f>
        <v>-1000</v>
      </c>
      <c r="G6" s="50"/>
      <c r="H6" s="50"/>
      <c r="I6" s="50">
        <f>SUM(F5:F6)/C4</f>
        <v>-1250</v>
      </c>
      <c r="J6" s="50">
        <v>-375</v>
      </c>
      <c r="K6" s="50">
        <f>IF(I6&lt;J6,J6,I6)</f>
        <v>-375</v>
      </c>
    </row>
    <row r="8" spans="1:11" s="1" customFormat="1" x14ac:dyDescent="0.25">
      <c r="A8" s="47" t="s">
        <v>1</v>
      </c>
    </row>
    <row r="9" spans="1:11" x14ac:dyDescent="0.25">
      <c r="B9" s="50"/>
      <c r="C9" s="52" t="s">
        <v>20</v>
      </c>
      <c r="D9" s="52" t="s">
        <v>17</v>
      </c>
      <c r="E9" s="52" t="s">
        <v>15</v>
      </c>
      <c r="F9" s="52"/>
    </row>
    <row r="10" spans="1:11" x14ac:dyDescent="0.25">
      <c r="B10" s="50" t="s">
        <v>16</v>
      </c>
      <c r="C10" s="52"/>
      <c r="D10" s="52">
        <f>Data!I2</f>
        <v>78</v>
      </c>
      <c r="E10" s="52"/>
      <c r="F10" s="52"/>
    </row>
    <row r="11" spans="1:11" x14ac:dyDescent="0.25">
      <c r="B11" s="51" t="s">
        <v>82</v>
      </c>
      <c r="C11" s="51">
        <f>Data!E2</f>
        <v>1</v>
      </c>
      <c r="D11" s="51"/>
      <c r="E11" s="51"/>
      <c r="F11" s="51"/>
    </row>
    <row r="12" spans="1:11" x14ac:dyDescent="0.25">
      <c r="B12" s="51" t="s">
        <v>22</v>
      </c>
      <c r="C12" s="53">
        <v>10</v>
      </c>
      <c r="D12" s="53">
        <f>IF(D10&gt;C12,C12,D10)</f>
        <v>10</v>
      </c>
      <c r="E12" s="53">
        <v>-10</v>
      </c>
      <c r="F12" s="53">
        <f>E12*D12</f>
        <v>-100</v>
      </c>
    </row>
    <row r="13" spans="1:11" x14ac:dyDescent="0.25">
      <c r="B13" s="51" t="s">
        <v>19</v>
      </c>
      <c r="C13" s="53"/>
      <c r="D13" s="53">
        <f>D10-D12</f>
        <v>68</v>
      </c>
      <c r="E13" s="53">
        <v>-10</v>
      </c>
      <c r="F13" s="53">
        <f>E13*D13</f>
        <v>-680</v>
      </c>
      <c r="G13" s="50"/>
      <c r="H13" s="50"/>
      <c r="I13" s="50">
        <f>SUM(F12:F13)</f>
        <v>-780</v>
      </c>
      <c r="J13" s="50">
        <v>-234</v>
      </c>
      <c r="K13" s="50">
        <f>IF(I13&lt;J13,J13,I13)</f>
        <v>-234</v>
      </c>
    </row>
    <row r="15" spans="1:11" s="1" customFormat="1" x14ac:dyDescent="0.25">
      <c r="A15" s="47" t="s">
        <v>2</v>
      </c>
    </row>
    <row r="16" spans="1:11" x14ac:dyDescent="0.25">
      <c r="D16" s="57" t="s">
        <v>48</v>
      </c>
      <c r="E16" s="57"/>
    </row>
    <row r="17" spans="2:6" x14ac:dyDescent="0.25">
      <c r="C17" s="55" t="s">
        <v>47</v>
      </c>
      <c r="D17" s="55" t="s">
        <v>17</v>
      </c>
      <c r="E17" s="55" t="s">
        <v>62</v>
      </c>
      <c r="F17" s="55" t="s">
        <v>63</v>
      </c>
    </row>
    <row r="18" spans="2:6" x14ac:dyDescent="0.25">
      <c r="B18" t="s">
        <v>25</v>
      </c>
      <c r="C18" s="56">
        <v>1</v>
      </c>
      <c r="D18">
        <f>Data!J2</f>
        <v>1000</v>
      </c>
      <c r="E18" s="56">
        <f>D18/Data!$F$2</f>
        <v>1</v>
      </c>
      <c r="F18" t="b">
        <f>E18&gt;=C18</f>
        <v>1</v>
      </c>
    </row>
    <row r="19" spans="2:6" x14ac:dyDescent="0.25">
      <c r="B19" t="s">
        <v>26</v>
      </c>
      <c r="C19" s="56">
        <v>0.8</v>
      </c>
      <c r="D19">
        <f>Data!K2</f>
        <v>980</v>
      </c>
      <c r="E19" s="56">
        <f>D19/Data!$F$2</f>
        <v>0.98</v>
      </c>
      <c r="F19" t="b">
        <f t="shared" ref="F19:F29" si="0">E19&gt;=C19</f>
        <v>1</v>
      </c>
    </row>
    <row r="20" spans="2:6" x14ac:dyDescent="0.25">
      <c r="B20" t="s">
        <v>27</v>
      </c>
      <c r="C20" s="56">
        <v>1</v>
      </c>
      <c r="D20">
        <f>Data!L2</f>
        <v>1000</v>
      </c>
      <c r="E20" s="56">
        <f>D20/Data!$F$2</f>
        <v>1</v>
      </c>
      <c r="F20" t="b">
        <f t="shared" si="0"/>
        <v>1</v>
      </c>
    </row>
    <row r="21" spans="2:6" x14ac:dyDescent="0.25">
      <c r="B21" t="s">
        <v>28</v>
      </c>
      <c r="C21" s="56">
        <v>1</v>
      </c>
      <c r="D21">
        <f>Data!M2</f>
        <v>1000</v>
      </c>
      <c r="E21" s="56">
        <f>D21/Data!$F$2</f>
        <v>1</v>
      </c>
      <c r="F21" t="b">
        <f t="shared" si="0"/>
        <v>1</v>
      </c>
    </row>
    <row r="22" spans="2:6" x14ac:dyDescent="0.25">
      <c r="B22" t="s">
        <v>29</v>
      </c>
      <c r="C22" s="56">
        <v>1</v>
      </c>
      <c r="D22">
        <f>Data!N2</f>
        <v>1000</v>
      </c>
      <c r="E22" s="56">
        <f>D22/Data!$F$2</f>
        <v>1</v>
      </c>
      <c r="F22" t="b">
        <f t="shared" si="0"/>
        <v>1</v>
      </c>
    </row>
    <row r="23" spans="2:6" x14ac:dyDescent="0.25">
      <c r="B23" t="s">
        <v>30</v>
      </c>
      <c r="C23" s="56">
        <v>0.95</v>
      </c>
      <c r="D23">
        <f>Data!O2</f>
        <v>1000</v>
      </c>
      <c r="E23" s="56">
        <f>D23/Data!$F$2</f>
        <v>1</v>
      </c>
      <c r="F23" t="b">
        <f t="shared" si="0"/>
        <v>1</v>
      </c>
    </row>
    <row r="24" spans="2:6" x14ac:dyDescent="0.25">
      <c r="B24" t="s">
        <v>31</v>
      </c>
      <c r="C24" s="56">
        <v>0.6</v>
      </c>
      <c r="D24">
        <f>Data!P2</f>
        <v>500</v>
      </c>
      <c r="E24" s="56">
        <f>D24/Data!$F$2</f>
        <v>0.5</v>
      </c>
      <c r="F24" t="b">
        <f t="shared" si="0"/>
        <v>0</v>
      </c>
    </row>
    <row r="25" spans="2:6" x14ac:dyDescent="0.25">
      <c r="B25" t="s">
        <v>32</v>
      </c>
      <c r="C25" s="56">
        <v>0.9</v>
      </c>
      <c r="D25">
        <f>Data!Q2</f>
        <v>997</v>
      </c>
      <c r="E25" s="56">
        <f>D25/Data!$F$2</f>
        <v>0.997</v>
      </c>
      <c r="F25" t="b">
        <f t="shared" si="0"/>
        <v>1</v>
      </c>
    </row>
    <row r="26" spans="2:6" x14ac:dyDescent="0.25">
      <c r="B26" t="s">
        <v>33</v>
      </c>
      <c r="C26" s="56">
        <v>0.9</v>
      </c>
      <c r="D26">
        <f>Data!R2</f>
        <v>950</v>
      </c>
      <c r="E26" s="56">
        <f>D26/Data!$F$2</f>
        <v>0.95</v>
      </c>
      <c r="F26" t="b">
        <f t="shared" si="0"/>
        <v>1</v>
      </c>
    </row>
    <row r="27" spans="2:6" x14ac:dyDescent="0.25">
      <c r="B27" t="s">
        <v>34</v>
      </c>
      <c r="C27" s="56">
        <v>0.3</v>
      </c>
      <c r="D27">
        <f>Data!S2</f>
        <v>145</v>
      </c>
      <c r="E27" s="56">
        <f>D27/Data!$F$2</f>
        <v>0.14499999999999999</v>
      </c>
      <c r="F27" t="b">
        <f t="shared" si="0"/>
        <v>0</v>
      </c>
    </row>
    <row r="28" spans="2:6" x14ac:dyDescent="0.25">
      <c r="B28" t="s">
        <v>35</v>
      </c>
      <c r="C28" s="56">
        <v>0.1</v>
      </c>
      <c r="D28">
        <f>Data!T2</f>
        <v>780</v>
      </c>
      <c r="E28" s="56">
        <f>D28/Data!$F$2</f>
        <v>0.78</v>
      </c>
      <c r="F28" t="b">
        <f t="shared" si="0"/>
        <v>1</v>
      </c>
    </row>
    <row r="29" spans="2:6" x14ac:dyDescent="0.25">
      <c r="B29" t="s">
        <v>36</v>
      </c>
      <c r="C29" s="56">
        <v>0.1</v>
      </c>
      <c r="D29">
        <f>Data!U2</f>
        <v>784</v>
      </c>
      <c r="E29" s="56">
        <f>D29/Data!$F$2</f>
        <v>0.78400000000000003</v>
      </c>
      <c r="F29" t="b">
        <f t="shared" si="0"/>
        <v>1</v>
      </c>
    </row>
    <row r="30" spans="2:6" x14ac:dyDescent="0.25">
      <c r="B30" t="s">
        <v>38</v>
      </c>
      <c r="C30" s="56">
        <v>1</v>
      </c>
      <c r="D30">
        <f>Data!V2</f>
        <v>2000</v>
      </c>
      <c r="E30" s="56">
        <f>D30/Data!$G$2</f>
        <v>1</v>
      </c>
      <c r="F30" t="b">
        <f>IF(C30=0,"",E30&gt;=C30)</f>
        <v>1</v>
      </c>
    </row>
    <row r="31" spans="2:6" x14ac:dyDescent="0.25">
      <c r="B31" t="s">
        <v>37</v>
      </c>
      <c r="C31" s="56">
        <v>1</v>
      </c>
      <c r="D31">
        <f>Data!W2</f>
        <v>2000</v>
      </c>
      <c r="E31" s="56">
        <f>D31/Data!$G$2</f>
        <v>1</v>
      </c>
      <c r="F31" t="b">
        <f t="shared" ref="F31:F39" si="1">IF(C31=0,"",E31&gt;=C31)</f>
        <v>1</v>
      </c>
    </row>
    <row r="32" spans="2:6" x14ac:dyDescent="0.25">
      <c r="B32" t="s">
        <v>39</v>
      </c>
      <c r="C32" s="56">
        <v>0</v>
      </c>
      <c r="D32">
        <f>Data!X2</f>
        <v>0</v>
      </c>
      <c r="E32" s="56">
        <f>D32/Data!$G$2</f>
        <v>0</v>
      </c>
      <c r="F32" t="str">
        <f t="shared" si="1"/>
        <v/>
      </c>
    </row>
    <row r="33" spans="2:11" x14ac:dyDescent="0.25">
      <c r="B33" t="s">
        <v>40</v>
      </c>
      <c r="C33" s="56">
        <v>0.9</v>
      </c>
      <c r="D33">
        <f>Data!Y2</f>
        <v>1956</v>
      </c>
      <c r="E33" s="56">
        <f>D33/Data!$G$2</f>
        <v>0.97799999999999998</v>
      </c>
      <c r="F33" t="b">
        <f t="shared" si="1"/>
        <v>1</v>
      </c>
    </row>
    <row r="34" spans="2:11" x14ac:dyDescent="0.25">
      <c r="B34" t="s">
        <v>41</v>
      </c>
      <c r="C34" s="56">
        <v>0</v>
      </c>
      <c r="D34">
        <f>Data!Z2</f>
        <v>1500</v>
      </c>
      <c r="E34" s="56">
        <f>D34/Data!$G$2</f>
        <v>0.75</v>
      </c>
      <c r="F34" t="str">
        <f t="shared" si="1"/>
        <v/>
      </c>
    </row>
    <row r="35" spans="2:11" x14ac:dyDescent="0.25">
      <c r="B35" t="s">
        <v>42</v>
      </c>
      <c r="C35" s="56">
        <v>0</v>
      </c>
      <c r="D35">
        <f>Data!AA2</f>
        <v>1245</v>
      </c>
      <c r="E35" s="56">
        <f>D35/Data!$G$2</f>
        <v>0.62250000000000005</v>
      </c>
      <c r="F35" t="str">
        <f t="shared" si="1"/>
        <v/>
      </c>
    </row>
    <row r="36" spans="2:11" x14ac:dyDescent="0.25">
      <c r="B36" t="s">
        <v>43</v>
      </c>
      <c r="C36" s="56">
        <v>1</v>
      </c>
      <c r="D36">
        <f>Data!AB2</f>
        <v>0</v>
      </c>
      <c r="E36" s="56">
        <f>D36/Data!$G$2</f>
        <v>0</v>
      </c>
      <c r="F36" t="b">
        <f t="shared" si="1"/>
        <v>0</v>
      </c>
    </row>
    <row r="37" spans="2:11" x14ac:dyDescent="0.25">
      <c r="B37" t="s">
        <v>45</v>
      </c>
      <c r="C37" s="56">
        <v>0</v>
      </c>
      <c r="D37">
        <f>Data!AC2</f>
        <v>567</v>
      </c>
      <c r="E37" s="56">
        <f>D37/Data!$G$2</f>
        <v>0.28349999999999997</v>
      </c>
      <c r="F37" t="str">
        <f t="shared" si="1"/>
        <v/>
      </c>
    </row>
    <row r="38" spans="2:11" x14ac:dyDescent="0.25">
      <c r="B38" t="s">
        <v>44</v>
      </c>
      <c r="C38" s="56">
        <v>0</v>
      </c>
      <c r="D38">
        <f>Data!AD2</f>
        <v>589</v>
      </c>
      <c r="E38" s="56">
        <f>D38/Data!$G$2</f>
        <v>0.29449999999999998</v>
      </c>
      <c r="F38" t="str">
        <f t="shared" si="1"/>
        <v/>
      </c>
    </row>
    <row r="39" spans="2:11" x14ac:dyDescent="0.25">
      <c r="B39" t="s">
        <v>46</v>
      </c>
      <c r="C39" s="56">
        <v>0.95</v>
      </c>
      <c r="D39">
        <f>Data!AE2</f>
        <v>1955</v>
      </c>
      <c r="E39" s="56">
        <f>D39/Data!$G$2</f>
        <v>0.97750000000000004</v>
      </c>
      <c r="F39" t="b">
        <f t="shared" si="1"/>
        <v>1</v>
      </c>
    </row>
    <row r="41" spans="2:11" x14ac:dyDescent="0.25">
      <c r="D41" t="s">
        <v>64</v>
      </c>
      <c r="E41" t="s">
        <v>15</v>
      </c>
    </row>
    <row r="42" spans="2:11" x14ac:dyDescent="0.25">
      <c r="B42" t="s">
        <v>60</v>
      </c>
      <c r="C42">
        <f>COUNTA(B18:B29)</f>
        <v>12</v>
      </c>
      <c r="D42" s="58">
        <v>0.5</v>
      </c>
      <c r="E42">
        <f>ROUNDDOWN(D42*J48,0)</f>
        <v>312</v>
      </c>
      <c r="F42">
        <f>ROUNDUP(E42/C42,0)</f>
        <v>26</v>
      </c>
    </row>
    <row r="43" spans="2:11" x14ac:dyDescent="0.25">
      <c r="B43" t="s">
        <v>61</v>
      </c>
      <c r="C43" s="72">
        <f>COUNTA(B30:B39)-COUNTIF(C30:C39,0)</f>
        <v>5</v>
      </c>
      <c r="D43" s="58">
        <v>0.5</v>
      </c>
      <c r="E43">
        <f>J48-E42</f>
        <v>313</v>
      </c>
      <c r="F43">
        <f>ROUNDUP(E43/C43,0)</f>
        <v>63</v>
      </c>
    </row>
    <row r="45" spans="2:11" x14ac:dyDescent="0.25">
      <c r="B45" t="s">
        <v>56</v>
      </c>
      <c r="C45">
        <f>COUNTIF(F18:F29,TRUE)</f>
        <v>10</v>
      </c>
      <c r="D45">
        <f>F42</f>
        <v>26</v>
      </c>
      <c r="E45">
        <f>D45*C45</f>
        <v>260</v>
      </c>
    </row>
    <row r="46" spans="2:11" x14ac:dyDescent="0.25">
      <c r="B46" t="s">
        <v>58</v>
      </c>
      <c r="C46">
        <f>COUNTIF(F18:F29,FALSE)</f>
        <v>2</v>
      </c>
      <c r="D46">
        <v>0</v>
      </c>
      <c r="E46">
        <f>D46*C46</f>
        <v>0</v>
      </c>
    </row>
    <row r="47" spans="2:11" x14ac:dyDescent="0.25">
      <c r="B47" t="s">
        <v>57</v>
      </c>
      <c r="C47">
        <f>COUNTIF(F30:F39,TRUE)</f>
        <v>4</v>
      </c>
      <c r="D47">
        <f>F43</f>
        <v>63</v>
      </c>
      <c r="E47">
        <f>D47*C47</f>
        <v>252</v>
      </c>
    </row>
    <row r="48" spans="2:11" x14ac:dyDescent="0.25">
      <c r="B48" t="s">
        <v>59</v>
      </c>
      <c r="C48">
        <f>COUNTIF(F30:F39,FALSE)</f>
        <v>1</v>
      </c>
      <c r="D48">
        <v>0</v>
      </c>
      <c r="E48">
        <f>D48*C48</f>
        <v>0</v>
      </c>
      <c r="I48" s="50">
        <f>SUM(E45:E48)</f>
        <v>512</v>
      </c>
      <c r="J48" s="50">
        <v>625</v>
      </c>
      <c r="K48" s="50">
        <f>IF(I48&gt;J48,J48,I48)</f>
        <v>512</v>
      </c>
    </row>
    <row r="54" spans="1:11" s="1" customFormat="1" x14ac:dyDescent="0.25">
      <c r="A54" s="47" t="s">
        <v>4</v>
      </c>
    </row>
    <row r="56" spans="1:11" x14ac:dyDescent="0.25">
      <c r="B56" t="s">
        <v>54</v>
      </c>
      <c r="C56">
        <f>C60+C61</f>
        <v>24</v>
      </c>
    </row>
    <row r="57" spans="1:11" x14ac:dyDescent="0.25">
      <c r="A57"/>
      <c r="B57" t="s">
        <v>55</v>
      </c>
      <c r="C57">
        <f>ROUNDUP(J63/C56,0)</f>
        <v>16</v>
      </c>
    </row>
    <row r="58" spans="1:11" x14ac:dyDescent="0.25">
      <c r="A58"/>
    </row>
    <row r="59" spans="1:11" x14ac:dyDescent="0.25">
      <c r="A59"/>
      <c r="D59" t="s">
        <v>15</v>
      </c>
    </row>
    <row r="60" spans="1:11" x14ac:dyDescent="0.25">
      <c r="A60"/>
      <c r="B60" t="s">
        <v>50</v>
      </c>
      <c r="C60">
        <f>Data!AF2</f>
        <v>17</v>
      </c>
      <c r="D60">
        <f>C57</f>
        <v>16</v>
      </c>
      <c r="E60">
        <f>D60*C60</f>
        <v>272</v>
      </c>
    </row>
    <row r="61" spans="1:11" x14ac:dyDescent="0.25">
      <c r="B61" t="s">
        <v>51</v>
      </c>
      <c r="C61">
        <f>Data!AG2</f>
        <v>7</v>
      </c>
      <c r="D61">
        <v>0</v>
      </c>
      <c r="E61">
        <f>D61*C61</f>
        <v>0</v>
      </c>
    </row>
    <row r="62" spans="1:11" x14ac:dyDescent="0.25">
      <c r="B62" t="s">
        <v>52</v>
      </c>
      <c r="C62">
        <f>Data!AH2</f>
        <v>2</v>
      </c>
      <c r="D62">
        <f>-ROUNDDOWN(C57/2,0)</f>
        <v>-8</v>
      </c>
      <c r="E62">
        <f>D62*C62</f>
        <v>-16</v>
      </c>
    </row>
    <row r="63" spans="1:11" x14ac:dyDescent="0.25">
      <c r="B63" t="s">
        <v>53</v>
      </c>
      <c r="C63">
        <f>Data!AI2</f>
        <v>1</v>
      </c>
      <c r="D63">
        <f>-C57</f>
        <v>-16</v>
      </c>
      <c r="E63">
        <f>D63*C63</f>
        <v>-16</v>
      </c>
      <c r="I63" s="50">
        <f>SUM(E60:E63)</f>
        <v>240</v>
      </c>
      <c r="J63" s="50">
        <v>375</v>
      </c>
      <c r="K63" s="50">
        <f>IF(I63&gt;J63,J63,I63)</f>
        <v>240</v>
      </c>
    </row>
    <row r="67" spans="1:11" s="1" customFormat="1" x14ac:dyDescent="0.25">
      <c r="A67" s="47" t="s">
        <v>18</v>
      </c>
    </row>
    <row r="68" spans="1:11" x14ac:dyDescent="0.25">
      <c r="K68">
        <f>SUM(K6:K63)</f>
        <v>143</v>
      </c>
    </row>
  </sheetData>
  <mergeCells count="1">
    <mergeCell ref="D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D246-AADF-4E78-A93D-E005E4E71331}">
  <dimension ref="A1:AI12"/>
  <sheetViews>
    <sheetView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H9" sqref="H9"/>
    </sheetView>
  </sheetViews>
  <sheetFormatPr defaultRowHeight="15" x14ac:dyDescent="0.25"/>
  <cols>
    <col min="2" max="2" width="11" bestFit="1" customWidth="1"/>
    <col min="3" max="3" width="9.7109375" bestFit="1" customWidth="1"/>
    <col min="4" max="4" width="9.7109375" customWidth="1"/>
    <col min="5" max="5" width="5.140625" bestFit="1" customWidth="1"/>
    <col min="6" max="6" width="8.7109375" bestFit="1" customWidth="1"/>
    <col min="7" max="7" width="13.42578125" customWidth="1"/>
    <col min="8" max="8" width="8.7109375" customWidth="1"/>
    <col min="10" max="31" width="15.42578125" customWidth="1"/>
    <col min="32" max="35" width="18" customWidth="1"/>
  </cols>
  <sheetData>
    <row r="1" spans="1:35" s="48" customFormat="1" ht="45" x14ac:dyDescent="0.25">
      <c r="A1" s="48">
        <f>Overview!B1</f>
        <v>1</v>
      </c>
      <c r="B1" s="48" t="s">
        <v>8</v>
      </c>
      <c r="C1" s="48" t="s">
        <v>83</v>
      </c>
      <c r="D1" s="48" t="s">
        <v>84</v>
      </c>
      <c r="E1" s="48" t="s">
        <v>85</v>
      </c>
      <c r="F1" s="48" t="s">
        <v>49</v>
      </c>
      <c r="G1" s="48" t="s">
        <v>7</v>
      </c>
      <c r="H1" s="48" t="s">
        <v>5</v>
      </c>
      <c r="I1" s="48" t="s">
        <v>6</v>
      </c>
      <c r="J1" s="48" t="s">
        <v>25</v>
      </c>
      <c r="K1" s="48" t="s">
        <v>26</v>
      </c>
      <c r="L1" s="48" t="s">
        <v>27</v>
      </c>
      <c r="M1" s="48" t="s">
        <v>28</v>
      </c>
      <c r="N1" s="48" t="s">
        <v>29</v>
      </c>
      <c r="O1" s="48" t="s">
        <v>30</v>
      </c>
      <c r="P1" s="48" t="s">
        <v>31</v>
      </c>
      <c r="Q1" s="48" t="s">
        <v>32</v>
      </c>
      <c r="R1" s="48" t="s">
        <v>33</v>
      </c>
      <c r="S1" s="48" t="s">
        <v>34</v>
      </c>
      <c r="T1" s="48" t="s">
        <v>35</v>
      </c>
      <c r="U1" s="48" t="s">
        <v>36</v>
      </c>
      <c r="V1" s="48" t="s">
        <v>38</v>
      </c>
      <c r="W1" s="48" t="s">
        <v>37</v>
      </c>
      <c r="X1" s="48" t="s">
        <v>39</v>
      </c>
      <c r="Y1" s="48" t="s">
        <v>40</v>
      </c>
      <c r="Z1" s="48" t="s">
        <v>41</v>
      </c>
      <c r="AA1" s="48" t="s">
        <v>42</v>
      </c>
      <c r="AB1" s="48" t="s">
        <v>43</v>
      </c>
      <c r="AC1" s="48" t="s">
        <v>45</v>
      </c>
      <c r="AD1" s="48" t="s">
        <v>44</v>
      </c>
      <c r="AE1" s="48" t="s">
        <v>46</v>
      </c>
      <c r="AF1" s="48" t="s">
        <v>50</v>
      </c>
      <c r="AG1" s="48" t="s">
        <v>51</v>
      </c>
      <c r="AH1" s="48" t="s">
        <v>52</v>
      </c>
      <c r="AI1" s="48" t="s">
        <v>53</v>
      </c>
    </row>
    <row r="2" spans="1:35" x14ac:dyDescent="0.25">
      <c r="B2" t="str">
        <f>INDEX(B4:B43,$A$1)</f>
        <v>Harris</v>
      </c>
      <c r="C2">
        <f>INDEX(C4:C43,$A$1)</f>
        <v>43435</v>
      </c>
      <c r="D2">
        <f>INDEX(D4:D43,$A$1)</f>
        <v>43435</v>
      </c>
      <c r="E2">
        <f>INDEX(E4:E43,$A$1)</f>
        <v>1</v>
      </c>
      <c r="F2">
        <f>INDEX(F4:F43,$A$1)</f>
        <v>1000</v>
      </c>
      <c r="G2">
        <f t="shared" ref="G2:AI2" si="0">INDEX(G4:G43,$A$1)</f>
        <v>2000</v>
      </c>
      <c r="H2">
        <f t="shared" si="0"/>
        <v>50</v>
      </c>
      <c r="I2">
        <f t="shared" si="0"/>
        <v>78</v>
      </c>
      <c r="J2">
        <f t="shared" si="0"/>
        <v>1000</v>
      </c>
      <c r="K2">
        <f t="shared" si="0"/>
        <v>980</v>
      </c>
      <c r="L2">
        <f t="shared" si="0"/>
        <v>1000</v>
      </c>
      <c r="M2">
        <f t="shared" si="0"/>
        <v>1000</v>
      </c>
      <c r="N2">
        <f t="shared" si="0"/>
        <v>1000</v>
      </c>
      <c r="O2">
        <f t="shared" si="0"/>
        <v>1000</v>
      </c>
      <c r="P2">
        <f t="shared" si="0"/>
        <v>500</v>
      </c>
      <c r="Q2">
        <f t="shared" si="0"/>
        <v>997</v>
      </c>
      <c r="R2">
        <f t="shared" si="0"/>
        <v>950</v>
      </c>
      <c r="S2">
        <f t="shared" si="0"/>
        <v>145</v>
      </c>
      <c r="T2">
        <f t="shared" si="0"/>
        <v>780</v>
      </c>
      <c r="U2">
        <f t="shared" si="0"/>
        <v>784</v>
      </c>
      <c r="V2">
        <f t="shared" si="0"/>
        <v>2000</v>
      </c>
      <c r="W2">
        <f t="shared" si="0"/>
        <v>2000</v>
      </c>
      <c r="X2">
        <f t="shared" si="0"/>
        <v>0</v>
      </c>
      <c r="Y2">
        <f t="shared" si="0"/>
        <v>1956</v>
      </c>
      <c r="Z2">
        <f t="shared" si="0"/>
        <v>1500</v>
      </c>
      <c r="AA2">
        <f t="shared" si="0"/>
        <v>1245</v>
      </c>
      <c r="AB2">
        <f t="shared" si="0"/>
        <v>0</v>
      </c>
      <c r="AC2">
        <f t="shared" si="0"/>
        <v>567</v>
      </c>
      <c r="AD2">
        <f t="shared" si="0"/>
        <v>589</v>
      </c>
      <c r="AE2">
        <f t="shared" si="0"/>
        <v>1955</v>
      </c>
      <c r="AF2">
        <f t="shared" si="0"/>
        <v>17</v>
      </c>
      <c r="AG2">
        <f t="shared" si="0"/>
        <v>7</v>
      </c>
      <c r="AH2">
        <f t="shared" si="0"/>
        <v>2</v>
      </c>
      <c r="AI2">
        <f t="shared" si="0"/>
        <v>1</v>
      </c>
    </row>
    <row r="4" spans="1:35" x14ac:dyDescent="0.25">
      <c r="B4" t="s">
        <v>10</v>
      </c>
      <c r="C4" s="49">
        <v>43435</v>
      </c>
      <c r="D4" s="49">
        <v>43435</v>
      </c>
      <c r="E4" s="72">
        <f>D4-C4 + 1</f>
        <v>1</v>
      </c>
      <c r="F4">
        <v>1000</v>
      </c>
      <c r="G4">
        <v>2000</v>
      </c>
      <c r="H4">
        <v>50</v>
      </c>
      <c r="I4">
        <v>78</v>
      </c>
      <c r="J4">
        <v>1000</v>
      </c>
      <c r="K4">
        <v>980</v>
      </c>
      <c r="L4">
        <v>1000</v>
      </c>
      <c r="M4">
        <v>1000</v>
      </c>
      <c r="N4">
        <v>1000</v>
      </c>
      <c r="O4">
        <v>1000</v>
      </c>
      <c r="P4">
        <v>500</v>
      </c>
      <c r="Q4">
        <v>997</v>
      </c>
      <c r="R4">
        <v>950</v>
      </c>
      <c r="S4">
        <v>145</v>
      </c>
      <c r="T4">
        <v>780</v>
      </c>
      <c r="U4">
        <v>784</v>
      </c>
      <c r="V4">
        <v>2000</v>
      </c>
      <c r="W4">
        <v>2000</v>
      </c>
      <c r="X4">
        <v>0</v>
      </c>
      <c r="Y4">
        <v>1956</v>
      </c>
      <c r="Z4">
        <v>1500</v>
      </c>
      <c r="AA4">
        <v>1245</v>
      </c>
      <c r="AB4">
        <v>0</v>
      </c>
      <c r="AC4">
        <v>567</v>
      </c>
      <c r="AD4">
        <v>589</v>
      </c>
      <c r="AE4">
        <v>1955</v>
      </c>
      <c r="AF4">
        <v>17</v>
      </c>
      <c r="AG4">
        <v>7</v>
      </c>
      <c r="AH4">
        <v>2</v>
      </c>
      <c r="AI4">
        <v>1</v>
      </c>
    </row>
    <row r="5" spans="1:35" x14ac:dyDescent="0.25">
      <c r="B5" t="s">
        <v>10</v>
      </c>
      <c r="C5" s="49">
        <v>43436</v>
      </c>
      <c r="D5" s="49">
        <v>43436</v>
      </c>
      <c r="E5" s="72">
        <f t="shared" ref="E5:E12" si="1">D5-C5 + 1</f>
        <v>1</v>
      </c>
      <c r="F5">
        <v>1000</v>
      </c>
      <c r="G5">
        <v>2000</v>
      </c>
      <c r="H5">
        <v>1</v>
      </c>
      <c r="I5">
        <v>45</v>
      </c>
      <c r="J5">
        <v>1000</v>
      </c>
      <c r="K5">
        <v>980</v>
      </c>
      <c r="L5">
        <v>1000</v>
      </c>
      <c r="M5">
        <v>1000</v>
      </c>
      <c r="N5">
        <v>1000</v>
      </c>
      <c r="O5">
        <v>1000</v>
      </c>
      <c r="P5">
        <v>500</v>
      </c>
      <c r="Q5">
        <v>997</v>
      </c>
      <c r="R5">
        <v>950</v>
      </c>
      <c r="S5">
        <v>145</v>
      </c>
      <c r="T5">
        <v>780</v>
      </c>
      <c r="U5">
        <v>784</v>
      </c>
      <c r="V5">
        <v>2000</v>
      </c>
      <c r="W5">
        <v>2000</v>
      </c>
      <c r="X5">
        <v>0</v>
      </c>
      <c r="Y5">
        <v>1956</v>
      </c>
      <c r="Z5">
        <v>1500</v>
      </c>
      <c r="AA5">
        <v>1245</v>
      </c>
      <c r="AB5">
        <v>0</v>
      </c>
      <c r="AC5">
        <v>567</v>
      </c>
      <c r="AD5">
        <v>589</v>
      </c>
      <c r="AE5">
        <v>1955</v>
      </c>
      <c r="AF5">
        <v>17</v>
      </c>
      <c r="AG5">
        <v>7</v>
      </c>
      <c r="AH5">
        <v>2</v>
      </c>
      <c r="AI5">
        <v>1</v>
      </c>
    </row>
    <row r="6" spans="1:35" x14ac:dyDescent="0.25">
      <c r="B6" t="s">
        <v>10</v>
      </c>
      <c r="C6" s="49">
        <v>43437</v>
      </c>
      <c r="D6" s="49">
        <v>43437</v>
      </c>
      <c r="E6" s="72">
        <f t="shared" si="1"/>
        <v>1</v>
      </c>
      <c r="F6">
        <v>1000</v>
      </c>
      <c r="G6">
        <v>2000</v>
      </c>
      <c r="H6">
        <v>0</v>
      </c>
      <c r="I6">
        <v>10</v>
      </c>
      <c r="J6">
        <v>1000</v>
      </c>
      <c r="K6">
        <v>980</v>
      </c>
      <c r="L6">
        <v>1000</v>
      </c>
      <c r="M6">
        <v>1000</v>
      </c>
      <c r="N6">
        <v>1000</v>
      </c>
      <c r="O6">
        <v>1000</v>
      </c>
      <c r="P6">
        <v>780</v>
      </c>
      <c r="Q6">
        <v>997</v>
      </c>
      <c r="R6">
        <v>950</v>
      </c>
      <c r="S6">
        <v>450</v>
      </c>
      <c r="T6">
        <v>780</v>
      </c>
      <c r="U6">
        <v>784</v>
      </c>
      <c r="V6">
        <v>2000</v>
      </c>
      <c r="W6">
        <v>2000</v>
      </c>
      <c r="X6">
        <v>0</v>
      </c>
      <c r="Y6">
        <v>1956</v>
      </c>
      <c r="Z6">
        <v>1500</v>
      </c>
      <c r="AA6">
        <v>1245</v>
      </c>
      <c r="AB6">
        <v>2000</v>
      </c>
      <c r="AC6">
        <v>567</v>
      </c>
      <c r="AD6">
        <v>589</v>
      </c>
      <c r="AE6">
        <v>1955</v>
      </c>
      <c r="AF6">
        <v>24</v>
      </c>
      <c r="AG6">
        <v>0</v>
      </c>
      <c r="AH6">
        <v>0</v>
      </c>
      <c r="AI6">
        <v>0</v>
      </c>
    </row>
    <row r="7" spans="1:35" x14ac:dyDescent="0.25">
      <c r="B7" t="s">
        <v>10</v>
      </c>
      <c r="C7" s="49">
        <v>43438</v>
      </c>
      <c r="D7" s="49">
        <v>43438</v>
      </c>
      <c r="E7" s="72">
        <f t="shared" si="1"/>
        <v>1</v>
      </c>
      <c r="F7">
        <v>1000</v>
      </c>
      <c r="G7">
        <v>2000</v>
      </c>
      <c r="H7">
        <v>0</v>
      </c>
      <c r="I7">
        <v>0</v>
      </c>
      <c r="J7">
        <v>1000</v>
      </c>
      <c r="K7">
        <v>980</v>
      </c>
      <c r="L7">
        <v>1000</v>
      </c>
      <c r="M7">
        <v>1000</v>
      </c>
      <c r="N7">
        <v>1000</v>
      </c>
      <c r="O7">
        <v>1000</v>
      </c>
      <c r="P7">
        <v>780</v>
      </c>
      <c r="Q7">
        <v>997</v>
      </c>
      <c r="R7">
        <v>950</v>
      </c>
      <c r="S7">
        <v>450</v>
      </c>
      <c r="T7">
        <v>780</v>
      </c>
      <c r="U7">
        <v>784</v>
      </c>
      <c r="V7">
        <v>2000</v>
      </c>
      <c r="W7">
        <v>2000</v>
      </c>
      <c r="X7">
        <v>0</v>
      </c>
      <c r="Y7">
        <v>1956</v>
      </c>
      <c r="Z7">
        <v>1500</v>
      </c>
      <c r="AA7">
        <v>1245</v>
      </c>
      <c r="AB7">
        <v>2000</v>
      </c>
      <c r="AC7">
        <v>567</v>
      </c>
      <c r="AD7">
        <v>589</v>
      </c>
      <c r="AE7">
        <v>1955</v>
      </c>
      <c r="AF7">
        <v>24</v>
      </c>
      <c r="AG7">
        <v>0</v>
      </c>
      <c r="AH7">
        <v>0</v>
      </c>
      <c r="AI7">
        <v>0</v>
      </c>
    </row>
    <row r="8" spans="1:35" x14ac:dyDescent="0.25">
      <c r="B8" t="s">
        <v>11</v>
      </c>
      <c r="C8" s="49">
        <v>43435</v>
      </c>
      <c r="D8" s="49">
        <v>43800</v>
      </c>
      <c r="E8" s="72">
        <f t="shared" si="1"/>
        <v>366</v>
      </c>
      <c r="F8">
        <v>500</v>
      </c>
      <c r="G8">
        <v>200</v>
      </c>
      <c r="H8">
        <v>1000</v>
      </c>
      <c r="I8">
        <v>780</v>
      </c>
    </row>
    <row r="9" spans="1:35" x14ac:dyDescent="0.25">
      <c r="B9" t="s">
        <v>11</v>
      </c>
      <c r="C9" s="49">
        <v>43435</v>
      </c>
      <c r="D9" s="49">
        <v>43435</v>
      </c>
      <c r="E9" s="72">
        <f t="shared" ref="E9" si="2">D9-C9 + 1</f>
        <v>1</v>
      </c>
      <c r="F9">
        <v>500</v>
      </c>
      <c r="G9">
        <v>200</v>
      </c>
      <c r="H9">
        <v>3</v>
      </c>
      <c r="I9">
        <v>780</v>
      </c>
    </row>
    <row r="10" spans="1:35" x14ac:dyDescent="0.25">
      <c r="B10" t="s">
        <v>12</v>
      </c>
      <c r="C10" s="49">
        <v>43435</v>
      </c>
      <c r="D10" s="49">
        <v>43435</v>
      </c>
      <c r="E10" s="72">
        <f t="shared" si="1"/>
        <v>1</v>
      </c>
      <c r="F10">
        <v>40</v>
      </c>
      <c r="G10">
        <v>3</v>
      </c>
      <c r="H10">
        <v>40</v>
      </c>
      <c r="I10">
        <v>120</v>
      </c>
    </row>
    <row r="11" spans="1:35" x14ac:dyDescent="0.25">
      <c r="B11" t="s">
        <v>13</v>
      </c>
      <c r="C11" s="49">
        <v>43435</v>
      </c>
      <c r="D11" s="49">
        <v>43435</v>
      </c>
      <c r="E11" s="72">
        <f t="shared" si="1"/>
        <v>1</v>
      </c>
      <c r="F11">
        <v>67000</v>
      </c>
      <c r="G11">
        <v>45000</v>
      </c>
      <c r="H11">
        <v>2</v>
      </c>
    </row>
    <row r="12" spans="1:35" x14ac:dyDescent="0.25">
      <c r="B12" t="s">
        <v>14</v>
      </c>
      <c r="C12" s="49">
        <v>43435</v>
      </c>
      <c r="D12" s="49">
        <v>43435</v>
      </c>
      <c r="E12" s="72">
        <f t="shared" si="1"/>
        <v>1</v>
      </c>
      <c r="F12">
        <v>3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Bunker</dc:creator>
  <cp:lastModifiedBy>N. Bunker</cp:lastModifiedBy>
  <dcterms:created xsi:type="dcterms:W3CDTF">2018-12-12T16:48:24Z</dcterms:created>
  <dcterms:modified xsi:type="dcterms:W3CDTF">2018-12-12T21:05:48Z</dcterms:modified>
</cp:coreProperties>
</file>